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workbookProtection workbookPassword="8B21" lockStructure="1"/>
  <bookViews>
    <workbookView xWindow="32760" yWindow="32760" windowWidth="28800" windowHeight="12320" firstSheet="1" activeTab="1"/>
  </bookViews>
  <sheets>
    <sheet name="Revision History" sheetId="31" state="hidden" r:id="rId1"/>
    <sheet name="Calculator" sheetId="4" r:id="rId2"/>
    <sheet name="Notes" sheetId="5" r:id="rId3"/>
    <sheet name="Schem1" sheetId="9" r:id="rId4"/>
    <sheet name="Schem2" sheetId="16" r:id="rId5"/>
    <sheet name="Schem3" sheetId="29" r:id="rId6"/>
    <sheet name="Schem4" sheetId="24" r:id="rId7"/>
    <sheet name="Schem5" sheetId="30" r:id="rId8"/>
    <sheet name="Passives" sheetId="8" state="hidden" r:id="rId9"/>
  </sheets>
  <definedNames>
    <definedName name="_xlnm._FilterDatabase" localSheetId="1" hidden="1">Calculator!$B$26:$F$66</definedName>
    <definedName name="CAPS">Passives!$J$2:$J$7</definedName>
    <definedName name="CIN">Calculator!$T$72</definedName>
    <definedName name="COIL_CHOICE1">Calculator!$Z$100</definedName>
    <definedName name="COILS">Calculator!$Z$7:$AI$88</definedName>
    <definedName name="COILS_NAMES">Calculator!$BO$5:$BO$84</definedName>
    <definedName name="COILVALID">Calculator!$Z$100:$Z$112</definedName>
    <definedName name="CONFIG">Calculator!$T$5</definedName>
    <definedName name="CONFIG_temp">Calculator!$T$6</definedName>
    <definedName name="COUT">Calculator!$T$73</definedName>
    <definedName name="DISSFW">Calculator!$J$23</definedName>
    <definedName name="DISSLIM">Calculator!$T$80</definedName>
    <definedName name="DISSNOLIM">Calculator!$T$78</definedName>
    <definedName name="DISSRS">Calculator!$J$26</definedName>
    <definedName name="DMAX">Calculator!$T$96</definedName>
    <definedName name="DMAXEST">Calculator!$T$8</definedName>
    <definedName name="DMIDEST">Calculator!$T$14</definedName>
    <definedName name="DMIN">Calculator!$T$97</definedName>
    <definedName name="DRIVER">Calculator!$T$4</definedName>
    <definedName name="E24Resistors">Passives!$C$3:$C$38</definedName>
    <definedName name="EFFVINMAX">Calculator!$J$39</definedName>
    <definedName name="EFFVINMIN">Calculator!$J$38</definedName>
    <definedName name="FINIT">Calculator!$T$9</definedName>
    <definedName name="GI_ADJ">Calculator!$T$60</definedName>
    <definedName name="GI_ADJ_INIT">Calculator!$T$12</definedName>
    <definedName name="GI_ADJ_INITM">Calculator!$T$13</definedName>
    <definedName name="GI_ADJ_INT">Calculator!$T$56</definedName>
    <definedName name="GIERR">Passives!$H$2:$H$17</definedName>
    <definedName name="GIFACT">Calculator!$T$11</definedName>
    <definedName name="GIRANGE">Calculator!$M$74:$M$87</definedName>
    <definedName name="GITARGET">Calculator!$C$59</definedName>
    <definedName name="ICOILEST">Calculator!$T$17</definedName>
    <definedName name="ICOILMAXEST">Calculator!$T$25</definedName>
    <definedName name="IGATE">Calculator!$T$35</definedName>
    <definedName name="IINEST">Calculator!$T$16</definedName>
    <definedName name="IINMAX">Calculator!$T$95</definedName>
    <definedName name="IINMAXEST">Calculator!$T$6</definedName>
    <definedName name="ILED">Calculator!$D$14</definedName>
    <definedName name="ILEDF">Calculator!$T$62</definedName>
    <definedName name="ILMAXEST">Calculator!$T$21</definedName>
    <definedName name="IMOSMAXEST">Calculator!$T$24</definedName>
    <definedName name="IQ">Calculator!$T$36</definedName>
    <definedName name="IQAUX">Calculator!$T$37</definedName>
    <definedName name="L">Calculator!$T$50</definedName>
    <definedName name="LEST">Calculator!$T$19</definedName>
    <definedName name="LOWV">Calculator!$T$83</definedName>
    <definedName name="MOSFET_CHOICE1">Calculator!$AK$34</definedName>
    <definedName name="MOSFET_NAMES">Calculator!$BM$5:$BM$17</definedName>
    <definedName name="MOSFETS">Calculator!$AK$7:$AX$22</definedName>
    <definedName name="N">Calculator!$D$13</definedName>
    <definedName name="PIN">Calculator!$J$28</definedName>
    <definedName name="PINMAXEST">Calculator!$T$7</definedName>
    <definedName name="PLEDS">Calculator!$T$63</definedName>
    <definedName name="_xlnm.Print_Area" localSheetId="1">Calculator!$A$1:$L$35</definedName>
    <definedName name="PSDMAXEST">Calculator!$T$31</definedName>
    <definedName name="PSWMAXEST">Calculator!$T$28</definedName>
    <definedName name="QGSW">Calculator!$T$64</definedName>
    <definedName name="QGTOT">Calculator!$T$65</definedName>
    <definedName name="RCOIL">Calculator!$T$44</definedName>
    <definedName name="RCOILEST">Calculator!$T$20</definedName>
    <definedName name="RDSONEST">Calculator!$T$27</definedName>
    <definedName name="_RGI1">Calculator!$T$57</definedName>
    <definedName name="RGI1range">Passives!$E$2:$E$17</definedName>
    <definedName name="_RGI2">Calculator!$T$58</definedName>
    <definedName name="RGI2range">Passives!$G$2:$G$17</definedName>
    <definedName name="RIPHIGH">Calculator!$T$47</definedName>
    <definedName name="RIPLOW">Calculator!$T$46</definedName>
    <definedName name="RIPMID">Calculator!$T$18</definedName>
    <definedName name="RON">Calculator!$T$45</definedName>
    <definedName name="RS">Calculator!$T$54</definedName>
    <definedName name="RSINIT">Calculator!$T$43</definedName>
    <definedName name="RTH">Calculator!$T$39</definedName>
    <definedName name="RTHFW">Calculator!$T$69</definedName>
    <definedName name="RTHMOS">Calculator!$T$67</definedName>
    <definedName name="SCHEM">Calculator!$T$90</definedName>
    <definedName name="SCHOTTKIES">Calculator!$BA$7:$BI$22</definedName>
    <definedName name="SCHOTTKY_CHOICE1">Calculator!$BA$34</definedName>
    <definedName name="SCHOTTKY_NAMES">Calculator!$BN$5:$BN$14</definedName>
    <definedName name="SenseResistors">Passives!$A$3:$A$65</definedName>
    <definedName name="TAMB">Calculator!$D$17</definedName>
    <definedName name="TJ">Calculator!$J$35</definedName>
    <definedName name="TJMAX">Calculator!$T$40</definedName>
    <definedName name="TJMAXFW">Calculator!$T$70</definedName>
    <definedName name="TJMAXMOS">Calculator!$T$68</definedName>
    <definedName name="TJNOLIM">Calculator!$T$79</definedName>
    <definedName name="TONEST">Calculator!$T$15</definedName>
    <definedName name="VADJ">Calculator!$T$41</definedName>
    <definedName name="VALC10">Calculator!$T$75</definedName>
    <definedName name="VALC3">Calculator!$T$74</definedName>
    <definedName name="VALR1">Calculator!$T$51</definedName>
    <definedName name="VALR2">Calculator!$T$53</definedName>
    <definedName name="VALR2INIT">Calculator!$T$52</definedName>
    <definedName name="VDSMAX">Calculator!$T$23</definedName>
    <definedName name="VFLED">Calculator!$D$12</definedName>
    <definedName name="VGATEH">Calculator!$T$38</definedName>
    <definedName name="VINAV">Calculator!$J$10</definedName>
    <definedName name="VINMAX">Calculator!$D$10</definedName>
    <definedName name="VINMIN">Calculator!$D$11</definedName>
    <definedName name="VLEDS">Calculator!$J$11</definedName>
    <definedName name="VOUTA">Calculator!$T$91</definedName>
    <definedName name="VRIPIN">Calculator!$D$15</definedName>
    <definedName name="VRIPOUT">Calculator!$D$16</definedName>
    <definedName name="VRMAX">Calculator!$T$30</definedName>
    <definedName name="VRSMAX">Calculator!$J$16</definedName>
    <definedName name="VRSMIN">Calculator!$J$15</definedName>
    <definedName name="VSNOM">Calculator!$T$42</definedName>
    <definedName name="_VZD3">Calculator!$T$81</definedName>
    <definedName name="_VZD4">Calculator!$T$92</definedName>
    <definedName name="ZENERS">Calculator!$BK$7:$BK$11</definedName>
  </definedNames>
  <calcPr calcId="977461"/>
</workbook>
</file>

<file path=xl/calcChain.xml><?xml version="1.0" encoding="utf-8"?>
<calcChain xmlns="http://schemas.openxmlformats.org/spreadsheetml/2006/main">
  <c r="D2" i="4" l="1"/>
  <c r="S2" i="4"/>
  <c r="AY7" i="4"/>
  <c r="BM7" i="4"/>
  <c r="BM7" i="4" a="1"/>
  <c r="BN7" i="4"/>
  <c r="BN7" i="4" a="1"/>
  <c r="BO7" i="4"/>
  <c r="BO7" i="4" a="1"/>
  <c r="AA8" i="4"/>
  <c r="AY8" i="4"/>
  <c r="BB8" i="4"/>
  <c r="BM8" i="4"/>
  <c r="BN8" i="4"/>
  <c r="BO8" i="4"/>
  <c r="H9" i="4"/>
  <c r="AA9" i="4"/>
  <c r="AY9" i="4"/>
  <c r="BB9" i="4"/>
  <c r="BM9" i="4"/>
  <c r="BN9" i="4"/>
  <c r="BO9" i="4"/>
  <c r="J10" i="4"/>
  <c r="AA10" i="4"/>
  <c r="AY10" i="4"/>
  <c r="BB10" i="4"/>
  <c r="BM10" i="4"/>
  <c r="BN10" i="4"/>
  <c r="BO10" i="4"/>
  <c r="J11" i="4"/>
  <c r="T2" i="4"/>
  <c r="T5" i="4"/>
  <c r="F59" i="4"/>
  <c r="AA11" i="4"/>
  <c r="AY11" i="4"/>
  <c r="BB11" i="4"/>
  <c r="BM11" i="4"/>
  <c r="BN11" i="4"/>
  <c r="BO11" i="4"/>
  <c r="AA12" i="4"/>
  <c r="AY12" i="4"/>
  <c r="BB12" i="4"/>
  <c r="BM12" i="4"/>
  <c r="BN12" i="4"/>
  <c r="BO12" i="4"/>
  <c r="AA13" i="4"/>
  <c r="AY13" i="4"/>
  <c r="BB13" i="4"/>
  <c r="BM13" i="4"/>
  <c r="BN13" i="4"/>
  <c r="BO13" i="4"/>
  <c r="AA14" i="4"/>
  <c r="AY14" i="4"/>
  <c r="BB14" i="4"/>
  <c r="BM14" i="4"/>
  <c r="BN14" i="4"/>
  <c r="BO14" i="4"/>
  <c r="AA15" i="4"/>
  <c r="AY15" i="4"/>
  <c r="BM15" i="4"/>
  <c r="BO15" i="4"/>
  <c r="AA16" i="4"/>
  <c r="AY16" i="4"/>
  <c r="BM16" i="4"/>
  <c r="BO16" i="4"/>
  <c r="AA17" i="4"/>
  <c r="BM17" i="4"/>
  <c r="BO17" i="4"/>
  <c r="AA18" i="4"/>
  <c r="BO18" i="4"/>
  <c r="AA19" i="4"/>
  <c r="BO19" i="4"/>
  <c r="AA20" i="4"/>
  <c r="BO20" i="4"/>
  <c r="H21" i="4"/>
  <c r="AA21" i="4"/>
  <c r="BO21" i="4"/>
  <c r="B22" i="4"/>
  <c r="AA22" i="4"/>
  <c r="BO22" i="4"/>
  <c r="AA23" i="4"/>
  <c r="BO23" i="4"/>
  <c r="J24" i="4" a="1"/>
  <c r="AA24" i="4"/>
  <c r="BO24" i="4"/>
  <c r="AA25" i="4"/>
  <c r="BO25" i="4"/>
  <c r="AA26" i="4"/>
  <c r="BO26" i="4"/>
  <c r="J27" i="4" a="1"/>
  <c r="AA27" i="4"/>
  <c r="BO27" i="4"/>
  <c r="AA28" i="4"/>
  <c r="BO28" i="4"/>
  <c r="AA29" i="4"/>
  <c r="BO29" i="4"/>
  <c r="AA30" i="4"/>
  <c r="BO30" i="4"/>
  <c r="AA31" i="4"/>
  <c r="BO31" i="4"/>
  <c r="H32" i="4"/>
  <c r="AA32" i="4"/>
  <c r="BO32" i="4"/>
  <c r="AA33" i="4"/>
  <c r="BO33" i="4"/>
  <c r="AA34" i="4"/>
  <c r="BO34" i="4"/>
  <c r="AA35" i="4"/>
  <c r="BO35" i="4"/>
  <c r="AA36" i="4"/>
  <c r="BO36" i="4"/>
  <c r="H37" i="4"/>
  <c r="AA37" i="4"/>
  <c r="BO37" i="4"/>
  <c r="AA38" i="4"/>
  <c r="BO38" i="4"/>
  <c r="AA39" i="4"/>
  <c r="BO39" i="4"/>
  <c r="AA40" i="4"/>
  <c r="BO40" i="4"/>
  <c r="AA41" i="4"/>
  <c r="BO41" i="4"/>
  <c r="AA42" i="4"/>
  <c r="BO42" i="4"/>
  <c r="AA43" i="4"/>
  <c r="BO43" i="4"/>
  <c r="AA44" i="4"/>
  <c r="BO44" i="4"/>
  <c r="AA45" i="4"/>
  <c r="BO45" i="4"/>
  <c r="T46" i="4"/>
  <c r="AA46" i="4"/>
  <c r="BO46" i="4"/>
  <c r="T47" i="4"/>
  <c r="AA47" i="4"/>
  <c r="BO47" i="4"/>
  <c r="AA48" i="4"/>
  <c r="BO48" i="4"/>
  <c r="AA49" i="4"/>
  <c r="BO49" i="4"/>
  <c r="AA50" i="4"/>
  <c r="BO50" i="4"/>
  <c r="AA51" i="4"/>
  <c r="BO51" i="4"/>
  <c r="AA52" i="4"/>
  <c r="BO52" i="4"/>
  <c r="AA53" i="4"/>
  <c r="BO53" i="4"/>
  <c r="AA54" i="4"/>
  <c r="BO54" i="4"/>
  <c r="AA55" i="4"/>
  <c r="BO55" i="4"/>
  <c r="AA56" i="4"/>
  <c r="BO56" i="4"/>
  <c r="AA57" i="4"/>
  <c r="BO57" i="4"/>
  <c r="AA58" i="4"/>
  <c r="BO58" i="4"/>
  <c r="AA59" i="4"/>
  <c r="BO59" i="4"/>
  <c r="AA60" i="4"/>
  <c r="BO60" i="4"/>
  <c r="AA61" i="4"/>
  <c r="BO61" i="4"/>
  <c r="AA62" i="4"/>
  <c r="BO62" i="4"/>
  <c r="AA63" i="4"/>
  <c r="BO63" i="4"/>
  <c r="AA64" i="4"/>
  <c r="BO64" i="4"/>
  <c r="AA65" i="4"/>
  <c r="BO65" i="4"/>
  <c r="AA66" i="4"/>
  <c r="BO66" i="4"/>
  <c r="AA67" i="4"/>
  <c r="BO67" i="4"/>
  <c r="AA68" i="4"/>
  <c r="BO68" i="4"/>
  <c r="AA69" i="4"/>
  <c r="BO69" i="4"/>
  <c r="AA70" i="4"/>
  <c r="BO70" i="4"/>
  <c r="AA71" i="4"/>
  <c r="BO71" i="4"/>
  <c r="AA72" i="4"/>
  <c r="BO72" i="4"/>
  <c r="AA73" i="4"/>
  <c r="AA74" i="4"/>
  <c r="AA75" i="4"/>
  <c r="AA76" i="4"/>
  <c r="AA77" i="4"/>
  <c r="AA78" i="4"/>
  <c r="AA79" i="4"/>
  <c r="AA80" i="4"/>
  <c r="AA81" i="4"/>
  <c r="AA82" i="4"/>
  <c r="AA83" i="4"/>
  <c r="AA84" i="4"/>
  <c r="AA85" i="4"/>
  <c r="AA86" i="4"/>
  <c r="AA87" i="4"/>
  <c r="AA88" i="4"/>
  <c r="BO73" i="4"/>
  <c r="BO74" i="4"/>
  <c r="BO75" i="4"/>
  <c r="BO76" i="4"/>
  <c r="BO77" i="4"/>
  <c r="T78" i="4" a="1"/>
  <c r="BO78" i="4"/>
  <c r="BO79" i="4"/>
  <c r="BO80" i="4"/>
  <c r="BO81" i="4"/>
  <c r="T82" i="4"/>
  <c r="BO82" i="4"/>
  <c r="BO83" i="4"/>
  <c r="BO84" i="4"/>
  <c r="BO85" i="4"/>
  <c r="AF93" i="4" a="1"/>
  <c r="AF94" i="4" a="1"/>
  <c r="T104" i="4"/>
  <c r="R120" i="4"/>
  <c r="AV120" i="4"/>
  <c r="D158" i="4"/>
  <c r="D159" i="4" a="1"/>
  <c r="D159" i="4"/>
  <c r="F2" i="5"/>
  <c r="M2" i="5"/>
  <c r="M3" i="5"/>
  <c r="F3" i="9"/>
  <c r="J3" i="9"/>
  <c r="K3" i="9"/>
  <c r="M9" i="9"/>
  <c r="M27" i="9"/>
  <c r="M28" i="9"/>
  <c r="M29" i="9"/>
  <c r="M30" i="9"/>
  <c r="M31" i="9"/>
  <c r="M32" i="9"/>
  <c r="F3" i="16"/>
  <c r="J3" i="16"/>
  <c r="K3" i="16"/>
  <c r="M9" i="16"/>
  <c r="M27" i="16"/>
  <c r="M28" i="16"/>
  <c r="M29" i="16"/>
  <c r="M30" i="16"/>
  <c r="M31" i="16"/>
  <c r="M32" i="16"/>
  <c r="E3" i="29"/>
  <c r="J3" i="29"/>
  <c r="K3" i="29"/>
  <c r="M9" i="29"/>
  <c r="H34" i="29"/>
  <c r="H35" i="29"/>
  <c r="H36" i="29"/>
  <c r="H37" i="29"/>
  <c r="H38" i="29"/>
  <c r="H39" i="29"/>
  <c r="E3" i="24"/>
  <c r="J3" i="24"/>
  <c r="K3" i="24"/>
  <c r="M9" i="24"/>
  <c r="H36" i="24"/>
  <c r="H37" i="24"/>
  <c r="H38" i="24"/>
  <c r="H39" i="24"/>
  <c r="H40" i="24"/>
  <c r="H41" i="24"/>
  <c r="E3" i="30"/>
  <c r="J3" i="30"/>
  <c r="K3" i="30"/>
  <c r="M9" i="30"/>
  <c r="H37" i="30"/>
  <c r="H38" i="30"/>
  <c r="H39" i="30"/>
  <c r="H40" i="30"/>
  <c r="H41" i="30"/>
  <c r="H42" i="30"/>
  <c r="W2" i="8"/>
  <c r="C3" i="8"/>
  <c r="V3" i="8"/>
  <c r="W3" i="8"/>
  <c r="C4" i="8"/>
  <c r="V4" i="8"/>
  <c r="W4" i="8"/>
  <c r="C5" i="8"/>
  <c r="V5" i="8"/>
  <c r="W5" i="8"/>
  <c r="C6" i="8"/>
  <c r="V6" i="8"/>
  <c r="W6" i="8"/>
  <c r="C7" i="8"/>
  <c r="V7" i="8"/>
  <c r="W7" i="8"/>
  <c r="C8" i="8"/>
  <c r="V8" i="8"/>
  <c r="W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T7" i="4"/>
  <c r="T31" i="4"/>
  <c r="T6" i="4"/>
  <c r="B66" i="4"/>
  <c r="T16" i="4"/>
  <c r="T17" i="4"/>
  <c r="R121" i="4"/>
  <c r="AV121" i="4"/>
  <c r="S120" i="4"/>
  <c r="V120" i="4"/>
  <c r="T8" i="4"/>
  <c r="T12" i="4"/>
  <c r="T13" i="4"/>
  <c r="T23" i="4"/>
  <c r="J13" i="4"/>
  <c r="D7" i="29"/>
  <c r="T83" i="4"/>
  <c r="T87" i="4"/>
  <c r="D7" i="24"/>
  <c r="D7" i="30"/>
  <c r="T28" i="4"/>
  <c r="T9" i="4"/>
  <c r="T91" i="4"/>
  <c r="T89" i="4"/>
  <c r="B21" i="4"/>
  <c r="T88" i="4"/>
  <c r="T42" i="4"/>
  <c r="T30" i="4"/>
  <c r="T14" i="4"/>
  <c r="T20" i="4"/>
  <c r="AH8" i="4"/>
  <c r="T25" i="4"/>
  <c r="T26" i="4"/>
  <c r="T27" i="4"/>
  <c r="T21" i="4"/>
  <c r="AI57" i="4"/>
  <c r="R122" i="4"/>
  <c r="AV122" i="4"/>
  <c r="S121" i="4"/>
  <c r="V121" i="4"/>
  <c r="AH80" i="4"/>
  <c r="AH79" i="4"/>
  <c r="AH17" i="4"/>
  <c r="AH69" i="4"/>
  <c r="AH54" i="4"/>
  <c r="AH64" i="4"/>
  <c r="AH58" i="4"/>
  <c r="AH84" i="4"/>
  <c r="AH11" i="4"/>
  <c r="AH20" i="4"/>
  <c r="T10" i="4"/>
  <c r="T18" i="4"/>
  <c r="T92" i="4" a="1"/>
  <c r="T92" i="4"/>
  <c r="D66" i="4"/>
  <c r="F34" i="24"/>
  <c r="F32" i="29"/>
  <c r="F35" i="30"/>
  <c r="T15" i="4"/>
  <c r="W16" i="4"/>
  <c r="J14" i="4"/>
  <c r="T43" i="4"/>
  <c r="AI81" i="4"/>
  <c r="AI19" i="4"/>
  <c r="AI45" i="4"/>
  <c r="AH83" i="4"/>
  <c r="AH44" i="4"/>
  <c r="AH88" i="4"/>
  <c r="AH45" i="4"/>
  <c r="AH56" i="4"/>
  <c r="AH14" i="4"/>
  <c r="AH59" i="4"/>
  <c r="AH40" i="4"/>
  <c r="AH75" i="4"/>
  <c r="AH51" i="4"/>
  <c r="AH42" i="4"/>
  <c r="AH72" i="4"/>
  <c r="AH41" i="4"/>
  <c r="AH34" i="4"/>
  <c r="AH46" i="4"/>
  <c r="AH21" i="4"/>
  <c r="AH49" i="4"/>
  <c r="AH30" i="4"/>
  <c r="AH39" i="4"/>
  <c r="AH55" i="4"/>
  <c r="AH86" i="4"/>
  <c r="AH81" i="4"/>
  <c r="AH27" i="4"/>
  <c r="AH68" i="4"/>
  <c r="AH85" i="4"/>
  <c r="AH22" i="4"/>
  <c r="AH28" i="4"/>
  <c r="AH19" i="4"/>
  <c r="AH35" i="4"/>
  <c r="AH37" i="4"/>
  <c r="AH53" i="4"/>
  <c r="AH48" i="4"/>
  <c r="AH38" i="4"/>
  <c r="AH65" i="4"/>
  <c r="AH16" i="4"/>
  <c r="AH29" i="4"/>
  <c r="AH7" i="4"/>
  <c r="AH43" i="4"/>
  <c r="AH66" i="4"/>
  <c r="AH12" i="4"/>
  <c r="AH31" i="4"/>
  <c r="AH61" i="4"/>
  <c r="AH18" i="4"/>
  <c r="AH24" i="4"/>
  <c r="AH71" i="4"/>
  <c r="AH76" i="4"/>
  <c r="AH77" i="4"/>
  <c r="AH82" i="4"/>
  <c r="AH26" i="4"/>
  <c r="AH13" i="4"/>
  <c r="AH36" i="4"/>
  <c r="AH62" i="4"/>
  <c r="AH52" i="4"/>
  <c r="AH47" i="4"/>
  <c r="AH67" i="4"/>
  <c r="AH73" i="4"/>
  <c r="AH70" i="4"/>
  <c r="AH32" i="4"/>
  <c r="AH23" i="4"/>
  <c r="AH87" i="4"/>
  <c r="AH57" i="4"/>
  <c r="AH10" i="4"/>
  <c r="AH78" i="4"/>
  <c r="AH33" i="4"/>
  <c r="AH15" i="4"/>
  <c r="AH9" i="4"/>
  <c r="AH63" i="4"/>
  <c r="AH25" i="4"/>
  <c r="AH74" i="4"/>
  <c r="AH50" i="4"/>
  <c r="AH60" i="4"/>
  <c r="AI49" i="4"/>
  <c r="AI72" i="4"/>
  <c r="AI27" i="4"/>
  <c r="AI74" i="4"/>
  <c r="AI17" i="4"/>
  <c r="AI78" i="4"/>
  <c r="AI11" i="4"/>
  <c r="AI43" i="4"/>
  <c r="AI30" i="4"/>
  <c r="AI13" i="4"/>
  <c r="AI62" i="4"/>
  <c r="AI51" i="4"/>
  <c r="AI86" i="4"/>
  <c r="AI52" i="4"/>
  <c r="AI82" i="4"/>
  <c r="AI23" i="4"/>
  <c r="T24" i="4"/>
  <c r="BA34" i="4" a="1"/>
  <c r="BA34" i="4"/>
  <c r="BI34" i="4"/>
  <c r="AI77" i="4"/>
  <c r="AI64" i="4"/>
  <c r="AI48" i="4"/>
  <c r="AI7" i="4"/>
  <c r="AI47" i="4"/>
  <c r="AI39" i="4"/>
  <c r="AI18" i="4"/>
  <c r="AI69" i="4"/>
  <c r="AI26" i="4"/>
  <c r="AI38" i="4"/>
  <c r="AI75" i="4"/>
  <c r="AI67" i="4"/>
  <c r="AI31" i="4"/>
  <c r="AI37" i="4"/>
  <c r="AI16" i="4"/>
  <c r="AI15" i="4"/>
  <c r="AI20" i="4"/>
  <c r="AI14" i="4"/>
  <c r="AI54" i="4"/>
  <c r="AI61" i="4"/>
  <c r="AI8" i="4"/>
  <c r="AI9" i="4"/>
  <c r="AI28" i="4"/>
  <c r="AI70" i="4"/>
  <c r="AI59" i="4"/>
  <c r="AI84" i="4"/>
  <c r="AI58" i="4"/>
  <c r="AI44" i="4"/>
  <c r="AI35" i="4"/>
  <c r="AI79" i="4"/>
  <c r="S122" i="4"/>
  <c r="V122" i="4"/>
  <c r="AI83" i="4"/>
  <c r="AI63" i="4"/>
  <c r="AI60" i="4"/>
  <c r="AI32" i="4"/>
  <c r="AI76" i="4"/>
  <c r="AI65" i="4"/>
  <c r="AI40" i="4"/>
  <c r="AI66" i="4"/>
  <c r="AI71" i="4"/>
  <c r="AI53" i="4"/>
  <c r="AI73" i="4"/>
  <c r="AI21" i="4"/>
  <c r="AI87" i="4"/>
  <c r="AI10" i="4"/>
  <c r="AI29" i="4"/>
  <c r="AI55" i="4"/>
  <c r="AI22" i="4"/>
  <c r="AI80" i="4"/>
  <c r="AI24" i="4"/>
  <c r="AI41" i="4"/>
  <c r="AI25" i="4"/>
  <c r="AI50" i="4"/>
  <c r="AI68" i="4"/>
  <c r="AI33" i="4"/>
  <c r="AI36" i="4"/>
  <c r="AI56" i="4"/>
  <c r="AI12" i="4"/>
  <c r="AI34" i="4"/>
  <c r="AI42" i="4"/>
  <c r="AI88" i="4"/>
  <c r="AI46" i="4"/>
  <c r="AI85" i="4"/>
  <c r="R123" i="4"/>
  <c r="S123" i="4"/>
  <c r="V123" i="4"/>
  <c r="T19" i="4"/>
  <c r="AF35" i="4"/>
  <c r="M14" i="24"/>
  <c r="T51" i="4" a="1"/>
  <c r="T51" i="4"/>
  <c r="M15" i="30"/>
  <c r="M13" i="29"/>
  <c r="AK34" i="4" a="1"/>
  <c r="AK34" i="4"/>
  <c r="AM34" i="4"/>
  <c r="R124" i="4"/>
  <c r="S124" i="4"/>
  <c r="V124" i="4"/>
  <c r="AV123" i="4"/>
  <c r="AF76" i="4"/>
  <c r="AF19" i="4"/>
  <c r="AF40" i="4"/>
  <c r="AF33" i="4"/>
  <c r="AF30" i="4"/>
  <c r="AF25" i="4"/>
  <c r="AF53" i="4"/>
  <c r="AF37" i="4"/>
  <c r="AF69" i="4"/>
  <c r="AF46" i="4"/>
  <c r="AF55" i="4"/>
  <c r="AF60" i="4"/>
  <c r="AF36" i="4"/>
  <c r="AF28" i="4"/>
  <c r="AF48" i="4"/>
  <c r="AF32" i="4"/>
  <c r="AF52" i="4"/>
  <c r="AF77" i="4"/>
  <c r="AF84" i="4"/>
  <c r="AF12" i="4"/>
  <c r="AF78" i="4"/>
  <c r="AF88" i="4"/>
  <c r="AF62" i="4"/>
  <c r="AF16" i="4"/>
  <c r="AF8" i="4"/>
  <c r="AF26" i="4"/>
  <c r="AF47" i="4"/>
  <c r="AF70" i="4"/>
  <c r="AF24" i="4"/>
  <c r="AF54" i="4"/>
  <c r="AF83" i="4"/>
  <c r="AF20" i="4"/>
  <c r="AF10" i="4"/>
  <c r="AF61" i="4"/>
  <c r="AF13" i="4"/>
  <c r="AF57" i="4"/>
  <c r="AF9" i="4"/>
  <c r="AF56" i="4"/>
  <c r="AF85" i="4"/>
  <c r="AF79" i="4"/>
  <c r="AF51" i="4"/>
  <c r="AF63" i="4"/>
  <c r="AF73" i="4"/>
  <c r="AF18" i="4"/>
  <c r="AF42" i="4"/>
  <c r="AF74" i="4"/>
  <c r="AF86" i="4"/>
  <c r="AF82" i="4"/>
  <c r="AF81" i="4"/>
  <c r="AF29" i="4"/>
  <c r="AF59" i="4"/>
  <c r="AF21" i="4"/>
  <c r="AF44" i="4"/>
  <c r="AF67" i="4"/>
  <c r="AF49" i="4"/>
  <c r="AF50" i="4"/>
  <c r="AF45" i="4"/>
  <c r="AF58" i="4"/>
  <c r="AF15" i="4"/>
  <c r="AF34" i="4"/>
  <c r="AF68" i="4"/>
  <c r="AF80" i="4"/>
  <c r="AF72" i="4"/>
  <c r="AF27" i="4"/>
  <c r="AF75" i="4"/>
  <c r="AF7" i="4"/>
  <c r="AF23" i="4"/>
  <c r="AF41" i="4"/>
  <c r="AF71" i="4"/>
  <c r="AF14" i="4"/>
  <c r="AF39" i="4"/>
  <c r="AF43" i="4"/>
  <c r="AF65" i="4"/>
  <c r="AF22" i="4"/>
  <c r="AF66" i="4"/>
  <c r="AF87" i="4"/>
  <c r="AF17" i="4"/>
  <c r="AF38" i="4"/>
  <c r="AF64" i="4"/>
  <c r="AF11" i="4"/>
  <c r="AF31" i="4"/>
  <c r="BH34" i="4"/>
  <c r="BC34" i="4"/>
  <c r="BD34" i="4"/>
  <c r="BE34" i="4"/>
  <c r="BG34" i="4"/>
  <c r="C44" i="4"/>
  <c r="BF34" i="4"/>
  <c r="BB34" i="4"/>
  <c r="BA35" i="4" a="1"/>
  <c r="BA35" i="4"/>
  <c r="BF35" i="4"/>
  <c r="D60" i="4"/>
  <c r="T52" i="4"/>
  <c r="T53" i="4" a="1"/>
  <c r="T53" i="4"/>
  <c r="M11" i="16"/>
  <c r="M11" i="9"/>
  <c r="M12" i="29"/>
  <c r="M12" i="30"/>
  <c r="M12" i="24"/>
  <c r="R125" i="4"/>
  <c r="S125" i="4"/>
  <c r="V125" i="4"/>
  <c r="AV124" i="4"/>
  <c r="C29" i="4"/>
  <c r="AV34" i="4"/>
  <c r="AT34" i="4"/>
  <c r="AP34" i="4"/>
  <c r="D48" i="4"/>
  <c r="U124" i="4"/>
  <c r="D45" i="4"/>
  <c r="T138" i="4"/>
  <c r="AO34" i="4"/>
  <c r="AR34" i="4"/>
  <c r="AX34" i="4"/>
  <c r="AL34" i="4"/>
  <c r="AK35" i="4" a="1"/>
  <c r="AK35" i="4"/>
  <c r="AX35" i="4"/>
  <c r="AW34" i="4"/>
  <c r="AU34" i="4"/>
  <c r="AQ34" i="4"/>
  <c r="AS34" i="4"/>
  <c r="AN34" i="4"/>
  <c r="T54" i="4"/>
  <c r="T56" i="4"/>
  <c r="AF93" i="4"/>
  <c r="Z100" i="4" a="1"/>
  <c r="Z100" i="4"/>
  <c r="AB100" i="4"/>
  <c r="D50" i="4"/>
  <c r="T70" i="4"/>
  <c r="D46" i="4"/>
  <c r="D47" i="4"/>
  <c r="D49" i="4"/>
  <c r="T69" i="4"/>
  <c r="D51" i="4"/>
  <c r="BE35" i="4"/>
  <c r="BD35" i="4"/>
  <c r="BC35" i="4"/>
  <c r="BB35" i="4"/>
  <c r="BA36" i="4" a="1"/>
  <c r="BA36" i="4"/>
  <c r="BH36" i="4"/>
  <c r="BH35" i="4"/>
  <c r="BI35" i="4"/>
  <c r="BG35" i="4"/>
  <c r="D61" i="4"/>
  <c r="M10" i="16"/>
  <c r="M10" i="9"/>
  <c r="M10" i="30"/>
  <c r="M10" i="24"/>
  <c r="M10" i="29"/>
  <c r="D33" i="4"/>
  <c r="R126" i="4"/>
  <c r="AV125" i="4"/>
  <c r="D41" i="4"/>
  <c r="D32" i="4"/>
  <c r="D30" i="4"/>
  <c r="D34" i="4"/>
  <c r="T65" i="4"/>
  <c r="D37" i="4"/>
  <c r="U589" i="4"/>
  <c r="D31" i="4"/>
  <c r="B70" i="4"/>
  <c r="U379" i="4"/>
  <c r="D36" i="4"/>
  <c r="AU35" i="4"/>
  <c r="U468" i="4"/>
  <c r="D40" i="4"/>
  <c r="T68" i="4"/>
  <c r="D35" i="4"/>
  <c r="AT35" i="4"/>
  <c r="AQ35" i="4"/>
  <c r="U174" i="4"/>
  <c r="D38" i="4"/>
  <c r="D39" i="4"/>
  <c r="T67" i="4"/>
  <c r="AL35" i="4"/>
  <c r="AW35" i="4"/>
  <c r="AV35" i="4"/>
  <c r="AS35" i="4"/>
  <c r="U659" i="4"/>
  <c r="U646" i="4"/>
  <c r="U508" i="4"/>
  <c r="U522" i="4"/>
  <c r="U559" i="4"/>
  <c r="U450" i="4"/>
  <c r="U560" i="4"/>
  <c r="U633" i="4"/>
  <c r="U536" i="4"/>
  <c r="U610" i="4"/>
  <c r="U473" i="4"/>
  <c r="U369" i="4"/>
  <c r="U366" i="4"/>
  <c r="U604" i="4"/>
  <c r="U452" i="4"/>
  <c r="U324" i="4"/>
  <c r="U647" i="4"/>
  <c r="U510" i="4"/>
  <c r="U458" i="4"/>
  <c r="AR35" i="4"/>
  <c r="AN35" i="4"/>
  <c r="AP35" i="4"/>
  <c r="AM35" i="4"/>
  <c r="AO35" i="4"/>
  <c r="T348" i="4"/>
  <c r="T574" i="4"/>
  <c r="U640" i="4"/>
  <c r="U485" i="4"/>
  <c r="U190" i="4"/>
  <c r="T635" i="4"/>
  <c r="T565" i="4"/>
  <c r="T375" i="4"/>
  <c r="U210" i="4"/>
  <c r="U221" i="4"/>
  <c r="U284" i="4"/>
  <c r="BF36" i="4"/>
  <c r="BG36" i="4"/>
  <c r="T582" i="4"/>
  <c r="T212" i="4"/>
  <c r="U652" i="4"/>
  <c r="U612" i="4"/>
  <c r="U509" i="4"/>
  <c r="U411" i="4"/>
  <c r="U223" i="4"/>
  <c r="U154" i="4"/>
  <c r="T555" i="4"/>
  <c r="U601" i="4"/>
  <c r="U597" i="4"/>
  <c r="U571" i="4"/>
  <c r="U512" i="4"/>
  <c r="U304" i="4"/>
  <c r="U208" i="4"/>
  <c r="T384" i="4"/>
  <c r="U631" i="4"/>
  <c r="U635" i="4"/>
  <c r="U476" i="4"/>
  <c r="U540" i="4"/>
  <c r="U351" i="4"/>
  <c r="U185" i="4"/>
  <c r="T471" i="4"/>
  <c r="T507" i="4"/>
  <c r="T207" i="4"/>
  <c r="T638" i="4"/>
  <c r="T563" i="4"/>
  <c r="T210" i="4"/>
  <c r="U542" i="4"/>
  <c r="U625" i="4"/>
  <c r="U588" i="4"/>
  <c r="U492" i="4"/>
  <c r="U460" i="4"/>
  <c r="U563" i="4"/>
  <c r="U451" i="4"/>
  <c r="U320" i="4"/>
  <c r="U237" i="4"/>
  <c r="U169" i="4"/>
  <c r="T600" i="4"/>
  <c r="T416" i="4"/>
  <c r="U655" i="4"/>
  <c r="U586" i="4"/>
  <c r="U562" i="4"/>
  <c r="U422" i="4"/>
  <c r="U449" i="4"/>
  <c r="U546" i="4"/>
  <c r="U435" i="4"/>
  <c r="U288" i="4"/>
  <c r="U218" i="4"/>
  <c r="T474" i="4"/>
  <c r="T347" i="4"/>
  <c r="U658" i="4"/>
  <c r="U584" i="4"/>
  <c r="U606" i="4"/>
  <c r="U564" i="4"/>
  <c r="U530" i="4"/>
  <c r="U506" i="4"/>
  <c r="U378" i="4"/>
  <c r="U292" i="4"/>
  <c r="U120" i="4"/>
  <c r="T640" i="4"/>
  <c r="T628" i="4"/>
  <c r="T446" i="4"/>
  <c r="T461" i="4"/>
  <c r="T439" i="4"/>
  <c r="T248" i="4"/>
  <c r="T213" i="4"/>
  <c r="U639" i="4"/>
  <c r="U614" i="4"/>
  <c r="U600" i="4"/>
  <c r="U583" i="4"/>
  <c r="U578" i="4"/>
  <c r="U632" i="4"/>
  <c r="U374" i="4"/>
  <c r="U569" i="4"/>
  <c r="U489" i="4"/>
  <c r="U554" i="4"/>
  <c r="U528" i="4"/>
  <c r="U551" i="4"/>
  <c r="U425" i="4"/>
  <c r="U480" i="4"/>
  <c r="U504" i="4"/>
  <c r="U498" i="4"/>
  <c r="U400" i="4"/>
  <c r="U318" i="4"/>
  <c r="U343" i="4"/>
  <c r="U342" i="4"/>
  <c r="U293" i="4"/>
  <c r="U214" i="4"/>
  <c r="U196" i="4"/>
  <c r="U182" i="4"/>
  <c r="U166" i="4"/>
  <c r="T591" i="4"/>
  <c r="T601" i="4"/>
  <c r="T569" i="4"/>
  <c r="T524" i="4"/>
  <c r="T368" i="4"/>
  <c r="T285" i="4"/>
  <c r="T209" i="4"/>
  <c r="U636" i="4"/>
  <c r="U618" i="4"/>
  <c r="U611" i="4"/>
  <c r="U595" i="4"/>
  <c r="U557" i="4"/>
  <c r="U537" i="4"/>
  <c r="U622" i="4"/>
  <c r="U660" i="4"/>
  <c r="U567" i="4"/>
  <c r="U482" i="4"/>
  <c r="U525" i="4"/>
  <c r="U507" i="4"/>
  <c r="U549" i="4"/>
  <c r="U418" i="4"/>
  <c r="U472" i="4"/>
  <c r="U475" i="4"/>
  <c r="U444" i="4"/>
  <c r="U329" i="4"/>
  <c r="U430" i="4"/>
  <c r="U311" i="4"/>
  <c r="U300" i="4"/>
  <c r="U238" i="4"/>
  <c r="U192" i="4"/>
  <c r="U228" i="4"/>
  <c r="U177" i="4"/>
  <c r="T659" i="4"/>
  <c r="T660" i="4"/>
  <c r="T531" i="4"/>
  <c r="T521" i="4"/>
  <c r="T281" i="4"/>
  <c r="T282" i="4"/>
  <c r="T153" i="4"/>
  <c r="U609" i="4"/>
  <c r="U615" i="4"/>
  <c r="U608" i="4"/>
  <c r="U645" i="4"/>
  <c r="U503" i="4"/>
  <c r="U598" i="4"/>
  <c r="U619" i="4"/>
  <c r="U654" i="4"/>
  <c r="U539" i="4"/>
  <c r="U474" i="4"/>
  <c r="U513" i="4"/>
  <c r="U494" i="4"/>
  <c r="U544" i="4"/>
  <c r="U538" i="4"/>
  <c r="U419" i="4"/>
  <c r="U467" i="4"/>
  <c r="U412" i="4"/>
  <c r="U321" i="4"/>
  <c r="U409" i="4"/>
  <c r="U260" i="4"/>
  <c r="U283" i="4"/>
  <c r="U268" i="4"/>
  <c r="U150" i="4"/>
  <c r="U198" i="4"/>
  <c r="U165" i="4"/>
  <c r="T626" i="4"/>
  <c r="T652" i="4"/>
  <c r="T489" i="4"/>
  <c r="T469" i="4"/>
  <c r="T402" i="4"/>
  <c r="T297" i="4"/>
  <c r="T120" i="4"/>
  <c r="AO120" i="4"/>
  <c r="U500" i="4"/>
  <c r="U626" i="4"/>
  <c r="U603" i="4"/>
  <c r="U638" i="4"/>
  <c r="U487" i="4"/>
  <c r="U593" i="4"/>
  <c r="U594" i="4"/>
  <c r="U643" i="4"/>
  <c r="U531" i="4"/>
  <c r="U459" i="4"/>
  <c r="U502" i="4"/>
  <c r="U481" i="4"/>
  <c r="U515" i="4"/>
  <c r="U535" i="4"/>
  <c r="U410" i="4"/>
  <c r="U429" i="4"/>
  <c r="U340" i="4"/>
  <c r="U440" i="4"/>
  <c r="U349" i="4"/>
  <c r="U401" i="4"/>
  <c r="U355" i="4"/>
  <c r="U297" i="4"/>
  <c r="U140" i="4"/>
  <c r="U188" i="4"/>
  <c r="U148" i="4"/>
  <c r="T629" i="4"/>
  <c r="T616" i="4"/>
  <c r="T423" i="4"/>
  <c r="T413" i="4"/>
  <c r="T325" i="4"/>
  <c r="T263" i="4"/>
  <c r="U651" i="4"/>
  <c r="U653" i="4"/>
  <c r="U447" i="4"/>
  <c r="U628" i="4"/>
  <c r="U607" i="4"/>
  <c r="U580" i="4"/>
  <c r="U585" i="4"/>
  <c r="U627" i="4"/>
  <c r="U516" i="4"/>
  <c r="U416" i="4"/>
  <c r="U423" i="4"/>
  <c r="U470" i="4"/>
  <c r="U478" i="4"/>
  <c r="U518" i="4"/>
  <c r="U558" i="4"/>
  <c r="U548" i="4"/>
  <c r="U397" i="4"/>
  <c r="U368" i="4"/>
  <c r="U389" i="4"/>
  <c r="U339" i="4"/>
  <c r="U333" i="4"/>
  <c r="U249" i="4"/>
  <c r="U207" i="4"/>
  <c r="U195" i="4"/>
  <c r="U161" i="4"/>
  <c r="T612" i="4"/>
  <c r="T605" i="4"/>
  <c r="T607" i="4"/>
  <c r="T526" i="4"/>
  <c r="T554" i="4"/>
  <c r="T433" i="4"/>
  <c r="T411" i="4"/>
  <c r="T331" i="4"/>
  <c r="T324" i="4"/>
  <c r="T217" i="4"/>
  <c r="T160" i="4"/>
  <c r="U656" i="4"/>
  <c r="U596" i="4"/>
  <c r="U642" i="4"/>
  <c r="U629" i="4"/>
  <c r="U565" i="4"/>
  <c r="U592" i="4"/>
  <c r="U620" i="4"/>
  <c r="U644" i="4"/>
  <c r="U572" i="4"/>
  <c r="U649" i="4"/>
  <c r="U616" i="4"/>
  <c r="U446" i="4"/>
  <c r="U637" i="4"/>
  <c r="U552" i="4"/>
  <c r="U505" i="4"/>
  <c r="U438" i="4"/>
  <c r="U541" i="4"/>
  <c r="U576" i="4"/>
  <c r="U486" i="4"/>
  <c r="U439" i="4"/>
  <c r="U501" i="4"/>
  <c r="U573" i="4"/>
  <c r="U493" i="4"/>
  <c r="U377" i="4"/>
  <c r="U488" i="4"/>
  <c r="U534" i="4"/>
  <c r="U406" i="4"/>
  <c r="U421" i="4"/>
  <c r="U413" i="4"/>
  <c r="U420" i="4"/>
  <c r="U358" i="4"/>
  <c r="U388" i="4"/>
  <c r="U350" i="4"/>
  <c r="U316" i="4"/>
  <c r="U254" i="4"/>
  <c r="U299" i="4"/>
  <c r="U194" i="4"/>
  <c r="U135" i="4"/>
  <c r="U231" i="4"/>
  <c r="U142" i="4"/>
  <c r="U126" i="4"/>
  <c r="T490" i="4"/>
  <c r="T653" i="4"/>
  <c r="T597" i="4"/>
  <c r="T487" i="4"/>
  <c r="T525" i="4"/>
  <c r="T573" i="4"/>
  <c r="T415" i="4"/>
  <c r="T367" i="4"/>
  <c r="T276" i="4"/>
  <c r="T242" i="4"/>
  <c r="T147" i="4"/>
  <c r="U591" i="4"/>
  <c r="U550" i="4"/>
  <c r="U634" i="4"/>
  <c r="U621" i="4"/>
  <c r="U526" i="4"/>
  <c r="U579" i="4"/>
  <c r="U590" i="4"/>
  <c r="U613" i="4"/>
  <c r="U555" i="4"/>
  <c r="U657" i="4"/>
  <c r="U599" i="4"/>
  <c r="U414" i="4"/>
  <c r="U630" i="4"/>
  <c r="U547" i="4"/>
  <c r="U495" i="4"/>
  <c r="U431" i="4"/>
  <c r="U533" i="4"/>
  <c r="U574" i="4"/>
  <c r="U484" i="4"/>
  <c r="U553" i="4"/>
  <c r="U499" i="4"/>
  <c r="U556" i="4"/>
  <c r="U491" i="4"/>
  <c r="U575" i="4"/>
  <c r="U483" i="4"/>
  <c r="U511" i="4"/>
  <c r="U372" i="4"/>
  <c r="U415" i="4"/>
  <c r="U403" i="4"/>
  <c r="U417" i="4"/>
  <c r="U365" i="4"/>
  <c r="U375" i="4"/>
  <c r="U338" i="4"/>
  <c r="U298" i="4"/>
  <c r="U305" i="4"/>
  <c r="U258" i="4"/>
  <c r="U220" i="4"/>
  <c r="U232" i="4"/>
  <c r="U203" i="4"/>
  <c r="U123" i="4"/>
  <c r="T651" i="4"/>
  <c r="T593" i="4"/>
  <c r="T590" i="4"/>
  <c r="T588" i="4"/>
  <c r="T516" i="4"/>
  <c r="T484" i="4"/>
  <c r="T504" i="4"/>
  <c r="T376" i="4"/>
  <c r="T332" i="4"/>
  <c r="T252" i="4"/>
  <c r="T198" i="4"/>
  <c r="U577" i="4"/>
  <c r="U623" i="4"/>
  <c r="U650" i="4"/>
  <c r="U605" i="4"/>
  <c r="U617" i="4"/>
  <c r="U641" i="4"/>
  <c r="U545" i="4"/>
  <c r="U602" i="4"/>
  <c r="U587" i="4"/>
  <c r="U624" i="4"/>
  <c r="U581" i="4"/>
  <c r="U648" i="4"/>
  <c r="U582" i="4"/>
  <c r="U520" i="4"/>
  <c r="U479" i="4"/>
  <c r="U561" i="4"/>
  <c r="U497" i="4"/>
  <c r="U519" i="4"/>
  <c r="U465" i="4"/>
  <c r="U524" i="4"/>
  <c r="U433" i="4"/>
  <c r="U521" i="4"/>
  <c r="U426" i="4"/>
  <c r="U543" i="4"/>
  <c r="U353" i="4"/>
  <c r="U496" i="4"/>
  <c r="U346" i="4"/>
  <c r="U455" i="4"/>
  <c r="U345" i="4"/>
  <c r="U363" i="4"/>
  <c r="U396" i="4"/>
  <c r="U315" i="4"/>
  <c r="U286" i="4"/>
  <c r="U285" i="4"/>
  <c r="U302" i="4"/>
  <c r="U307" i="4"/>
  <c r="U202" i="4"/>
  <c r="U205" i="4"/>
  <c r="U152" i="4"/>
  <c r="U144" i="4"/>
  <c r="U469" i="4"/>
  <c r="U570" i="4"/>
  <c r="U532" i="4"/>
  <c r="U462" i="4"/>
  <c r="U529" i="4"/>
  <c r="U490" i="4"/>
  <c r="U441" i="4"/>
  <c r="U445" i="4"/>
  <c r="U466" i="4"/>
  <c r="U390" i="4"/>
  <c r="U463" i="4"/>
  <c r="U393" i="4"/>
  <c r="U274" i="4"/>
  <c r="U382" i="4"/>
  <c r="U364" i="4"/>
  <c r="U332" i="4"/>
  <c r="U328" i="4"/>
  <c r="U290" i="4"/>
  <c r="U189" i="4"/>
  <c r="U280" i="4"/>
  <c r="U294" i="4"/>
  <c r="U277" i="4"/>
  <c r="U186" i="4"/>
  <c r="U213" i="4"/>
  <c r="U178" i="4"/>
  <c r="U197" i="4"/>
  <c r="U162" i="4"/>
  <c r="U131" i="4"/>
  <c r="U122" i="4"/>
  <c r="U434" i="4"/>
  <c r="U568" i="4"/>
  <c r="U527" i="4"/>
  <c r="U457" i="4"/>
  <c r="U517" i="4"/>
  <c r="U477" i="4"/>
  <c r="U432" i="4"/>
  <c r="U443" i="4"/>
  <c r="U464" i="4"/>
  <c r="U387" i="4"/>
  <c r="U454" i="4"/>
  <c r="U376" i="4"/>
  <c r="U405" i="4"/>
  <c r="U367" i="4"/>
  <c r="U359" i="4"/>
  <c r="U327" i="4"/>
  <c r="U312" i="4"/>
  <c r="U276" i="4"/>
  <c r="U295" i="4"/>
  <c r="U271" i="4"/>
  <c r="U289" i="4"/>
  <c r="U261" i="4"/>
  <c r="U246" i="4"/>
  <c r="U206" i="4"/>
  <c r="U224" i="4"/>
  <c r="U187" i="4"/>
  <c r="U139" i="4"/>
  <c r="U181" i="4"/>
  <c r="U428" i="4"/>
  <c r="U566" i="4"/>
  <c r="U523" i="4"/>
  <c r="U456" i="4"/>
  <c r="U514" i="4"/>
  <c r="U471" i="4"/>
  <c r="U427" i="4"/>
  <c r="U424" i="4"/>
  <c r="U461" i="4"/>
  <c r="U384" i="4"/>
  <c r="U442" i="4"/>
  <c r="U371" i="4"/>
  <c r="U373" i="4"/>
  <c r="U323" i="4"/>
  <c r="U344" i="4"/>
  <c r="U322" i="4"/>
  <c r="U309" i="4"/>
  <c r="U253" i="4"/>
  <c r="U282" i="4"/>
  <c r="U252" i="4"/>
  <c r="U287" i="4"/>
  <c r="U248" i="4"/>
  <c r="U233" i="4"/>
  <c r="U191" i="4"/>
  <c r="U209" i="4"/>
  <c r="U155" i="4"/>
  <c r="U132" i="4"/>
  <c r="U172" i="4"/>
  <c r="U175" i="4"/>
  <c r="U121" i="4"/>
  <c r="U128" i="4"/>
  <c r="U200" i="4"/>
  <c r="U180" i="4"/>
  <c r="U179" i="4"/>
  <c r="U136" i="4"/>
  <c r="U127" i="4"/>
  <c r="U313" i="4"/>
  <c r="U357" i="4"/>
  <c r="U392" i="4"/>
  <c r="U407" i="4"/>
  <c r="U245" i="4"/>
  <c r="U360" i="4"/>
  <c r="U310" i="4"/>
  <c r="U317" i="4"/>
  <c r="U341" i="4"/>
  <c r="U362" i="4"/>
  <c r="U265" i="4"/>
  <c r="U279" i="4"/>
  <c r="U266" i="4"/>
  <c r="U278" i="4"/>
  <c r="U275" i="4"/>
  <c r="U272" i="4"/>
  <c r="U296" i="4"/>
  <c r="U234" i="4"/>
  <c r="U244" i="4"/>
  <c r="U193" i="4"/>
  <c r="U240" i="4"/>
  <c r="U133" i="4"/>
  <c r="U158" i="4"/>
  <c r="U163" i="4"/>
  <c r="U149" i="4"/>
  <c r="U176" i="4"/>
  <c r="U170" i="4"/>
  <c r="U151" i="4"/>
  <c r="U164" i="4"/>
  <c r="U125" i="4"/>
  <c r="U399" i="4"/>
  <c r="U408" i="4"/>
  <c r="U380" i="4"/>
  <c r="U398" i="4"/>
  <c r="U404" i="4"/>
  <c r="U336" i="4"/>
  <c r="U308" i="4"/>
  <c r="U361" i="4"/>
  <c r="U331" i="4"/>
  <c r="U354" i="4"/>
  <c r="U257" i="4"/>
  <c r="U250" i="4"/>
  <c r="U262" i="4"/>
  <c r="U273" i="4"/>
  <c r="U256" i="4"/>
  <c r="U263" i="4"/>
  <c r="U291" i="4"/>
  <c r="U211" i="4"/>
  <c r="U241" i="4"/>
  <c r="U153" i="4"/>
  <c r="U236" i="4"/>
  <c r="U243" i="4"/>
  <c r="U235" i="4"/>
  <c r="U160" i="4"/>
  <c r="U147" i="4"/>
  <c r="U159" i="4"/>
  <c r="U167" i="4"/>
  <c r="U146" i="4"/>
  <c r="U130" i="4"/>
  <c r="U383" i="4"/>
  <c r="U386" i="4"/>
  <c r="U370" i="4"/>
  <c r="U394" i="4"/>
  <c r="U391" i="4"/>
  <c r="U356" i="4"/>
  <c r="U255" i="4"/>
  <c r="U347" i="4"/>
  <c r="U314" i="4"/>
  <c r="U330" i="4"/>
  <c r="U229" i="4"/>
  <c r="U217" i="4"/>
  <c r="U247" i="4"/>
  <c r="U259" i="4"/>
  <c r="U204" i="4"/>
  <c r="U251" i="4"/>
  <c r="U270" i="4"/>
  <c r="U184" i="4"/>
  <c r="U230" i="4"/>
  <c r="U225" i="4"/>
  <c r="U201" i="4"/>
  <c r="U215" i="4"/>
  <c r="U212" i="4"/>
  <c r="U143" i="4"/>
  <c r="U168" i="4"/>
  <c r="U145" i="4"/>
  <c r="U156" i="4"/>
  <c r="U138" i="4"/>
  <c r="U129" i="4"/>
  <c r="U448" i="4"/>
  <c r="U453" i="4"/>
  <c r="U381" i="4"/>
  <c r="U437" i="4"/>
  <c r="U337" i="4"/>
  <c r="U436" i="4"/>
  <c r="U395" i="4"/>
  <c r="U325" i="4"/>
  <c r="U402" i="4"/>
  <c r="U326" i="4"/>
  <c r="U335" i="4"/>
  <c r="U385" i="4"/>
  <c r="U348" i="4"/>
  <c r="U269" i="4"/>
  <c r="U352" i="4"/>
  <c r="U334" i="4"/>
  <c r="U319" i="4"/>
  <c r="U281" i="4"/>
  <c r="U306" i="4"/>
  <c r="U303" i="4"/>
  <c r="U183" i="4"/>
  <c r="U264" i="4"/>
  <c r="U226" i="4"/>
  <c r="U267" i="4"/>
  <c r="U301" i="4"/>
  <c r="U242" i="4"/>
  <c r="U199" i="4"/>
  <c r="U216" i="4"/>
  <c r="U222" i="4"/>
  <c r="U219" i="4"/>
  <c r="U227" i="4"/>
  <c r="U239" i="4"/>
  <c r="U173" i="4"/>
  <c r="U171" i="4"/>
  <c r="U157" i="4"/>
  <c r="U137" i="4"/>
  <c r="U134" i="4"/>
  <c r="U141" i="4"/>
  <c r="T498" i="4"/>
  <c r="T609" i="4"/>
  <c r="T534" i="4"/>
  <c r="T623" i="4"/>
  <c r="T655" i="4"/>
  <c r="T603" i="4"/>
  <c r="T633" i="4"/>
  <c r="T625" i="4"/>
  <c r="T577" i="4"/>
  <c r="T604" i="4"/>
  <c r="T657" i="4"/>
  <c r="T599" i="4"/>
  <c r="T562" i="4"/>
  <c r="T503" i="4"/>
  <c r="T430" i="4"/>
  <c r="T522" i="4"/>
  <c r="T482" i="4"/>
  <c r="T541" i="4"/>
  <c r="T409" i="4"/>
  <c r="T494" i="4"/>
  <c r="T449" i="4"/>
  <c r="T515" i="4"/>
  <c r="T425" i="4"/>
  <c r="T518" i="4"/>
  <c r="T435" i="4"/>
  <c r="T558" i="4"/>
  <c r="T488" i="4"/>
  <c r="T465" i="4"/>
  <c r="T372" i="4"/>
  <c r="T458" i="4"/>
  <c r="T400" i="4"/>
  <c r="T341" i="4"/>
  <c r="T434" i="4"/>
  <c r="T362" i="4"/>
  <c r="T371" i="4"/>
  <c r="T265" i="4"/>
  <c r="T392" i="4"/>
  <c r="T311" i="4"/>
  <c r="T328" i="4"/>
  <c r="T369" i="4"/>
  <c r="T318" i="4"/>
  <c r="T344" i="4"/>
  <c r="T327" i="4"/>
  <c r="T338" i="4"/>
  <c r="T360" i="4"/>
  <c r="T319" i="4"/>
  <c r="T269" i="4"/>
  <c r="T279" i="4"/>
  <c r="T268" i="4"/>
  <c r="T292" i="4"/>
  <c r="T249" i="4"/>
  <c r="T200" i="4"/>
  <c r="T258" i="4"/>
  <c r="T214" i="4"/>
  <c r="T237" i="4"/>
  <c r="T199" i="4"/>
  <c r="T202" i="4"/>
  <c r="T206" i="4"/>
  <c r="T188" i="4"/>
  <c r="T205" i="4"/>
  <c r="T150" i="4"/>
  <c r="T155" i="4"/>
  <c r="T139" i="4"/>
  <c r="T656" i="4"/>
  <c r="T648" i="4"/>
  <c r="T514" i="4"/>
  <c r="T420" i="4"/>
  <c r="T598" i="4"/>
  <c r="T647" i="4"/>
  <c r="T589" i="4"/>
  <c r="T617" i="4"/>
  <c r="T620" i="4"/>
  <c r="T496" i="4"/>
  <c r="T602" i="4"/>
  <c r="T646" i="4"/>
  <c r="T594" i="4"/>
  <c r="T557" i="4"/>
  <c r="T500" i="4"/>
  <c r="T414" i="4"/>
  <c r="T520" i="4"/>
  <c r="T479" i="4"/>
  <c r="T533" i="4"/>
  <c r="T576" i="4"/>
  <c r="T486" i="4"/>
  <c r="T440" i="4"/>
  <c r="T509" i="4"/>
  <c r="T418" i="4"/>
  <c r="T512" i="4"/>
  <c r="T428" i="4"/>
  <c r="T546" i="4"/>
  <c r="T483" i="4"/>
  <c r="T462" i="4"/>
  <c r="T340" i="4"/>
  <c r="T453" i="4"/>
  <c r="T381" i="4"/>
  <c r="T379" i="4"/>
  <c r="T426" i="4"/>
  <c r="T316" i="4"/>
  <c r="T366" i="4"/>
  <c r="T408" i="4"/>
  <c r="T380" i="4"/>
  <c r="T298" i="4"/>
  <c r="T323" i="4"/>
  <c r="T364" i="4"/>
  <c r="T307" i="4"/>
  <c r="T339" i="4"/>
  <c r="T322" i="4"/>
  <c r="T283" i="4"/>
  <c r="T358" i="4"/>
  <c r="T301" i="4"/>
  <c r="T260" i="4"/>
  <c r="T250" i="4"/>
  <c r="T266" i="4"/>
  <c r="T280" i="4"/>
  <c r="T244" i="4"/>
  <c r="T299" i="4"/>
  <c r="T251" i="4"/>
  <c r="T208" i="4"/>
  <c r="T234" i="4"/>
  <c r="T186" i="4"/>
  <c r="T196" i="4"/>
  <c r="T191" i="4"/>
  <c r="T185" i="4"/>
  <c r="T195" i="4"/>
  <c r="T140" i="4"/>
  <c r="T143" i="4"/>
  <c r="T132" i="4"/>
  <c r="T417" i="4"/>
  <c r="T377" i="4"/>
  <c r="T459" i="4"/>
  <c r="T313" i="4"/>
  <c r="T291" i="4"/>
  <c r="T278" i="4"/>
  <c r="T451" i="4"/>
  <c r="T373" i="4"/>
  <c r="T349" i="4"/>
  <c r="T193" i="4"/>
  <c r="T643" i="4"/>
  <c r="T630" i="4"/>
  <c r="T637" i="4"/>
  <c r="T642" i="4"/>
  <c r="T587" i="4"/>
  <c r="T621" i="4"/>
  <c r="T650" i="4"/>
  <c r="T595" i="4"/>
  <c r="T586" i="4"/>
  <c r="T649" i="4"/>
  <c r="T578" i="4"/>
  <c r="T632" i="4"/>
  <c r="T585" i="4"/>
  <c r="T550" i="4"/>
  <c r="T468" i="4"/>
  <c r="T567" i="4"/>
  <c r="T510" i="4"/>
  <c r="T431" i="4"/>
  <c r="T513" i="4"/>
  <c r="T564" i="4"/>
  <c r="T481" i="4"/>
  <c r="T553" i="4"/>
  <c r="T499" i="4"/>
  <c r="T556" i="4"/>
  <c r="T491" i="4"/>
  <c r="T575" i="4"/>
  <c r="T540" i="4"/>
  <c r="T457" i="4"/>
  <c r="T438" i="4"/>
  <c r="T448" i="4"/>
  <c r="T445" i="4"/>
  <c r="T321" i="4"/>
  <c r="T460" i="4"/>
  <c r="T345" i="4"/>
  <c r="T399" i="4"/>
  <c r="T357" i="4"/>
  <c r="T386" i="4"/>
  <c r="T370" i="4"/>
  <c r="T398" i="4"/>
  <c r="T401" i="4"/>
  <c r="T353" i="4"/>
  <c r="T277" i="4"/>
  <c r="T315" i="4"/>
  <c r="T261" i="4"/>
  <c r="T314" i="4"/>
  <c r="T346" i="4"/>
  <c r="T231" i="4"/>
  <c r="T253" i="4"/>
  <c r="T197" i="4"/>
  <c r="T254" i="4"/>
  <c r="T273" i="4"/>
  <c r="T302" i="4"/>
  <c r="T289" i="4"/>
  <c r="T229" i="4"/>
  <c r="T192" i="4"/>
  <c r="T194" i="4"/>
  <c r="T233" i="4"/>
  <c r="T238" i="4"/>
  <c r="T236" i="4"/>
  <c r="T243" i="4"/>
  <c r="T166" i="4"/>
  <c r="T133" i="4"/>
  <c r="T177" i="4"/>
  <c r="T142" i="4"/>
  <c r="T543" i="4"/>
  <c r="T410" i="4"/>
  <c r="T404" i="4"/>
  <c r="T255" i="4"/>
  <c r="T181" i="4"/>
  <c r="T627" i="4"/>
  <c r="T548" i="4"/>
  <c r="T618" i="4"/>
  <c r="T639" i="4"/>
  <c r="T584" i="4"/>
  <c r="T614" i="4"/>
  <c r="T631" i="4"/>
  <c r="T592" i="4"/>
  <c r="T583" i="4"/>
  <c r="T644" i="4"/>
  <c r="T529" i="4"/>
  <c r="T624" i="4"/>
  <c r="T581" i="4"/>
  <c r="T545" i="4"/>
  <c r="T464" i="4"/>
  <c r="T552" i="4"/>
  <c r="T505" i="4"/>
  <c r="T571" i="4"/>
  <c r="T502" i="4"/>
  <c r="T536" i="4"/>
  <c r="T473" i="4"/>
  <c r="T551" i="4"/>
  <c r="T478" i="4"/>
  <c r="T538" i="4"/>
  <c r="T485" i="4"/>
  <c r="T570" i="4"/>
  <c r="T532" i="4"/>
  <c r="T456" i="4"/>
  <c r="T429" i="4"/>
  <c r="T441" i="4"/>
  <c r="T443" i="4"/>
  <c r="T403" i="4"/>
  <c r="T452" i="4"/>
  <c r="T406" i="4"/>
  <c r="T395" i="4"/>
  <c r="T354" i="4"/>
  <c r="T378" i="4"/>
  <c r="T365" i="4"/>
  <c r="T396" i="4"/>
  <c r="T391" i="4"/>
  <c r="T337" i="4"/>
  <c r="T274" i="4"/>
  <c r="T310" i="4"/>
  <c r="T361" i="4"/>
  <c r="T312" i="4"/>
  <c r="T343" i="4"/>
  <c r="T300" i="4"/>
  <c r="T203" i="4"/>
  <c r="T187" i="4"/>
  <c r="T247" i="4"/>
  <c r="T271" i="4"/>
  <c r="T284" i="4"/>
  <c r="T287" i="4"/>
  <c r="T226" i="4"/>
  <c r="T189" i="4"/>
  <c r="T184" i="4"/>
  <c r="T230" i="4"/>
  <c r="T228" i="4"/>
  <c r="T232" i="4"/>
  <c r="T227" i="4"/>
  <c r="T164" i="4"/>
  <c r="T129" i="4"/>
  <c r="T171" i="4"/>
  <c r="T134" i="4"/>
  <c r="T493" i="4"/>
  <c r="T333" i="4"/>
  <c r="T389" i="4"/>
  <c r="T320" i="4"/>
  <c r="T262" i="4"/>
  <c r="T135" i="4"/>
  <c r="T654" i="4"/>
  <c r="T506" i="4"/>
  <c r="T615" i="4"/>
  <c r="T636" i="4"/>
  <c r="T580" i="4"/>
  <c r="T611" i="4"/>
  <c r="T658" i="4"/>
  <c r="T579" i="4"/>
  <c r="T517" i="4"/>
  <c r="T613" i="4"/>
  <c r="T442" i="4"/>
  <c r="T622" i="4"/>
  <c r="T560" i="4"/>
  <c r="T542" i="4"/>
  <c r="T463" i="4"/>
  <c r="T547" i="4"/>
  <c r="T495" i="4"/>
  <c r="T561" i="4"/>
  <c r="T497" i="4"/>
  <c r="T528" i="4"/>
  <c r="T470" i="4"/>
  <c r="T549" i="4"/>
  <c r="T455" i="4"/>
  <c r="T535" i="4"/>
  <c r="T480" i="4"/>
  <c r="T568" i="4"/>
  <c r="T527" i="4"/>
  <c r="T437" i="4"/>
  <c r="T422" i="4"/>
  <c r="T432" i="4"/>
  <c r="T424" i="4"/>
  <c r="T390" i="4"/>
  <c r="T450" i="4"/>
  <c r="T397" i="4"/>
  <c r="T393" i="4"/>
  <c r="T334" i="4"/>
  <c r="T296" i="4"/>
  <c r="T355" i="4"/>
  <c r="T394" i="4"/>
  <c r="T388" i="4"/>
  <c r="T335" i="4"/>
  <c r="T359" i="4"/>
  <c r="T308" i="4"/>
  <c r="T352" i="4"/>
  <c r="T309" i="4"/>
  <c r="T336" i="4"/>
  <c r="T290" i="4"/>
  <c r="T306" i="4"/>
  <c r="T303" i="4"/>
  <c r="T241" i="4"/>
  <c r="T264" i="4"/>
  <c r="T275" i="4"/>
  <c r="T272" i="4"/>
  <c r="T223" i="4"/>
  <c r="T183" i="4"/>
  <c r="T124" i="4"/>
  <c r="AO124" i="4"/>
  <c r="T218" i="4"/>
  <c r="T225" i="4"/>
  <c r="T219" i="4"/>
  <c r="T224" i="4"/>
  <c r="T178" i="4"/>
  <c r="T173" i="4"/>
  <c r="T152" i="4"/>
  <c r="T128" i="4"/>
  <c r="T501" i="4"/>
  <c r="T475" i="4"/>
  <c r="T467" i="4"/>
  <c r="T304" i="4"/>
  <c r="T363" i="4"/>
  <c r="T407" i="4"/>
  <c r="T257" i="4"/>
  <c r="T317" i="4"/>
  <c r="T270" i="4"/>
  <c r="T235" i="4"/>
  <c r="T246" i="4"/>
  <c r="T239" i="4"/>
  <c r="T294" i="4"/>
  <c r="T245" i="4"/>
  <c r="T204" i="4"/>
  <c r="T211" i="4"/>
  <c r="T169" i="4"/>
  <c r="T240" i="4"/>
  <c r="T190" i="4"/>
  <c r="T182" i="4"/>
  <c r="T145" i="4"/>
  <c r="T606" i="4"/>
  <c r="T508" i="4"/>
  <c r="T596" i="4"/>
  <c r="T634" i="4"/>
  <c r="T477" i="4"/>
  <c r="T608" i="4"/>
  <c r="T645" i="4"/>
  <c r="T641" i="4"/>
  <c r="T511" i="4"/>
  <c r="T610" i="4"/>
  <c r="T412" i="4"/>
  <c r="T619" i="4"/>
  <c r="T572" i="4"/>
  <c r="T537" i="4"/>
  <c r="T447" i="4"/>
  <c r="T539" i="4"/>
  <c r="T492" i="4"/>
  <c r="T559" i="4"/>
  <c r="T476" i="4"/>
  <c r="T519" i="4"/>
  <c r="T466" i="4"/>
  <c r="T544" i="4"/>
  <c r="T454" i="4"/>
  <c r="T530" i="4"/>
  <c r="T472" i="4"/>
  <c r="T566" i="4"/>
  <c r="T523" i="4"/>
  <c r="T436" i="4"/>
  <c r="T419" i="4"/>
  <c r="T427" i="4"/>
  <c r="T421" i="4"/>
  <c r="T387" i="4"/>
  <c r="T444" i="4"/>
  <c r="T374" i="4"/>
  <c r="T383" i="4"/>
  <c r="T330" i="4"/>
  <c r="T405" i="4"/>
  <c r="T351" i="4"/>
  <c r="T382" i="4"/>
  <c r="T385" i="4"/>
  <c r="T329" i="4"/>
  <c r="T356" i="4"/>
  <c r="T342" i="4"/>
  <c r="T350" i="4"/>
  <c r="T286" i="4"/>
  <c r="T326" i="4"/>
  <c r="T288" i="4"/>
  <c r="T293" i="4"/>
  <c r="T295" i="4"/>
  <c r="T305" i="4"/>
  <c r="T259" i="4"/>
  <c r="T256" i="4"/>
  <c r="T267" i="4"/>
  <c r="T221" i="4"/>
  <c r="T175" i="4"/>
  <c r="T220" i="4"/>
  <c r="T216" i="4"/>
  <c r="T222" i="4"/>
  <c r="T201" i="4"/>
  <c r="T215" i="4"/>
  <c r="T158" i="4"/>
  <c r="T163" i="4"/>
  <c r="T149" i="4"/>
  <c r="T123" i="4"/>
  <c r="AO123" i="4"/>
  <c r="AA100" i="4"/>
  <c r="Z101" i="4" a="1"/>
  <c r="Z101" i="4"/>
  <c r="AD101" i="4"/>
  <c r="AE100" i="4"/>
  <c r="AI100" i="4"/>
  <c r="AH100" i="4"/>
  <c r="AF100" i="4"/>
  <c r="AD100" i="4"/>
  <c r="AC100" i="4"/>
  <c r="Z106" i="4" a="1"/>
  <c r="Z106" i="4"/>
  <c r="C54" i="4"/>
  <c r="M16" i="30"/>
  <c r="T168" i="4"/>
  <c r="T121" i="4"/>
  <c r="AO121" i="4"/>
  <c r="T174" i="4"/>
  <c r="T151" i="4"/>
  <c r="T165" i="4"/>
  <c r="T176" i="4"/>
  <c r="T170" i="4"/>
  <c r="T146" i="4"/>
  <c r="T162" i="4"/>
  <c r="T159" i="4"/>
  <c r="T167" i="4"/>
  <c r="T141" i="4"/>
  <c r="T157" i="4"/>
  <c r="T148" i="4"/>
  <c r="T161" i="4"/>
  <c r="T136" i="4"/>
  <c r="T127" i="4"/>
  <c r="T130" i="4"/>
  <c r="T137" i="4"/>
  <c r="T172" i="4"/>
  <c r="T126" i="4"/>
  <c r="AO126" i="4"/>
  <c r="T180" i="4"/>
  <c r="T125" i="4"/>
  <c r="AO125" i="4"/>
  <c r="T179" i="4"/>
  <c r="T154" i="4"/>
  <c r="T122" i="4"/>
  <c r="AO122" i="4"/>
  <c r="T156" i="4"/>
  <c r="T144" i="4"/>
  <c r="T131" i="4"/>
  <c r="BB36" i="4"/>
  <c r="BA37" i="4" a="1"/>
  <c r="BA37" i="4"/>
  <c r="BI37" i="4"/>
  <c r="BE36" i="4"/>
  <c r="BD36" i="4"/>
  <c r="BC36" i="4"/>
  <c r="BI36" i="4"/>
  <c r="F5" i="8"/>
  <c r="F12" i="8"/>
  <c r="F13" i="8"/>
  <c r="F14" i="8"/>
  <c r="F6" i="8"/>
  <c r="F17" i="8"/>
  <c r="F16" i="8"/>
  <c r="F15" i="8"/>
  <c r="F4" i="8"/>
  <c r="F10" i="8"/>
  <c r="F11" i="8"/>
  <c r="F8" i="8"/>
  <c r="F9" i="8"/>
  <c r="F2" i="8"/>
  <c r="F7" i="8"/>
  <c r="F3" i="8"/>
  <c r="S126" i="4"/>
  <c r="V126" i="4"/>
  <c r="AV126" i="4"/>
  <c r="R127" i="4"/>
  <c r="AK36" i="4" a="1"/>
  <c r="AK36" i="4"/>
  <c r="Z103" i="4" a="1"/>
  <c r="Z103" i="4"/>
  <c r="T45" i="4"/>
  <c r="W122" i="4"/>
  <c r="T64" i="4"/>
  <c r="AN375" i="4"/>
  <c r="W121" i="4"/>
  <c r="W124" i="4"/>
  <c r="AF94" i="4"/>
  <c r="AI101" i="4"/>
  <c r="AH101" i="4"/>
  <c r="AB101" i="4"/>
  <c r="AA101" i="4"/>
  <c r="Z102" i="4" a="1"/>
  <c r="Z102" i="4"/>
  <c r="AF102" i="4"/>
  <c r="AC101" i="4"/>
  <c r="AF101" i="4"/>
  <c r="AE101" i="4"/>
  <c r="BH37" i="4"/>
  <c r="BC37" i="4"/>
  <c r="BG37" i="4"/>
  <c r="BF37" i="4"/>
  <c r="BE37" i="4"/>
  <c r="BD37" i="4"/>
  <c r="BB37" i="4"/>
  <c r="G3" i="8" a="1"/>
  <c r="G3" i="8"/>
  <c r="H3" i="8"/>
  <c r="G15" i="8" a="1"/>
  <c r="G15" i="8"/>
  <c r="H15" i="8"/>
  <c r="G7" i="8" a="1"/>
  <c r="G7" i="8"/>
  <c r="H7" i="8"/>
  <c r="G16" i="8" a="1"/>
  <c r="G16" i="8"/>
  <c r="H16" i="8"/>
  <c r="G2" i="8" a="1"/>
  <c r="G2" i="8"/>
  <c r="H2" i="8"/>
  <c r="G17" i="8" a="1"/>
  <c r="G17" i="8"/>
  <c r="H17" i="8"/>
  <c r="G9" i="8" a="1"/>
  <c r="G9" i="8"/>
  <c r="H9" i="8"/>
  <c r="G6" i="8" a="1"/>
  <c r="G6" i="8"/>
  <c r="H6" i="8"/>
  <c r="G8" i="8" a="1"/>
  <c r="G8" i="8"/>
  <c r="H8" i="8"/>
  <c r="G14" i="8" a="1"/>
  <c r="G14" i="8"/>
  <c r="H14" i="8"/>
  <c r="G11" i="8" a="1"/>
  <c r="G11" i="8"/>
  <c r="H11" i="8"/>
  <c r="G13" i="8" a="1"/>
  <c r="G13" i="8"/>
  <c r="H13" i="8"/>
  <c r="G10" i="8" a="1"/>
  <c r="G10" i="8"/>
  <c r="H10" i="8"/>
  <c r="G12" i="8" a="1"/>
  <c r="G12" i="8"/>
  <c r="H12" i="8"/>
  <c r="G4" i="8" a="1"/>
  <c r="G4" i="8"/>
  <c r="H4" i="8"/>
  <c r="G5" i="8" a="1"/>
  <c r="G5" i="8"/>
  <c r="H5" i="8"/>
  <c r="AP36" i="4"/>
  <c r="AX36" i="4"/>
  <c r="AQ36" i="4"/>
  <c r="AR36" i="4"/>
  <c r="AL36" i="4"/>
  <c r="AK37" i="4" a="1"/>
  <c r="AK37" i="4"/>
  <c r="AT36" i="4"/>
  <c r="AM36" i="4"/>
  <c r="AU36" i="4"/>
  <c r="AN36" i="4"/>
  <c r="AV36" i="4"/>
  <c r="AW36" i="4"/>
  <c r="AO36" i="4"/>
  <c r="AS36" i="4"/>
  <c r="AE106" i="4"/>
  <c r="AF106" i="4"/>
  <c r="AH106" i="4"/>
  <c r="AA106" i="4"/>
  <c r="Z107" i="4" a="1"/>
  <c r="Z107" i="4"/>
  <c r="AC106" i="4"/>
  <c r="AB106" i="4"/>
  <c r="AD106" i="4"/>
  <c r="AI106" i="4"/>
  <c r="AD103" i="4"/>
  <c r="AE103" i="4"/>
  <c r="AF103" i="4"/>
  <c r="AI103" i="4"/>
  <c r="AA103" i="4"/>
  <c r="Z104" i="4" a="1"/>
  <c r="Z104" i="4"/>
  <c r="AB103" i="4"/>
  <c r="AH103" i="4"/>
  <c r="AC103" i="4"/>
  <c r="S127" i="4"/>
  <c r="V127" i="4"/>
  <c r="W127" i="4"/>
  <c r="AV127" i="4"/>
  <c r="R128" i="4"/>
  <c r="AO127" i="4"/>
  <c r="W126" i="4"/>
  <c r="W125" i="4"/>
  <c r="W123" i="4"/>
  <c r="W120" i="4"/>
  <c r="AN560" i="4"/>
  <c r="AN538" i="4"/>
  <c r="AN286" i="4"/>
  <c r="AN309" i="4"/>
  <c r="AN404" i="4"/>
  <c r="AN190" i="4"/>
  <c r="AN456" i="4"/>
  <c r="AN340" i="4"/>
  <c r="AN349" i="4"/>
  <c r="AN442" i="4"/>
  <c r="AN392" i="4"/>
  <c r="AN656" i="4"/>
  <c r="AN523" i="4"/>
  <c r="AN539" i="4"/>
  <c r="AN654" i="4"/>
  <c r="AN613" i="4"/>
  <c r="AN379" i="4"/>
  <c r="AN189" i="4"/>
  <c r="AN152" i="4"/>
  <c r="AN555" i="4"/>
  <c r="AN504" i="4"/>
  <c r="AN227" i="4"/>
  <c r="AN409" i="4"/>
  <c r="AN417" i="4"/>
  <c r="AN248" i="4"/>
  <c r="AN278" i="4"/>
  <c r="AN226" i="4"/>
  <c r="AN250" i="4"/>
  <c r="AN251" i="4"/>
  <c r="AN160" i="4"/>
  <c r="AN126" i="4"/>
  <c r="AN188" i="4"/>
  <c r="AN371" i="4"/>
  <c r="AN353" i="4"/>
  <c r="AN333" i="4"/>
  <c r="AN221" i="4"/>
  <c r="AN474" i="4"/>
  <c r="AN334" i="4"/>
  <c r="AN143" i="4"/>
  <c r="AN364" i="4"/>
  <c r="AN265" i="4"/>
  <c r="AN377" i="4"/>
  <c r="AN161" i="4"/>
  <c r="AN198" i="4"/>
  <c r="AN216" i="4"/>
  <c r="AN532" i="4"/>
  <c r="AN561" i="4"/>
  <c r="AN547" i="4"/>
  <c r="AN153" i="4"/>
  <c r="AN522" i="4"/>
  <c r="AN315" i="4"/>
  <c r="AN423" i="4"/>
  <c r="AN218" i="4"/>
  <c r="AN287" i="4"/>
  <c r="AN533" i="4"/>
  <c r="AN562" i="4"/>
  <c r="AN381" i="4"/>
  <c r="AN252" i="4"/>
  <c r="AN159" i="4"/>
  <c r="AN172" i="4"/>
  <c r="AN500" i="4"/>
  <c r="AN502" i="4"/>
  <c r="AN260" i="4"/>
  <c r="AN463" i="4"/>
  <c r="AN150" i="4"/>
  <c r="AN451" i="4"/>
  <c r="AN380" i="4"/>
  <c r="AN171" i="4"/>
  <c r="AN397" i="4"/>
  <c r="AN224" i="4"/>
  <c r="AN175" i="4"/>
  <c r="AN421" i="4"/>
  <c r="AN135" i="4"/>
  <c r="AN528" i="4"/>
  <c r="AN320" i="4"/>
  <c r="AN548" i="4"/>
  <c r="AN521" i="4"/>
  <c r="AN297" i="4"/>
  <c r="AN477" i="4"/>
  <c r="AN348" i="4"/>
  <c r="AN598" i="4"/>
  <c r="AN338" i="4"/>
  <c r="AN257" i="4"/>
  <c r="AN245" i="4"/>
  <c r="AN574" i="4"/>
  <c r="AN398" i="4"/>
  <c r="AN592" i="4"/>
  <c r="AN305" i="4"/>
  <c r="AN514" i="4"/>
  <c r="AN579" i="4"/>
  <c r="AN499" i="4"/>
  <c r="AN460" i="4"/>
  <c r="AN276" i="4"/>
  <c r="AN544" i="4"/>
  <c r="AN177" i="4"/>
  <c r="AN480" i="4"/>
  <c r="AN426" i="4"/>
  <c r="AN384" i="4"/>
  <c r="AN653" i="4"/>
  <c r="AN530" i="4"/>
  <c r="AN575" i="4"/>
  <c r="AN211" i="4"/>
  <c r="AN255" i="4"/>
  <c r="AN479" i="4"/>
  <c r="AN342" i="4"/>
  <c r="AN620" i="4"/>
  <c r="AN356" i="4"/>
  <c r="AN411" i="4"/>
  <c r="AN586" i="4"/>
  <c r="AN546" i="4"/>
  <c r="AN194" i="4"/>
  <c r="AN462" i="4"/>
  <c r="AN307" i="4"/>
  <c r="AN336" i="4"/>
  <c r="AN637" i="4"/>
  <c r="AN125" i="4"/>
  <c r="AN552" i="4"/>
  <c r="AN304" i="4"/>
  <c r="AN455" i="4"/>
  <c r="AN223" i="4"/>
  <c r="AN410" i="4"/>
  <c r="AN374" i="4"/>
  <c r="AN329" i="4"/>
  <c r="AN626" i="4"/>
  <c r="AN354" i="4"/>
  <c r="AN534" i="4"/>
  <c r="AN247" i="4"/>
  <c r="AN453" i="4"/>
  <c r="AN268" i="4"/>
  <c r="AN313" i="4"/>
  <c r="AN258" i="4"/>
  <c r="AN326" i="4"/>
  <c r="AN391" i="4"/>
  <c r="AN458" i="4"/>
  <c r="AN207" i="4"/>
  <c r="AN387" i="4"/>
  <c r="AN302" i="4"/>
  <c r="AN253" i="4"/>
  <c r="AN167" i="4"/>
  <c r="AN452" i="4"/>
  <c r="AN142" i="4"/>
  <c r="AN578" i="4"/>
  <c r="AN282" i="4"/>
  <c r="AN527" i="4"/>
  <c r="AN288" i="4"/>
  <c r="AN129" i="4"/>
  <c r="AN168" i="4"/>
  <c r="AN472" i="4"/>
  <c r="AN610" i="4"/>
  <c r="AN328" i="4"/>
  <c r="AN197" i="4"/>
  <c r="AN249" i="4"/>
  <c r="AN583" i="4"/>
  <c r="AN571" i="4"/>
  <c r="AN617" i="4"/>
  <c r="AN210" i="4"/>
  <c r="AN457" i="4"/>
  <c r="AN516" i="4"/>
  <c r="AN643" i="4"/>
  <c r="AN582" i="4"/>
  <c r="AN317" i="4"/>
  <c r="AN509" i="4"/>
  <c r="AN187" i="4"/>
  <c r="AN524" i="4"/>
  <c r="AN437" i="4"/>
  <c r="AN399" i="4"/>
  <c r="AN639" i="4"/>
  <c r="AN230" i="4"/>
  <c r="AN266" i="4"/>
  <c r="AN506" i="4"/>
  <c r="AN394" i="4"/>
  <c r="AN621" i="4"/>
  <c r="AN370" i="4"/>
  <c r="AN612" i="4"/>
  <c r="AN351" i="4"/>
  <c r="AN486" i="4"/>
  <c r="AN606" i="4"/>
  <c r="AN554" i="4"/>
  <c r="AN262" i="4"/>
  <c r="AN563" i="4"/>
  <c r="AN402" i="4"/>
  <c r="AN200" i="4"/>
  <c r="AN382" i="4"/>
  <c r="AN231" i="4"/>
  <c r="AN468" i="4"/>
  <c r="AN306" i="4"/>
  <c r="AN526" i="4"/>
  <c r="AN319" i="4"/>
  <c r="AN323" i="4"/>
  <c r="AN569" i="4"/>
  <c r="AN373" i="4"/>
  <c r="AN646" i="4"/>
  <c r="AN343" i="4"/>
  <c r="AN355" i="4"/>
  <c r="AN291" i="4"/>
  <c r="AN658" i="4"/>
  <c r="AN299" i="4"/>
  <c r="AN393" i="4"/>
  <c r="AN520" i="4"/>
  <c r="AN424" i="4"/>
  <c r="AN390" i="4"/>
  <c r="AN482" i="4"/>
  <c r="AN217" i="4"/>
  <c r="AN324" i="4"/>
  <c r="AN625" i="4"/>
  <c r="AN232" i="4"/>
  <c r="AN185" i="4"/>
  <c r="AN385" i="4"/>
  <c r="AN146" i="4"/>
  <c r="AN498" i="4"/>
  <c r="AN290" i="4"/>
  <c r="AN531" i="4"/>
  <c r="AN264" i="4"/>
  <c r="AN600" i="4"/>
  <c r="AN473" i="4"/>
  <c r="AN273" i="4"/>
  <c r="AN588" i="4"/>
  <c r="AN602" i="4"/>
  <c r="AN587" i="4"/>
  <c r="AN446" i="4"/>
  <c r="AN631" i="4"/>
  <c r="AN605" i="4"/>
  <c r="AN292" i="4"/>
  <c r="AN537" i="4"/>
  <c r="AN572" i="4"/>
  <c r="AN389" i="4"/>
  <c r="AN127" i="4"/>
  <c r="AN362" i="4"/>
  <c r="AN645" i="4"/>
  <c r="AN545" i="4"/>
  <c r="AN629" i="4"/>
  <c r="AN577" i="4"/>
  <c r="AN378" i="4"/>
  <c r="AN630" i="4"/>
  <c r="AN275" i="4"/>
  <c r="AN505" i="4"/>
  <c r="AN400" i="4"/>
  <c r="AN242" i="4"/>
  <c r="AN489" i="4"/>
  <c r="AN296" i="4"/>
  <c r="AN134" i="4"/>
  <c r="AN440" i="4"/>
  <c r="AN367" i="4"/>
  <c r="AN140" i="4"/>
  <c r="AN540" i="4"/>
  <c r="AN206" i="4"/>
  <c r="AN542" i="4"/>
  <c r="AN279" i="4"/>
  <c r="AN431" i="4"/>
  <c r="AN256" i="4"/>
  <c r="AN347" i="4"/>
  <c r="AN608" i="4"/>
  <c r="AN303" i="4"/>
  <c r="AN611" i="4"/>
  <c r="AN322" i="4"/>
  <c r="AN219" i="4"/>
  <c r="AN517" i="4"/>
  <c r="AN478" i="4"/>
  <c r="AN604" i="4"/>
  <c r="AN346" i="4"/>
  <c r="AN659" i="4"/>
  <c r="AN169" i="4"/>
  <c r="AN238" i="4"/>
  <c r="AN128" i="4"/>
  <c r="AN155" i="4"/>
  <c r="AN501" i="4"/>
  <c r="AN590" i="4"/>
  <c r="AN271" i="4"/>
  <c r="AN490" i="4"/>
  <c r="AN199" i="4"/>
  <c r="AN425" i="4"/>
  <c r="AN203" i="4"/>
  <c r="AN259" i="4"/>
  <c r="AN549" i="4"/>
  <c r="AN267" i="4"/>
  <c r="AN649" i="4"/>
  <c r="AN205" i="4"/>
  <c r="AN331" i="4"/>
  <c r="AN281" i="4"/>
  <c r="AN633" i="4"/>
  <c r="AN449" i="4"/>
  <c r="AN316" i="4"/>
  <c r="AN510" i="4"/>
  <c r="AN136" i="4"/>
  <c r="AN359" i="4"/>
  <c r="AN642" i="4"/>
  <c r="AN650" i="4"/>
  <c r="AN176" i="4"/>
  <c r="AN536" i="4"/>
  <c r="AN283" i="4"/>
  <c r="AN570" i="4"/>
  <c r="AN591" i="4"/>
  <c r="AN414" i="4"/>
  <c r="AN435" i="4"/>
  <c r="AN195" i="4"/>
  <c r="AN593" i="4"/>
  <c r="AN428" i="4"/>
  <c r="AN607" i="4"/>
  <c r="AN184" i="4"/>
  <c r="AN443" i="4"/>
  <c r="AN156" i="4"/>
  <c r="AN386" i="4"/>
  <c r="AN515" i="4"/>
  <c r="AN580" i="4"/>
  <c r="AN559" i="4"/>
  <c r="AN295" i="4"/>
  <c r="AN518" i="4"/>
  <c r="AN325" i="4"/>
  <c r="AN494" i="4"/>
  <c r="AN145" i="4"/>
  <c r="AN225" i="4"/>
  <c r="AN508" i="4"/>
  <c r="AN261" i="4"/>
  <c r="AN589" i="4"/>
  <c r="AN269" i="4"/>
  <c r="AN407" i="4"/>
  <c r="AN406" i="4"/>
  <c r="AN466" i="4"/>
  <c r="AN178" i="4"/>
  <c r="AN401" i="4"/>
  <c r="AN623" i="4"/>
  <c r="AN301" i="4"/>
  <c r="AN438" i="4"/>
  <c r="AN543" i="4"/>
  <c r="AN465" i="4"/>
  <c r="AN147" i="4"/>
  <c r="AN337" i="4"/>
  <c r="AN614" i="4"/>
  <c r="AN294" i="4"/>
  <c r="AN557" i="4"/>
  <c r="AN415" i="4"/>
  <c r="AN467" i="4"/>
  <c r="AN293" i="4"/>
  <c r="AN556" i="4"/>
  <c r="AN632" i="4"/>
  <c r="AN403" i="4"/>
  <c r="AN163" i="4"/>
  <c r="AN430" i="4"/>
  <c r="AN192" i="4"/>
  <c r="AN310" i="4"/>
  <c r="AN471" i="4"/>
  <c r="AN388" i="4"/>
  <c r="AN601" i="4"/>
  <c r="AN418" i="4"/>
  <c r="AN243" i="4"/>
  <c r="AN419" i="4"/>
  <c r="AN157" i="4"/>
  <c r="AN597" i="4"/>
  <c r="AN469" i="4"/>
  <c r="AN151" i="4"/>
  <c r="AN511" i="4"/>
  <c r="AN433" i="4"/>
  <c r="AN154" i="4"/>
  <c r="AN564" i="4"/>
  <c r="AN447" i="4"/>
  <c r="AN657" i="4"/>
  <c r="AN638" i="4"/>
  <c r="AN222" i="4"/>
  <c r="AN196" i="4"/>
  <c r="AN595" i="4"/>
  <c r="AN450" i="4"/>
  <c r="AN209" i="4"/>
  <c r="AN277" i="4"/>
  <c r="AN624" i="4"/>
  <c r="AN314" i="4"/>
  <c r="AN173" i="4"/>
  <c r="AN487" i="4"/>
  <c r="AN420" i="4"/>
  <c r="AN193" i="4"/>
  <c r="AN461" i="4"/>
  <c r="AN618" i="4"/>
  <c r="AN594" i="4"/>
  <c r="AN567" i="4"/>
  <c r="AN298" i="4"/>
  <c r="AN558" i="4"/>
  <c r="AN429" i="4"/>
  <c r="AN413" i="4"/>
  <c r="AN599" i="4"/>
  <c r="AN312" i="4"/>
  <c r="AN513" i="4"/>
  <c r="AN270" i="4"/>
  <c r="AN553" i="4"/>
  <c r="AN272" i="4"/>
  <c r="AN445" i="4"/>
  <c r="AN408" i="4"/>
  <c r="AN485" i="4"/>
  <c r="AN139" i="4"/>
  <c r="AN464" i="4"/>
  <c r="AN183" i="4"/>
  <c r="AN263" i="4"/>
  <c r="AN640" i="4"/>
  <c r="AN641" i="4"/>
  <c r="AN432" i="4"/>
  <c r="AN170" i="4"/>
  <c r="AN491" i="4"/>
  <c r="AN164" i="4"/>
  <c r="AN335" i="4"/>
  <c r="AN565" i="4"/>
  <c r="AN434" i="4"/>
  <c r="AN454" i="4"/>
  <c r="AN395" i="4"/>
  <c r="AN174" i="4"/>
  <c r="AN603" i="4"/>
  <c r="AN284" i="4"/>
  <c r="AN366" i="4"/>
  <c r="AN647" i="4"/>
  <c r="AN345" i="4"/>
  <c r="AN141" i="4"/>
  <c r="AN148" i="4"/>
  <c r="AN441" i="4"/>
  <c r="AN576" i="4"/>
  <c r="AN634" i="4"/>
  <c r="AN519" i="4"/>
  <c r="AN615" i="4"/>
  <c r="AN481" i="4"/>
  <c r="AN214" i="4"/>
  <c r="AN573" i="4"/>
  <c r="AN405" i="4"/>
  <c r="AN186" i="4"/>
  <c r="AN492" i="4"/>
  <c r="AN596" i="4"/>
  <c r="AN493" i="4"/>
  <c r="AN660" i="4"/>
  <c r="AN363" i="4"/>
  <c r="AN585" i="4"/>
  <c r="AN191" i="4"/>
  <c r="AN483" i="4"/>
  <c r="AN229" i="4"/>
  <c r="AN123" i="4"/>
  <c r="AN512" i="4"/>
  <c r="AN236" i="4"/>
  <c r="AN212" i="4"/>
  <c r="AN132" i="4"/>
  <c r="AN133" i="4"/>
  <c r="AN158" i="4"/>
  <c r="AN609" i="4"/>
  <c r="AN448" i="4"/>
  <c r="AN215" i="4"/>
  <c r="AN422" i="4"/>
  <c r="AN644" i="4"/>
  <c r="AN124" i="4"/>
  <c r="AN622" i="4"/>
  <c r="AN213" i="4"/>
  <c r="AN427" i="4"/>
  <c r="AN246" i="4"/>
  <c r="AN201" i="4"/>
  <c r="AN475" i="4"/>
  <c r="AN311" i="4"/>
  <c r="AN332" i="4"/>
  <c r="AN352" i="4"/>
  <c r="AN550" i="4"/>
  <c r="AN274" i="4"/>
  <c r="AN396" i="4"/>
  <c r="AN541" i="4"/>
  <c r="AN496" i="4"/>
  <c r="AN228" i="4"/>
  <c r="AN412" i="4"/>
  <c r="AN369" i="4"/>
  <c r="AN149" i="4"/>
  <c r="AN280" i="4"/>
  <c r="AN130" i="4"/>
  <c r="AN503" i="4"/>
  <c r="AN121" i="4"/>
  <c r="AN459" i="4"/>
  <c r="AN181" i="4"/>
  <c r="AN383" i="4"/>
  <c r="AN551" i="4"/>
  <c r="AN616" i="4"/>
  <c r="AN535" i="4"/>
  <c r="AN165" i="4"/>
  <c r="AN244" i="4"/>
  <c r="AN365" i="4"/>
  <c r="AN655" i="4"/>
  <c r="AN235" i="4"/>
  <c r="AN648" i="4"/>
  <c r="AN341" i="4"/>
  <c r="AN628" i="4"/>
  <c r="AN182" i="4"/>
  <c r="AN476" i="4"/>
  <c r="AN240" i="4"/>
  <c r="AN439" i="4"/>
  <c r="AN372" i="4"/>
  <c r="AN122" i="4"/>
  <c r="AN495" i="4"/>
  <c r="AN162" i="4"/>
  <c r="AN339" i="4"/>
  <c r="AN636" i="4"/>
  <c r="AN488" i="4"/>
  <c r="AN330" i="4"/>
  <c r="AN497" i="4"/>
  <c r="AN239" i="4"/>
  <c r="AN619" i="4"/>
  <c r="AN416" i="4"/>
  <c r="AN204" i="4"/>
  <c r="AN361" i="4"/>
  <c r="AN166" i="4"/>
  <c r="AN300" i="4"/>
  <c r="AN584" i="4"/>
  <c r="AN179" i="4"/>
  <c r="AN525" i="4"/>
  <c r="AN350" i="4"/>
  <c r="AN507" i="4"/>
  <c r="AN344" i="4"/>
  <c r="AN358" i="4"/>
  <c r="AN289" i="4"/>
  <c r="AN234" i="4"/>
  <c r="AN444" i="4"/>
  <c r="AN376" i="4"/>
  <c r="AN208" i="4"/>
  <c r="AN120" i="4"/>
  <c r="AN368" i="4"/>
  <c r="AN566" i="4"/>
  <c r="AN241" i="4"/>
  <c r="AN360" i="4"/>
  <c r="AN318" i="4"/>
  <c r="AN635" i="4"/>
  <c r="AN568" i="4"/>
  <c r="AN285" i="4"/>
  <c r="AN131" i="4"/>
  <c r="AN308" i="4"/>
  <c r="AN321" i="4"/>
  <c r="AN651" i="4"/>
  <c r="AN581" i="4"/>
  <c r="AN220" i="4"/>
  <c r="AN484" i="4"/>
  <c r="AN237" i="4"/>
  <c r="AN357" i="4"/>
  <c r="AN627" i="4"/>
  <c r="AN144" i="4"/>
  <c r="AN254" i="4"/>
  <c r="AN202" i="4"/>
  <c r="AN470" i="4"/>
  <c r="AN137" i="4"/>
  <c r="AN233" i="4"/>
  <c r="AN180" i="4"/>
  <c r="AN529" i="4"/>
  <c r="AN327" i="4"/>
  <c r="AN436" i="4"/>
  <c r="AN138" i="4"/>
  <c r="AN652" i="4"/>
  <c r="AE102" i="4"/>
  <c r="AD102" i="4"/>
  <c r="AA102" i="4"/>
  <c r="AC102" i="4"/>
  <c r="AB102" i="4"/>
  <c r="AI102" i="4"/>
  <c r="AH102" i="4"/>
  <c r="T58" i="4"/>
  <c r="T57" i="4"/>
  <c r="Z112" i="4" a="1"/>
  <c r="Z112" i="4"/>
  <c r="Z111" i="4" a="1"/>
  <c r="Z111" i="4"/>
  <c r="S128" i="4"/>
  <c r="V128" i="4"/>
  <c r="W128" i="4"/>
  <c r="AV128" i="4"/>
  <c r="AO128" i="4"/>
  <c r="R129" i="4"/>
  <c r="Z109" i="4" a="1"/>
  <c r="Z109" i="4"/>
  <c r="Z110" i="4" a="1"/>
  <c r="Z110" i="4"/>
  <c r="AC107" i="4"/>
  <c r="AD107" i="4"/>
  <c r="AE107" i="4"/>
  <c r="AH107" i="4"/>
  <c r="AA107" i="4"/>
  <c r="Z108" i="4" a="1"/>
  <c r="Z108" i="4"/>
  <c r="AI107" i="4"/>
  <c r="AB107" i="4"/>
  <c r="AF107" i="4"/>
  <c r="AQ37" i="4"/>
  <c r="AR37" i="4"/>
  <c r="AS37" i="4"/>
  <c r="AM37" i="4"/>
  <c r="AU37" i="4"/>
  <c r="AN37" i="4"/>
  <c r="AV37" i="4"/>
  <c r="AO37" i="4"/>
  <c r="AW37" i="4"/>
  <c r="AP37" i="4"/>
  <c r="AT37" i="4"/>
  <c r="AX37" i="4"/>
  <c r="AL37" i="4"/>
  <c r="AA104" i="4"/>
  <c r="Z105" i="4" a="1"/>
  <c r="Z105" i="4"/>
  <c r="AB104" i="4"/>
  <c r="AC104" i="4"/>
  <c r="AE104" i="4"/>
  <c r="AH104" i="4"/>
  <c r="AD104" i="4"/>
  <c r="AF104" i="4"/>
  <c r="AI104" i="4"/>
  <c r="M25" i="29"/>
  <c r="M26" i="24"/>
  <c r="M27" i="30"/>
  <c r="T60" i="4"/>
  <c r="D59" i="4"/>
  <c r="D62" i="4"/>
  <c r="M25" i="24"/>
  <c r="M24" i="29"/>
  <c r="M26" i="30"/>
  <c r="D63" i="4"/>
  <c r="AH105" i="4"/>
  <c r="AI105" i="4"/>
  <c r="AA105" i="4"/>
  <c r="AC105" i="4"/>
  <c r="AE105" i="4"/>
  <c r="AF105" i="4"/>
  <c r="AB105" i="4"/>
  <c r="AD105" i="4"/>
  <c r="AC111" i="4"/>
  <c r="AD111" i="4"/>
  <c r="AE111" i="4"/>
  <c r="AH111" i="4"/>
  <c r="AA111" i="4"/>
  <c r="AB111" i="4"/>
  <c r="AF111" i="4"/>
  <c r="AI111" i="4"/>
  <c r="AE110" i="4"/>
  <c r="AF110" i="4"/>
  <c r="AH110" i="4"/>
  <c r="AA110" i="4"/>
  <c r="AC110" i="4"/>
  <c r="AB110" i="4"/>
  <c r="AD110" i="4"/>
  <c r="AI110" i="4"/>
  <c r="AA112" i="4"/>
  <c r="AB112" i="4"/>
  <c r="AC112" i="4"/>
  <c r="AE112" i="4"/>
  <c r="AH112" i="4"/>
  <c r="AD112" i="4"/>
  <c r="AF112" i="4"/>
  <c r="AI112" i="4"/>
  <c r="AH109" i="4"/>
  <c r="AI109" i="4"/>
  <c r="AA109" i="4"/>
  <c r="AC109" i="4"/>
  <c r="AE109" i="4"/>
  <c r="AB109" i="4"/>
  <c r="AD109" i="4"/>
  <c r="AF109" i="4"/>
  <c r="AA108" i="4"/>
  <c r="AB108" i="4"/>
  <c r="AC108" i="4"/>
  <c r="AE108" i="4"/>
  <c r="AH108" i="4"/>
  <c r="AD108" i="4"/>
  <c r="AF108" i="4"/>
  <c r="AI108" i="4"/>
  <c r="S129" i="4"/>
  <c r="V129" i="4"/>
  <c r="W129" i="4"/>
  <c r="AV129" i="4"/>
  <c r="AO129" i="4"/>
  <c r="R130" i="4"/>
  <c r="T62" i="4"/>
  <c r="S130" i="4"/>
  <c r="V130" i="4"/>
  <c r="W130" i="4"/>
  <c r="R131" i="4"/>
  <c r="AV130" i="4"/>
  <c r="AO130" i="4"/>
  <c r="T63" i="4"/>
  <c r="J29" i="4"/>
  <c r="J19" i="4"/>
  <c r="S131" i="4"/>
  <c r="AV131" i="4"/>
  <c r="R132" i="4"/>
  <c r="AO131" i="4"/>
  <c r="V131" i="4"/>
  <c r="W131" i="4"/>
  <c r="S132" i="4"/>
  <c r="AO132" i="4"/>
  <c r="AV132" i="4"/>
  <c r="R133" i="4"/>
  <c r="V132" i="4"/>
  <c r="W132" i="4"/>
  <c r="S133" i="4"/>
  <c r="AO133" i="4"/>
  <c r="AV133" i="4"/>
  <c r="R134" i="4"/>
  <c r="V133" i="4"/>
  <c r="W133" i="4"/>
  <c r="S134" i="4"/>
  <c r="AO134" i="4"/>
  <c r="AV134" i="4"/>
  <c r="R135" i="4"/>
  <c r="V134" i="4"/>
  <c r="W134" i="4"/>
  <c r="AO135" i="4"/>
  <c r="S135" i="4"/>
  <c r="AV135" i="4"/>
  <c r="R136" i="4"/>
  <c r="V135" i="4"/>
  <c r="W135" i="4"/>
  <c r="R137" i="4"/>
  <c r="AO136" i="4"/>
  <c r="AV136" i="4"/>
  <c r="S136" i="4"/>
  <c r="V136" i="4"/>
  <c r="W136" i="4"/>
  <c r="S137" i="4"/>
  <c r="AO137" i="4"/>
  <c r="AV137" i="4"/>
  <c r="R138" i="4"/>
  <c r="V137" i="4"/>
  <c r="W137" i="4"/>
  <c r="R139" i="4"/>
  <c r="AO138" i="4"/>
  <c r="AV138" i="4"/>
  <c r="S138" i="4"/>
  <c r="V138" i="4"/>
  <c r="W138" i="4"/>
  <c r="AO139" i="4"/>
  <c r="S139" i="4"/>
  <c r="AV139" i="4"/>
  <c r="R140" i="4"/>
  <c r="V139" i="4"/>
  <c r="W139" i="4"/>
  <c r="AO140" i="4"/>
  <c r="S140" i="4"/>
  <c r="AV140" i="4"/>
  <c r="R141" i="4"/>
  <c r="V140" i="4"/>
  <c r="W140" i="4"/>
  <c r="R142" i="4"/>
  <c r="AO141" i="4"/>
  <c r="S141" i="4"/>
  <c r="AV141" i="4"/>
  <c r="V141" i="4"/>
  <c r="W141" i="4"/>
  <c r="S142" i="4"/>
  <c r="AO142" i="4"/>
  <c r="AV142" i="4"/>
  <c r="R143" i="4"/>
  <c r="V142" i="4"/>
  <c r="W142" i="4"/>
  <c r="AO143" i="4"/>
  <c r="S143" i="4"/>
  <c r="AV143" i="4"/>
  <c r="R144" i="4"/>
  <c r="V143" i="4"/>
  <c r="W143" i="4"/>
  <c r="R145" i="4"/>
  <c r="AO144" i="4"/>
  <c r="AV144" i="4"/>
  <c r="S144" i="4"/>
  <c r="V144" i="4"/>
  <c r="W144" i="4"/>
  <c r="S145" i="4"/>
  <c r="AO145" i="4"/>
  <c r="AV145" i="4"/>
  <c r="R146" i="4"/>
  <c r="V145" i="4"/>
  <c r="W145" i="4"/>
  <c r="AV146" i="4"/>
  <c r="R147" i="4"/>
  <c r="AO146" i="4"/>
  <c r="S146" i="4"/>
  <c r="V146" i="4"/>
  <c r="W146" i="4"/>
  <c r="R148" i="4"/>
  <c r="S147" i="4"/>
  <c r="AO147" i="4"/>
  <c r="AV147" i="4"/>
  <c r="V147" i="4"/>
  <c r="W147" i="4"/>
  <c r="AO148" i="4"/>
  <c r="S148" i="4"/>
  <c r="AV148" i="4"/>
  <c r="R149" i="4"/>
  <c r="V148" i="4"/>
  <c r="W148" i="4"/>
  <c r="AO149" i="4"/>
  <c r="S149" i="4"/>
  <c r="AV149" i="4"/>
  <c r="R150" i="4"/>
  <c r="V149" i="4"/>
  <c r="W149" i="4"/>
  <c r="AO150" i="4"/>
  <c r="S150" i="4"/>
  <c r="AV150" i="4"/>
  <c r="R151" i="4"/>
  <c r="V150" i="4"/>
  <c r="W150" i="4"/>
  <c r="AV151" i="4"/>
  <c r="R152" i="4"/>
  <c r="S151" i="4"/>
  <c r="AO151" i="4"/>
  <c r="V151" i="4"/>
  <c r="W151" i="4"/>
  <c r="AO152" i="4"/>
  <c r="S152" i="4"/>
  <c r="AV152" i="4"/>
  <c r="R153" i="4"/>
  <c r="V152" i="4"/>
  <c r="W152" i="4"/>
  <c r="AO153" i="4"/>
  <c r="S153" i="4"/>
  <c r="AV153" i="4"/>
  <c r="R154" i="4"/>
  <c r="V153" i="4"/>
  <c r="W153" i="4"/>
  <c r="AO154" i="4"/>
  <c r="AV154" i="4"/>
  <c r="R155" i="4"/>
  <c r="S154" i="4"/>
  <c r="V154" i="4"/>
  <c r="W154" i="4"/>
  <c r="S155" i="4"/>
  <c r="AO155" i="4"/>
  <c r="AV155" i="4"/>
  <c r="R156" i="4"/>
  <c r="V155" i="4"/>
  <c r="W155" i="4"/>
  <c r="S156" i="4"/>
  <c r="AV156" i="4"/>
  <c r="R157" i="4"/>
  <c r="AO156" i="4"/>
  <c r="V156" i="4"/>
  <c r="W156" i="4"/>
  <c r="AO157" i="4"/>
  <c r="S157" i="4"/>
  <c r="AV157" i="4"/>
  <c r="R158" i="4"/>
  <c r="V157" i="4"/>
  <c r="W157" i="4"/>
  <c r="R159" i="4"/>
  <c r="AO158" i="4"/>
  <c r="S158" i="4"/>
  <c r="AV158" i="4"/>
  <c r="V158" i="4"/>
  <c r="W158" i="4"/>
  <c r="AO159" i="4"/>
  <c r="S159" i="4"/>
  <c r="AV159" i="4"/>
  <c r="R160" i="4"/>
  <c r="V159" i="4"/>
  <c r="W159" i="4"/>
  <c r="S160" i="4"/>
  <c r="AO160" i="4"/>
  <c r="AV160" i="4"/>
  <c r="R161" i="4"/>
  <c r="V160" i="4"/>
  <c r="W160" i="4"/>
  <c r="S161" i="4"/>
  <c r="AV161" i="4"/>
  <c r="R162" i="4"/>
  <c r="AO161" i="4"/>
  <c r="V161" i="4"/>
  <c r="W161" i="4"/>
  <c r="AO162" i="4"/>
  <c r="S162" i="4"/>
  <c r="AV162" i="4"/>
  <c r="R163" i="4"/>
  <c r="V162" i="4"/>
  <c r="W162" i="4"/>
  <c r="AO163" i="4"/>
  <c r="S163" i="4"/>
  <c r="AV163" i="4"/>
  <c r="R164" i="4"/>
  <c r="V163" i="4"/>
  <c r="W163" i="4"/>
  <c r="R165" i="4"/>
  <c r="S164" i="4"/>
  <c r="AO164" i="4"/>
  <c r="AV164" i="4"/>
  <c r="V164" i="4"/>
  <c r="W164" i="4"/>
  <c r="S165" i="4"/>
  <c r="AO165" i="4"/>
  <c r="AV165" i="4"/>
  <c r="R166" i="4"/>
  <c r="V165" i="4"/>
  <c r="W165" i="4"/>
  <c r="AO166" i="4"/>
  <c r="S166" i="4"/>
  <c r="AV166" i="4"/>
  <c r="R167" i="4"/>
  <c r="V166" i="4"/>
  <c r="W166" i="4"/>
  <c r="S167" i="4"/>
  <c r="AV167" i="4"/>
  <c r="R168" i="4"/>
  <c r="AO167" i="4"/>
  <c r="V167" i="4"/>
  <c r="W167" i="4"/>
  <c r="S168" i="4"/>
  <c r="AO168" i="4"/>
  <c r="AV168" i="4"/>
  <c r="R169" i="4"/>
  <c r="V168" i="4"/>
  <c r="W168" i="4"/>
  <c r="AO169" i="4"/>
  <c r="S169" i="4"/>
  <c r="AV169" i="4"/>
  <c r="R170" i="4"/>
  <c r="V169" i="4"/>
  <c r="W169" i="4"/>
  <c r="S170" i="4"/>
  <c r="AO170" i="4"/>
  <c r="AV170" i="4"/>
  <c r="R171" i="4"/>
  <c r="V170" i="4"/>
  <c r="W170" i="4"/>
  <c r="S171" i="4"/>
  <c r="AO171" i="4"/>
  <c r="AV171" i="4"/>
  <c r="R172" i="4"/>
  <c r="V171" i="4"/>
  <c r="W171" i="4"/>
  <c r="AO172" i="4"/>
  <c r="AV172" i="4"/>
  <c r="R173" i="4"/>
  <c r="S172" i="4"/>
  <c r="V172" i="4"/>
  <c r="W172" i="4"/>
  <c r="S173" i="4"/>
  <c r="AO173" i="4"/>
  <c r="AV173" i="4"/>
  <c r="R174" i="4"/>
  <c r="V173" i="4"/>
  <c r="W173" i="4"/>
  <c r="S174" i="4"/>
  <c r="AO174" i="4"/>
  <c r="AV174" i="4"/>
  <c r="R175" i="4"/>
  <c r="V174" i="4"/>
  <c r="W174" i="4"/>
  <c r="R176" i="4"/>
  <c r="S175" i="4"/>
  <c r="AO175" i="4"/>
  <c r="AV175" i="4"/>
  <c r="V175" i="4"/>
  <c r="W175" i="4"/>
  <c r="AO176" i="4"/>
  <c r="S176" i="4"/>
  <c r="AV176" i="4"/>
  <c r="R177" i="4"/>
  <c r="V176" i="4"/>
  <c r="W176" i="4"/>
  <c r="AO177" i="4"/>
  <c r="S177" i="4"/>
  <c r="AV177" i="4"/>
  <c r="R178" i="4"/>
  <c r="V177" i="4"/>
  <c r="W177" i="4"/>
  <c r="S178" i="4"/>
  <c r="AO178" i="4"/>
  <c r="AV178" i="4"/>
  <c r="R179" i="4"/>
  <c r="V178" i="4"/>
  <c r="W178" i="4"/>
  <c r="S179" i="4"/>
  <c r="AV179" i="4"/>
  <c r="R180" i="4"/>
  <c r="AO179" i="4"/>
  <c r="V179" i="4"/>
  <c r="W179" i="4"/>
  <c r="S180" i="4"/>
  <c r="AO180" i="4"/>
  <c r="AV180" i="4"/>
  <c r="R181" i="4"/>
  <c r="V180" i="4"/>
  <c r="W180" i="4"/>
  <c r="S181" i="4"/>
  <c r="R182" i="4"/>
  <c r="AO181" i="4"/>
  <c r="AV181" i="4"/>
  <c r="V181" i="4"/>
  <c r="W181" i="4"/>
  <c r="S182" i="4"/>
  <c r="AV182" i="4"/>
  <c r="R183" i="4"/>
  <c r="AO182" i="4"/>
  <c r="V182" i="4"/>
  <c r="W182" i="4"/>
  <c r="AO183" i="4"/>
  <c r="S183" i="4"/>
  <c r="AV183" i="4"/>
  <c r="R184" i="4"/>
  <c r="V183" i="4"/>
  <c r="W183" i="4"/>
  <c r="S184" i="4"/>
  <c r="AO184" i="4"/>
  <c r="AV184" i="4"/>
  <c r="R185" i="4"/>
  <c r="V184" i="4"/>
  <c r="W184" i="4"/>
  <c r="S185" i="4"/>
  <c r="AO185" i="4"/>
  <c r="AV185" i="4"/>
  <c r="R186" i="4"/>
  <c r="V185" i="4"/>
  <c r="W185" i="4"/>
  <c r="AO186" i="4"/>
  <c r="S186" i="4"/>
  <c r="AV186" i="4"/>
  <c r="R187" i="4"/>
  <c r="V186" i="4"/>
  <c r="W186" i="4"/>
  <c r="AO187" i="4"/>
  <c r="S187" i="4"/>
  <c r="AV187" i="4"/>
  <c r="R188" i="4"/>
  <c r="V187" i="4"/>
  <c r="W187" i="4"/>
  <c r="S188" i="4"/>
  <c r="AO188" i="4"/>
  <c r="AV188" i="4"/>
  <c r="R189" i="4"/>
  <c r="V188" i="4"/>
  <c r="W188" i="4"/>
  <c r="AO189" i="4"/>
  <c r="S189" i="4"/>
  <c r="AV189" i="4"/>
  <c r="R190" i="4"/>
  <c r="V189" i="4"/>
  <c r="W189" i="4"/>
  <c r="R191" i="4"/>
  <c r="AO190" i="4"/>
  <c r="S190" i="4"/>
  <c r="AV190" i="4"/>
  <c r="V190" i="4"/>
  <c r="W190" i="4"/>
  <c r="S191" i="4"/>
  <c r="AO191" i="4"/>
  <c r="AV191" i="4"/>
  <c r="R192" i="4"/>
  <c r="V191" i="4"/>
  <c r="W191" i="4"/>
  <c r="R193" i="4"/>
  <c r="S192" i="4"/>
  <c r="AO192" i="4"/>
  <c r="AV192" i="4"/>
  <c r="V192" i="4"/>
  <c r="W192" i="4"/>
  <c r="AO193" i="4"/>
  <c r="S193" i="4"/>
  <c r="AV193" i="4"/>
  <c r="R194" i="4"/>
  <c r="V193" i="4"/>
  <c r="W193" i="4"/>
  <c r="S194" i="4"/>
  <c r="AO194" i="4"/>
  <c r="AV194" i="4"/>
  <c r="R195" i="4"/>
  <c r="V194" i="4"/>
  <c r="W194" i="4"/>
  <c r="AV195" i="4"/>
  <c r="R196" i="4"/>
  <c r="AO195" i="4"/>
  <c r="S195" i="4"/>
  <c r="V195" i="4"/>
  <c r="W195" i="4"/>
  <c r="S196" i="4"/>
  <c r="AO196" i="4"/>
  <c r="AV196" i="4"/>
  <c r="R197" i="4"/>
  <c r="V196" i="4"/>
  <c r="W196" i="4"/>
  <c r="AO197" i="4"/>
  <c r="S197" i="4"/>
  <c r="AV197" i="4"/>
  <c r="R198" i="4"/>
  <c r="V197" i="4"/>
  <c r="W197" i="4"/>
  <c r="S198" i="4"/>
  <c r="AO198" i="4"/>
  <c r="AV198" i="4"/>
  <c r="R199" i="4"/>
  <c r="V198" i="4"/>
  <c r="W198" i="4"/>
  <c r="S199" i="4"/>
  <c r="AO199" i="4"/>
  <c r="AV199" i="4"/>
  <c r="R200" i="4"/>
  <c r="V199" i="4"/>
  <c r="W199" i="4"/>
  <c r="AO200" i="4"/>
  <c r="S200" i="4"/>
  <c r="AV200" i="4"/>
  <c r="R201" i="4"/>
  <c r="V200" i="4"/>
  <c r="W200" i="4"/>
  <c r="S201" i="4"/>
  <c r="AV201" i="4"/>
  <c r="R202" i="4"/>
  <c r="AO201" i="4"/>
  <c r="V201" i="4"/>
  <c r="W201" i="4"/>
  <c r="S202" i="4"/>
  <c r="AO202" i="4"/>
  <c r="AV202" i="4"/>
  <c r="R203" i="4"/>
  <c r="V202" i="4"/>
  <c r="W202" i="4"/>
  <c r="AO203" i="4"/>
  <c r="AV203" i="4"/>
  <c r="R204" i="4"/>
  <c r="S203" i="4"/>
  <c r="V203" i="4"/>
  <c r="W203" i="4"/>
  <c r="AO204" i="4"/>
  <c r="S204" i="4"/>
  <c r="AV204" i="4"/>
  <c r="R205" i="4"/>
  <c r="V204" i="4"/>
  <c r="W204" i="4"/>
  <c r="R206" i="4"/>
  <c r="AO205" i="4"/>
  <c r="AV205" i="4"/>
  <c r="S205" i="4"/>
  <c r="V205" i="4"/>
  <c r="W205" i="4"/>
  <c r="AO206" i="4"/>
  <c r="S206" i="4"/>
  <c r="AV206" i="4"/>
  <c r="R207" i="4"/>
  <c r="V206" i="4"/>
  <c r="W206" i="4"/>
  <c r="AO207" i="4"/>
  <c r="S207" i="4"/>
  <c r="AV207" i="4"/>
  <c r="R208" i="4"/>
  <c r="V207" i="4"/>
  <c r="W207" i="4"/>
  <c r="AO208" i="4"/>
  <c r="S208" i="4"/>
  <c r="AV208" i="4"/>
  <c r="R209" i="4"/>
  <c r="V208" i="4"/>
  <c r="W208" i="4"/>
  <c r="AV209" i="4"/>
  <c r="R210" i="4"/>
  <c r="AO209" i="4"/>
  <c r="S209" i="4"/>
  <c r="V209" i="4"/>
  <c r="W209" i="4"/>
  <c r="AO210" i="4"/>
  <c r="S210" i="4"/>
  <c r="AV210" i="4"/>
  <c r="R211" i="4"/>
  <c r="V210" i="4"/>
  <c r="W210" i="4"/>
  <c r="AO211" i="4"/>
  <c r="S211" i="4"/>
  <c r="AV211" i="4"/>
  <c r="R212" i="4"/>
  <c r="V211" i="4"/>
  <c r="W211" i="4"/>
  <c r="R213" i="4"/>
  <c r="AO212" i="4"/>
  <c r="S212" i="4"/>
  <c r="AV212" i="4"/>
  <c r="V212" i="4"/>
  <c r="W212" i="4"/>
  <c r="S213" i="4"/>
  <c r="AO213" i="4"/>
  <c r="AV213" i="4"/>
  <c r="R214" i="4"/>
  <c r="V213" i="4"/>
  <c r="W213" i="4"/>
  <c r="AO214" i="4"/>
  <c r="S214" i="4"/>
  <c r="AV214" i="4"/>
  <c r="R215" i="4"/>
  <c r="V214" i="4"/>
  <c r="W214" i="4"/>
  <c r="AV215" i="4"/>
  <c r="R216" i="4"/>
  <c r="AO215" i="4"/>
  <c r="S215" i="4"/>
  <c r="V215" i="4"/>
  <c r="W215" i="4"/>
  <c r="AO216" i="4"/>
  <c r="S216" i="4"/>
  <c r="AV216" i="4"/>
  <c r="R217" i="4"/>
  <c r="V216" i="4"/>
  <c r="W216" i="4"/>
  <c r="R218" i="4"/>
  <c r="S217" i="4"/>
  <c r="AO217" i="4"/>
  <c r="AV217" i="4"/>
  <c r="V217" i="4"/>
  <c r="W217" i="4"/>
  <c r="S218" i="4"/>
  <c r="AO218" i="4"/>
  <c r="AV218" i="4"/>
  <c r="R219" i="4"/>
  <c r="V218" i="4"/>
  <c r="W218" i="4"/>
  <c r="S219" i="4"/>
  <c r="AO219" i="4"/>
  <c r="AV219" i="4"/>
  <c r="R220" i="4"/>
  <c r="V219" i="4"/>
  <c r="W219" i="4"/>
  <c r="AO220" i="4"/>
  <c r="S220" i="4"/>
  <c r="AV220" i="4"/>
  <c r="R221" i="4"/>
  <c r="V220" i="4"/>
  <c r="W220" i="4"/>
  <c r="R222" i="4"/>
  <c r="S221" i="4"/>
  <c r="AO221" i="4"/>
  <c r="AV221" i="4"/>
  <c r="V221" i="4"/>
  <c r="W221" i="4"/>
  <c r="S222" i="4"/>
  <c r="AO222" i="4"/>
  <c r="AV222" i="4"/>
  <c r="R223" i="4"/>
  <c r="V222" i="4"/>
  <c r="W222" i="4"/>
  <c r="AO223" i="4"/>
  <c r="S223" i="4"/>
  <c r="AV223" i="4"/>
  <c r="R224" i="4"/>
  <c r="V223" i="4"/>
  <c r="W223" i="4"/>
  <c r="R225" i="4"/>
  <c r="AO224" i="4"/>
  <c r="S224" i="4"/>
  <c r="AV224" i="4"/>
  <c r="V224" i="4"/>
  <c r="W224" i="4"/>
  <c r="S225" i="4"/>
  <c r="AO225" i="4"/>
  <c r="AV225" i="4"/>
  <c r="R226" i="4"/>
  <c r="V225" i="4"/>
  <c r="W225" i="4"/>
  <c r="AO226" i="4"/>
  <c r="S226" i="4"/>
  <c r="AV226" i="4"/>
  <c r="R227" i="4"/>
  <c r="V226" i="4"/>
  <c r="W226" i="4"/>
  <c r="R228" i="4"/>
  <c r="AO227" i="4"/>
  <c r="AV227" i="4"/>
  <c r="S227" i="4"/>
  <c r="V227" i="4"/>
  <c r="W227" i="4"/>
  <c r="S228" i="4"/>
  <c r="AO228" i="4"/>
  <c r="AV228" i="4"/>
  <c r="R229" i="4"/>
  <c r="V228" i="4"/>
  <c r="W228" i="4"/>
  <c r="R230" i="4"/>
  <c r="S229" i="4"/>
  <c r="AO229" i="4"/>
  <c r="AV229" i="4"/>
  <c r="V229" i="4"/>
  <c r="W229" i="4"/>
  <c r="S230" i="4"/>
  <c r="AO230" i="4"/>
  <c r="AV230" i="4"/>
  <c r="R231" i="4"/>
  <c r="V230" i="4"/>
  <c r="W230" i="4"/>
  <c r="AO231" i="4"/>
  <c r="S231" i="4"/>
  <c r="AV231" i="4"/>
  <c r="R232" i="4"/>
  <c r="V231" i="4"/>
  <c r="W231" i="4"/>
  <c r="S232" i="4"/>
  <c r="AV232" i="4"/>
  <c r="R233" i="4"/>
  <c r="AO232" i="4"/>
  <c r="V232" i="4"/>
  <c r="W232" i="4"/>
  <c r="AO233" i="4"/>
  <c r="S233" i="4"/>
  <c r="AV233" i="4"/>
  <c r="R234" i="4"/>
  <c r="V233" i="4"/>
  <c r="W233" i="4"/>
  <c r="S234" i="4"/>
  <c r="AV234" i="4"/>
  <c r="R235" i="4"/>
  <c r="AO234" i="4"/>
  <c r="V234" i="4"/>
  <c r="W234" i="4"/>
  <c r="AO235" i="4"/>
  <c r="S235" i="4"/>
  <c r="AV235" i="4"/>
  <c r="R236" i="4"/>
  <c r="V235" i="4"/>
  <c r="W235" i="4"/>
  <c r="S236" i="4"/>
  <c r="AO236" i="4"/>
  <c r="AV236" i="4"/>
  <c r="R237" i="4"/>
  <c r="V236" i="4"/>
  <c r="W236" i="4"/>
  <c r="R238" i="4"/>
  <c r="S237" i="4"/>
  <c r="AO237" i="4"/>
  <c r="AV237" i="4"/>
  <c r="V237" i="4"/>
  <c r="W237" i="4"/>
  <c r="S238" i="4"/>
  <c r="AO238" i="4"/>
  <c r="R239" i="4"/>
  <c r="AV238" i="4"/>
  <c r="V238" i="4"/>
  <c r="W238" i="4"/>
  <c r="AO239" i="4"/>
  <c r="S239" i="4"/>
  <c r="AV239" i="4"/>
  <c r="R240" i="4"/>
  <c r="V239" i="4"/>
  <c r="W239" i="4"/>
  <c r="S240" i="4"/>
  <c r="AV240" i="4"/>
  <c r="R241" i="4"/>
  <c r="AO240" i="4"/>
  <c r="V240" i="4"/>
  <c r="W240" i="4"/>
  <c r="AO241" i="4"/>
  <c r="S241" i="4"/>
  <c r="AV241" i="4"/>
  <c r="R242" i="4"/>
  <c r="V241" i="4"/>
  <c r="W241" i="4"/>
  <c r="S242" i="4"/>
  <c r="AO242" i="4"/>
  <c r="AV242" i="4"/>
  <c r="R243" i="4"/>
  <c r="V242" i="4"/>
  <c r="W242" i="4"/>
  <c r="AV243" i="4"/>
  <c r="R244" i="4"/>
  <c r="AO243" i="4"/>
  <c r="S243" i="4"/>
  <c r="V243" i="4"/>
  <c r="W243" i="4"/>
  <c r="AO244" i="4"/>
  <c r="S244" i="4"/>
  <c r="AV244" i="4"/>
  <c r="R245" i="4"/>
  <c r="V244" i="4"/>
  <c r="W244" i="4"/>
  <c r="R246" i="4"/>
  <c r="S245" i="4"/>
  <c r="AO245" i="4"/>
  <c r="AV245" i="4"/>
  <c r="V245" i="4"/>
  <c r="W245" i="4"/>
  <c r="S246" i="4"/>
  <c r="AO246" i="4"/>
  <c r="AV246" i="4"/>
  <c r="R247" i="4"/>
  <c r="V246" i="4"/>
  <c r="W246" i="4"/>
  <c r="S247" i="4"/>
  <c r="AO247" i="4"/>
  <c r="AV247" i="4"/>
  <c r="R248" i="4"/>
  <c r="V247" i="4"/>
  <c r="W247" i="4"/>
  <c r="R249" i="4"/>
  <c r="AO248" i="4"/>
  <c r="S248" i="4"/>
  <c r="AV248" i="4"/>
  <c r="V248" i="4"/>
  <c r="W248" i="4"/>
  <c r="AO249" i="4"/>
  <c r="S249" i="4"/>
  <c r="AV249" i="4"/>
  <c r="R250" i="4"/>
  <c r="V249" i="4"/>
  <c r="W249" i="4"/>
  <c r="S250" i="4"/>
  <c r="AO250" i="4"/>
  <c r="AV250" i="4"/>
  <c r="R251" i="4"/>
  <c r="V250" i="4"/>
  <c r="W250" i="4"/>
  <c r="R252" i="4"/>
  <c r="AO251" i="4"/>
  <c r="AV251" i="4"/>
  <c r="S251" i="4"/>
  <c r="V251" i="4"/>
  <c r="W251" i="4"/>
  <c r="AO252" i="4"/>
  <c r="S252" i="4"/>
  <c r="AV252" i="4"/>
  <c r="R253" i="4"/>
  <c r="V252" i="4"/>
  <c r="W252" i="4"/>
  <c r="R254" i="4"/>
  <c r="S253" i="4"/>
  <c r="AO253" i="4"/>
  <c r="AV253" i="4"/>
  <c r="V253" i="4"/>
  <c r="W253" i="4"/>
  <c r="AO254" i="4"/>
  <c r="S254" i="4"/>
  <c r="AV254" i="4"/>
  <c r="R255" i="4"/>
  <c r="V254" i="4"/>
  <c r="W254" i="4"/>
  <c r="S255" i="4"/>
  <c r="AO255" i="4"/>
  <c r="AV255" i="4"/>
  <c r="R256" i="4"/>
  <c r="V255" i="4"/>
  <c r="W255" i="4"/>
  <c r="S256" i="4"/>
  <c r="AO256" i="4"/>
  <c r="AV256" i="4"/>
  <c r="R257" i="4"/>
  <c r="V256" i="4"/>
  <c r="W256" i="4"/>
  <c r="AO257" i="4"/>
  <c r="S257" i="4"/>
  <c r="AV257" i="4"/>
  <c r="R258" i="4"/>
  <c r="V257" i="4"/>
  <c r="W257" i="4"/>
  <c r="R259" i="4"/>
  <c r="AO258" i="4"/>
  <c r="AV258" i="4"/>
  <c r="S258" i="4"/>
  <c r="V258" i="4"/>
  <c r="W258" i="4"/>
  <c r="AO259" i="4"/>
  <c r="S259" i="4"/>
  <c r="AV259" i="4"/>
  <c r="R260" i="4"/>
  <c r="V259" i="4"/>
  <c r="W259" i="4"/>
  <c r="AO260" i="4"/>
  <c r="S260" i="4"/>
  <c r="AV260" i="4"/>
  <c r="R261" i="4"/>
  <c r="V260" i="4"/>
  <c r="W260" i="4"/>
  <c r="AV261" i="4"/>
  <c r="R262" i="4"/>
  <c r="AO261" i="4"/>
  <c r="S261" i="4"/>
  <c r="V261" i="4"/>
  <c r="W261" i="4"/>
  <c r="S262" i="4"/>
  <c r="AO262" i="4"/>
  <c r="AV262" i="4"/>
  <c r="R263" i="4"/>
  <c r="V262" i="4"/>
  <c r="W262" i="4"/>
  <c r="R264" i="4"/>
  <c r="AO263" i="4"/>
  <c r="AV263" i="4"/>
  <c r="S263" i="4"/>
  <c r="V263" i="4"/>
  <c r="W263" i="4"/>
  <c r="S264" i="4"/>
  <c r="AO264" i="4"/>
  <c r="AV264" i="4"/>
  <c r="R265" i="4"/>
  <c r="V264" i="4"/>
  <c r="W264" i="4"/>
  <c r="R266" i="4"/>
  <c r="S265" i="4"/>
  <c r="AO265" i="4"/>
  <c r="AV265" i="4"/>
  <c r="V265" i="4"/>
  <c r="W265" i="4"/>
  <c r="S266" i="4"/>
  <c r="AO266" i="4"/>
  <c r="AV266" i="4"/>
  <c r="R267" i="4"/>
  <c r="V266" i="4"/>
  <c r="W266" i="4"/>
  <c r="R268" i="4"/>
  <c r="AV267" i="4"/>
  <c r="S267" i="4"/>
  <c r="AO267" i="4"/>
  <c r="V267" i="4"/>
  <c r="W267" i="4"/>
  <c r="AO268" i="4"/>
  <c r="S268" i="4"/>
  <c r="AV268" i="4"/>
  <c r="R269" i="4"/>
  <c r="V268" i="4"/>
  <c r="W268" i="4"/>
  <c r="AO269" i="4"/>
  <c r="S269" i="4"/>
  <c r="AV269" i="4"/>
  <c r="R270" i="4"/>
  <c r="V269" i="4"/>
  <c r="W269" i="4"/>
  <c r="R271" i="4"/>
  <c r="S270" i="4"/>
  <c r="AO270" i="4"/>
  <c r="AV270" i="4"/>
  <c r="V270" i="4"/>
  <c r="W270" i="4"/>
  <c r="S271" i="4"/>
  <c r="AO271" i="4"/>
  <c r="AV271" i="4"/>
  <c r="R272" i="4"/>
  <c r="V271" i="4"/>
  <c r="W271" i="4"/>
  <c r="R273" i="4"/>
  <c r="AO272" i="4"/>
  <c r="AV272" i="4"/>
  <c r="S272" i="4"/>
  <c r="V272" i="4"/>
  <c r="W272" i="4"/>
  <c r="S273" i="4"/>
  <c r="AO273" i="4"/>
  <c r="AV273" i="4"/>
  <c r="R274" i="4"/>
  <c r="V273" i="4"/>
  <c r="W273" i="4"/>
  <c r="S274" i="4"/>
  <c r="AO274" i="4"/>
  <c r="AV274" i="4"/>
  <c r="R275" i="4"/>
  <c r="V274" i="4"/>
  <c r="W274" i="4"/>
  <c r="S275" i="4"/>
  <c r="AO275" i="4"/>
  <c r="AV275" i="4"/>
  <c r="R276" i="4"/>
  <c r="V275" i="4"/>
  <c r="W275" i="4"/>
  <c r="AO276" i="4"/>
  <c r="S276" i="4"/>
  <c r="AV276" i="4"/>
  <c r="R277" i="4"/>
  <c r="V276" i="4"/>
  <c r="W276" i="4"/>
  <c r="R278" i="4"/>
  <c r="AO277" i="4"/>
  <c r="AV277" i="4"/>
  <c r="S277" i="4"/>
  <c r="V277" i="4"/>
  <c r="W277" i="4"/>
  <c r="AO278" i="4"/>
  <c r="S278" i="4"/>
  <c r="AV278" i="4"/>
  <c r="R279" i="4"/>
  <c r="V278" i="4"/>
  <c r="W278" i="4"/>
  <c r="R280" i="4"/>
  <c r="S279" i="4"/>
  <c r="AO279" i="4"/>
  <c r="AV279" i="4"/>
  <c r="V279" i="4"/>
  <c r="W279" i="4"/>
  <c r="S280" i="4"/>
  <c r="AO280" i="4"/>
  <c r="AV280" i="4"/>
  <c r="R281" i="4"/>
  <c r="V280" i="4"/>
  <c r="W280" i="4"/>
  <c r="R282" i="4"/>
  <c r="S281" i="4"/>
  <c r="AO281" i="4"/>
  <c r="AV281" i="4"/>
  <c r="V281" i="4"/>
  <c r="W281" i="4"/>
  <c r="AO282" i="4"/>
  <c r="S282" i="4"/>
  <c r="AV282" i="4"/>
  <c r="R283" i="4"/>
  <c r="V282" i="4"/>
  <c r="W282" i="4"/>
  <c r="AO283" i="4"/>
  <c r="S283" i="4"/>
  <c r="AV283" i="4"/>
  <c r="R284" i="4"/>
  <c r="V283" i="4"/>
  <c r="W283" i="4"/>
  <c r="S284" i="4"/>
  <c r="AO284" i="4"/>
  <c r="AV284" i="4"/>
  <c r="R285" i="4"/>
  <c r="V284" i="4"/>
  <c r="W284" i="4"/>
  <c r="AO285" i="4"/>
  <c r="S285" i="4"/>
  <c r="AV285" i="4"/>
  <c r="R286" i="4"/>
  <c r="V285" i="4"/>
  <c r="W285" i="4"/>
  <c r="AO286" i="4"/>
  <c r="S286" i="4"/>
  <c r="AV286" i="4"/>
  <c r="R287" i="4"/>
  <c r="V286" i="4"/>
  <c r="W286" i="4"/>
  <c r="AO287" i="4"/>
  <c r="AV287" i="4"/>
  <c r="R288" i="4"/>
  <c r="S287" i="4"/>
  <c r="V287" i="4"/>
  <c r="W287" i="4"/>
  <c r="AO288" i="4"/>
  <c r="S288" i="4"/>
  <c r="AV288" i="4"/>
  <c r="R289" i="4"/>
  <c r="V288" i="4"/>
  <c r="W288" i="4"/>
  <c r="AO289" i="4"/>
  <c r="AV289" i="4"/>
  <c r="R290" i="4"/>
  <c r="S289" i="4"/>
  <c r="V289" i="4"/>
  <c r="W289" i="4"/>
  <c r="AO290" i="4"/>
  <c r="S290" i="4"/>
  <c r="AV290" i="4"/>
  <c r="R291" i="4"/>
  <c r="V290" i="4"/>
  <c r="W290" i="4"/>
  <c r="R292" i="4"/>
  <c r="AO291" i="4"/>
  <c r="AV291" i="4"/>
  <c r="S291" i="4"/>
  <c r="V291" i="4"/>
  <c r="W291" i="4"/>
  <c r="AO292" i="4"/>
  <c r="S292" i="4"/>
  <c r="AV292" i="4"/>
  <c r="R293" i="4"/>
  <c r="V292" i="4"/>
  <c r="W292" i="4"/>
  <c r="S293" i="4"/>
  <c r="AO293" i="4"/>
  <c r="AV293" i="4"/>
  <c r="R294" i="4"/>
  <c r="V293" i="4"/>
  <c r="W293" i="4"/>
  <c r="AV294" i="4"/>
  <c r="R295" i="4"/>
  <c r="AO294" i="4"/>
  <c r="S294" i="4"/>
  <c r="V294" i="4"/>
  <c r="W294" i="4"/>
  <c r="S295" i="4"/>
  <c r="AO295" i="4"/>
  <c r="AV295" i="4"/>
  <c r="R296" i="4"/>
  <c r="V295" i="4"/>
  <c r="W295" i="4"/>
  <c r="R297" i="4"/>
  <c r="AO296" i="4"/>
  <c r="AV296" i="4"/>
  <c r="S296" i="4"/>
  <c r="V296" i="4"/>
  <c r="W296" i="4"/>
  <c r="S297" i="4"/>
  <c r="AO297" i="4"/>
  <c r="AV297" i="4"/>
  <c r="R298" i="4"/>
  <c r="V297" i="4"/>
  <c r="W297" i="4"/>
  <c r="AO298" i="4"/>
  <c r="S298" i="4"/>
  <c r="AV298" i="4"/>
  <c r="R299" i="4"/>
  <c r="V298" i="4"/>
  <c r="W298" i="4"/>
  <c r="AO299" i="4"/>
  <c r="AV299" i="4"/>
  <c r="R300" i="4"/>
  <c r="S299" i="4"/>
  <c r="V299" i="4"/>
  <c r="W299" i="4"/>
  <c r="AO300" i="4"/>
  <c r="S300" i="4"/>
  <c r="AV300" i="4"/>
  <c r="R301" i="4"/>
  <c r="V300" i="4"/>
  <c r="W300" i="4"/>
  <c r="AO301" i="4"/>
  <c r="AV301" i="4"/>
  <c r="R302" i="4"/>
  <c r="S301" i="4"/>
  <c r="V301" i="4"/>
  <c r="W301" i="4"/>
  <c r="S302" i="4"/>
  <c r="AV302" i="4"/>
  <c r="R303" i="4"/>
  <c r="AO302" i="4"/>
  <c r="V302" i="4"/>
  <c r="W302" i="4"/>
  <c r="AO303" i="4"/>
  <c r="S303" i="4"/>
  <c r="AV303" i="4"/>
  <c r="R304" i="4"/>
  <c r="V303" i="4"/>
  <c r="W303" i="4"/>
  <c r="R305" i="4"/>
  <c r="S304" i="4"/>
  <c r="AO304" i="4"/>
  <c r="AV304" i="4"/>
  <c r="V304" i="4"/>
  <c r="W304" i="4"/>
  <c r="AO305" i="4"/>
  <c r="S305" i="4"/>
  <c r="AV305" i="4"/>
  <c r="R306" i="4"/>
  <c r="V305" i="4"/>
  <c r="W305" i="4"/>
  <c r="AO306" i="4"/>
  <c r="S306" i="4"/>
  <c r="AV306" i="4"/>
  <c r="R307" i="4"/>
  <c r="V306" i="4"/>
  <c r="W306" i="4"/>
  <c r="R308" i="4"/>
  <c r="AO307" i="4"/>
  <c r="AV307" i="4"/>
  <c r="S307" i="4"/>
  <c r="V307" i="4"/>
  <c r="W307" i="4"/>
  <c r="S308" i="4"/>
  <c r="AO308" i="4"/>
  <c r="AV308" i="4"/>
  <c r="R309" i="4"/>
  <c r="V308" i="4"/>
  <c r="W308" i="4"/>
  <c r="S309" i="4"/>
  <c r="AO309" i="4"/>
  <c r="AV309" i="4"/>
  <c r="R310" i="4"/>
  <c r="V309" i="4"/>
  <c r="W309" i="4"/>
  <c r="AO310" i="4"/>
  <c r="S310" i="4"/>
  <c r="AV310" i="4"/>
  <c r="R311" i="4"/>
  <c r="V310" i="4"/>
  <c r="W310" i="4"/>
  <c r="AO311" i="4"/>
  <c r="S311" i="4"/>
  <c r="AV311" i="4"/>
  <c r="R312" i="4"/>
  <c r="V311" i="4"/>
  <c r="W311" i="4"/>
  <c r="S312" i="4"/>
  <c r="AO312" i="4"/>
  <c r="AV312" i="4"/>
  <c r="R313" i="4"/>
  <c r="V312" i="4"/>
  <c r="W312" i="4"/>
  <c r="AO313" i="4"/>
  <c r="S313" i="4"/>
  <c r="AV313" i="4"/>
  <c r="R314" i="4"/>
  <c r="V313" i="4"/>
  <c r="W313" i="4"/>
  <c r="S314" i="4"/>
  <c r="AV314" i="4"/>
  <c r="R315" i="4"/>
  <c r="AO314" i="4"/>
  <c r="V314" i="4"/>
  <c r="W314" i="4"/>
  <c r="AO315" i="4"/>
  <c r="S315" i="4"/>
  <c r="AV315" i="4"/>
  <c r="R316" i="4"/>
  <c r="V315" i="4"/>
  <c r="W315" i="4"/>
  <c r="AV316" i="4"/>
  <c r="R317" i="4"/>
  <c r="AO316" i="4"/>
  <c r="S316" i="4"/>
  <c r="V316" i="4"/>
  <c r="W316" i="4"/>
  <c r="AO317" i="4"/>
  <c r="S317" i="4"/>
  <c r="AV317" i="4"/>
  <c r="R318" i="4"/>
  <c r="V317" i="4"/>
  <c r="W317" i="4"/>
  <c r="AO318" i="4"/>
  <c r="S318" i="4"/>
  <c r="AV318" i="4"/>
  <c r="R319" i="4"/>
  <c r="V318" i="4"/>
  <c r="W318" i="4"/>
  <c r="AV319" i="4"/>
  <c r="R320" i="4"/>
  <c r="AO319" i="4"/>
  <c r="S319" i="4"/>
  <c r="V319" i="4"/>
  <c r="W319" i="4"/>
  <c r="AO320" i="4"/>
  <c r="S320" i="4"/>
  <c r="AV320" i="4"/>
  <c r="R321" i="4"/>
  <c r="V320" i="4"/>
  <c r="W320" i="4"/>
  <c r="R322" i="4"/>
  <c r="S321" i="4"/>
  <c r="AO321" i="4"/>
  <c r="AV321" i="4"/>
  <c r="V321" i="4"/>
  <c r="W321" i="4"/>
  <c r="AO322" i="4"/>
  <c r="S322" i="4"/>
  <c r="AV322" i="4"/>
  <c r="R323" i="4"/>
  <c r="V322" i="4"/>
  <c r="W322" i="4"/>
  <c r="AO323" i="4"/>
  <c r="S323" i="4"/>
  <c r="AV323" i="4"/>
  <c r="R324" i="4"/>
  <c r="V323" i="4"/>
  <c r="W323" i="4"/>
  <c r="AO324" i="4"/>
  <c r="AV324" i="4"/>
  <c r="R325" i="4"/>
  <c r="S324" i="4"/>
  <c r="V324" i="4"/>
  <c r="W324" i="4"/>
  <c r="S325" i="4"/>
  <c r="AO325" i="4"/>
  <c r="AV325" i="4"/>
  <c r="R326" i="4"/>
  <c r="V325" i="4"/>
  <c r="W325" i="4"/>
  <c r="AV326" i="4"/>
  <c r="AO326" i="4"/>
  <c r="R327" i="4"/>
  <c r="S326" i="4"/>
  <c r="V326" i="4"/>
  <c r="W326" i="4"/>
  <c r="S327" i="4"/>
  <c r="AO327" i="4"/>
  <c r="AV327" i="4"/>
  <c r="R328" i="4"/>
  <c r="V327" i="4"/>
  <c r="W327" i="4"/>
  <c r="S328" i="4"/>
  <c r="AO328" i="4"/>
  <c r="R329" i="4"/>
  <c r="AV328" i="4"/>
  <c r="V328" i="4"/>
  <c r="W328" i="4"/>
  <c r="AO329" i="4"/>
  <c r="S329" i="4"/>
  <c r="AV329" i="4"/>
  <c r="R330" i="4"/>
  <c r="V329" i="4"/>
  <c r="W329" i="4"/>
  <c r="AO330" i="4"/>
  <c r="AV330" i="4"/>
  <c r="R331" i="4"/>
  <c r="S330" i="4"/>
  <c r="V330" i="4"/>
  <c r="W330" i="4"/>
  <c r="S331" i="4"/>
  <c r="AV331" i="4"/>
  <c r="AO331" i="4"/>
  <c r="R332" i="4"/>
  <c r="V331" i="4"/>
  <c r="W331" i="4"/>
  <c r="S332" i="4"/>
  <c r="AO332" i="4"/>
  <c r="AV332" i="4"/>
  <c r="R333" i="4"/>
  <c r="V332" i="4"/>
  <c r="W332" i="4"/>
  <c r="AO333" i="4"/>
  <c r="AV333" i="4"/>
  <c r="R334" i="4"/>
  <c r="S333" i="4"/>
  <c r="V333" i="4"/>
  <c r="W333" i="4"/>
  <c r="S334" i="4"/>
  <c r="AV334" i="4"/>
  <c r="R335" i="4"/>
  <c r="AO334" i="4"/>
  <c r="V334" i="4"/>
  <c r="W334" i="4"/>
  <c r="S335" i="4"/>
  <c r="AO335" i="4"/>
  <c r="AV335" i="4"/>
  <c r="R336" i="4"/>
  <c r="V335" i="4"/>
  <c r="W335" i="4"/>
  <c r="AO336" i="4"/>
  <c r="R337" i="4"/>
  <c r="AV336" i="4"/>
  <c r="S336" i="4"/>
  <c r="V336" i="4"/>
  <c r="W336" i="4"/>
  <c r="R338" i="4"/>
  <c r="S337" i="4"/>
  <c r="AO337" i="4"/>
  <c r="AV337" i="4"/>
  <c r="V337" i="4"/>
  <c r="W337" i="4"/>
  <c r="AO338" i="4"/>
  <c r="R339" i="4"/>
  <c r="AV338" i="4"/>
  <c r="S338" i="4"/>
  <c r="V338" i="4"/>
  <c r="W338" i="4"/>
  <c r="AO339" i="4"/>
  <c r="S339" i="4"/>
  <c r="AV339" i="4"/>
  <c r="R340" i="4"/>
  <c r="V339" i="4"/>
  <c r="W339" i="4"/>
  <c r="S340" i="4"/>
  <c r="AO340" i="4"/>
  <c r="AV340" i="4"/>
  <c r="R341" i="4"/>
  <c r="V340" i="4"/>
  <c r="W340" i="4"/>
  <c r="S341" i="4"/>
  <c r="AV341" i="4"/>
  <c r="AO341" i="4"/>
  <c r="R342" i="4"/>
  <c r="V341" i="4"/>
  <c r="W341" i="4"/>
  <c r="S342" i="4"/>
  <c r="AO342" i="4"/>
  <c r="AV342" i="4"/>
  <c r="R343" i="4"/>
  <c r="V342" i="4"/>
  <c r="W342" i="4"/>
  <c r="AV343" i="4"/>
  <c r="R344" i="4"/>
  <c r="AO343" i="4"/>
  <c r="S343" i="4"/>
  <c r="V343" i="4"/>
  <c r="W343" i="4"/>
  <c r="AO344" i="4"/>
  <c r="S344" i="4"/>
  <c r="AV344" i="4"/>
  <c r="R345" i="4"/>
  <c r="V344" i="4"/>
  <c r="W344" i="4"/>
  <c r="AO345" i="4"/>
  <c r="S345" i="4"/>
  <c r="AV345" i="4"/>
  <c r="R346" i="4"/>
  <c r="V345" i="4"/>
  <c r="W345" i="4"/>
  <c r="R347" i="4"/>
  <c r="AO346" i="4"/>
  <c r="AV346" i="4"/>
  <c r="S346" i="4"/>
  <c r="V346" i="4"/>
  <c r="W346" i="4"/>
  <c r="AO347" i="4"/>
  <c r="R348" i="4"/>
  <c r="AV347" i="4"/>
  <c r="S347" i="4"/>
  <c r="V347" i="4"/>
  <c r="W347" i="4"/>
  <c r="S348" i="4"/>
  <c r="AO348" i="4"/>
  <c r="AV348" i="4"/>
  <c r="R349" i="4"/>
  <c r="V348" i="4"/>
  <c r="W348" i="4"/>
  <c r="R350" i="4"/>
  <c r="AO349" i="4"/>
  <c r="AV349" i="4"/>
  <c r="S349" i="4"/>
  <c r="V349" i="4"/>
  <c r="W349" i="4"/>
  <c r="AV350" i="4"/>
  <c r="R351" i="4"/>
  <c r="AO350" i="4"/>
  <c r="S350" i="4"/>
  <c r="V350" i="4"/>
  <c r="W350" i="4"/>
  <c r="R352" i="4"/>
  <c r="S351" i="4"/>
  <c r="AO351" i="4"/>
  <c r="AV351" i="4"/>
  <c r="V351" i="4"/>
  <c r="W351" i="4"/>
  <c r="AV352" i="4"/>
  <c r="R353" i="4"/>
  <c r="S352" i="4"/>
  <c r="AO352" i="4"/>
  <c r="V352" i="4"/>
  <c r="W352" i="4"/>
  <c r="AO353" i="4"/>
  <c r="S353" i="4"/>
  <c r="AV353" i="4"/>
  <c r="R354" i="4"/>
  <c r="V353" i="4"/>
  <c r="W353" i="4"/>
  <c r="AO354" i="4"/>
  <c r="AV354" i="4"/>
  <c r="R355" i="4"/>
  <c r="S354" i="4"/>
  <c r="V354" i="4"/>
  <c r="W354" i="4"/>
  <c r="S355" i="4"/>
  <c r="AO355" i="4"/>
  <c r="R356" i="4"/>
  <c r="AV355" i="4"/>
  <c r="V355" i="4"/>
  <c r="W355" i="4"/>
  <c r="AO356" i="4"/>
  <c r="S356" i="4"/>
  <c r="AV356" i="4"/>
  <c r="R357" i="4"/>
  <c r="V356" i="4"/>
  <c r="W356" i="4"/>
  <c r="AO357" i="4"/>
  <c r="S357" i="4"/>
  <c r="AV357" i="4"/>
  <c r="R358" i="4"/>
  <c r="V357" i="4"/>
  <c r="W357" i="4"/>
  <c r="AV358" i="4"/>
  <c r="R359" i="4"/>
  <c r="AO358" i="4"/>
  <c r="S358" i="4"/>
  <c r="V358" i="4"/>
  <c r="W358" i="4"/>
  <c r="S359" i="4"/>
  <c r="AO359" i="4"/>
  <c r="AV359" i="4"/>
  <c r="R360" i="4"/>
  <c r="V359" i="4"/>
  <c r="W359" i="4"/>
  <c r="R361" i="4"/>
  <c r="S360" i="4"/>
  <c r="AO360" i="4"/>
  <c r="AV360" i="4"/>
  <c r="V360" i="4"/>
  <c r="W360" i="4"/>
  <c r="AO361" i="4"/>
  <c r="AV361" i="4"/>
  <c r="R362" i="4"/>
  <c r="S361" i="4"/>
  <c r="V361" i="4"/>
  <c r="W361" i="4"/>
  <c r="R363" i="4"/>
  <c r="AO362" i="4"/>
  <c r="AV362" i="4"/>
  <c r="S362" i="4"/>
  <c r="V362" i="4"/>
  <c r="W362" i="4"/>
  <c r="S363" i="4"/>
  <c r="AO363" i="4"/>
  <c r="AV363" i="4"/>
  <c r="R364" i="4"/>
  <c r="V363" i="4"/>
  <c r="W363" i="4"/>
  <c r="R365" i="4"/>
  <c r="S364" i="4"/>
  <c r="AO364" i="4"/>
  <c r="AV364" i="4"/>
  <c r="V364" i="4"/>
  <c r="W364" i="4"/>
  <c r="AO365" i="4"/>
  <c r="S365" i="4"/>
  <c r="AV365" i="4"/>
  <c r="R366" i="4"/>
  <c r="V365" i="4"/>
  <c r="W365" i="4"/>
  <c r="S366" i="4"/>
  <c r="AO366" i="4"/>
  <c r="AV366" i="4"/>
  <c r="R367" i="4"/>
  <c r="V366" i="4"/>
  <c r="W366" i="4"/>
  <c r="S367" i="4"/>
  <c r="AO367" i="4"/>
  <c r="AV367" i="4"/>
  <c r="R368" i="4"/>
  <c r="V367" i="4"/>
  <c r="W367" i="4"/>
  <c r="AO368" i="4"/>
  <c r="S368" i="4"/>
  <c r="AV368" i="4"/>
  <c r="R369" i="4"/>
  <c r="V368" i="4"/>
  <c r="W368" i="4"/>
  <c r="R370" i="4"/>
  <c r="S369" i="4"/>
  <c r="AO369" i="4"/>
  <c r="AV369" i="4"/>
  <c r="V369" i="4"/>
  <c r="W369" i="4"/>
  <c r="AO370" i="4"/>
  <c r="S370" i="4"/>
  <c r="AV370" i="4"/>
  <c r="R371" i="4"/>
  <c r="V370" i="4"/>
  <c r="W370" i="4"/>
  <c r="AO371" i="4"/>
  <c r="S371" i="4"/>
  <c r="AV371" i="4"/>
  <c r="R372" i="4"/>
  <c r="V371" i="4"/>
  <c r="W371" i="4"/>
  <c r="R373" i="4"/>
  <c r="S372" i="4"/>
  <c r="AO372" i="4"/>
  <c r="AV372" i="4"/>
  <c r="V372" i="4"/>
  <c r="W372" i="4"/>
  <c r="S373" i="4"/>
  <c r="AO373" i="4"/>
  <c r="AV373" i="4"/>
  <c r="R374" i="4"/>
  <c r="V373" i="4"/>
  <c r="W373" i="4"/>
  <c r="S374" i="4"/>
  <c r="AO374" i="4"/>
  <c r="AV374" i="4"/>
  <c r="R375" i="4"/>
  <c r="V374" i="4"/>
  <c r="W374" i="4"/>
  <c r="AV375" i="4"/>
  <c r="R376" i="4"/>
  <c r="AO375" i="4"/>
  <c r="S375" i="4"/>
  <c r="V375" i="4"/>
  <c r="W375" i="4"/>
  <c r="AO376" i="4"/>
  <c r="S376" i="4"/>
  <c r="AV376" i="4"/>
  <c r="R377" i="4"/>
  <c r="V376" i="4"/>
  <c r="W376" i="4"/>
  <c r="AV377" i="4"/>
  <c r="R378" i="4"/>
  <c r="S377" i="4"/>
  <c r="AO377" i="4"/>
  <c r="V377" i="4"/>
  <c r="W377" i="4"/>
  <c r="AO378" i="4"/>
  <c r="S378" i="4"/>
  <c r="AV378" i="4"/>
  <c r="R379" i="4"/>
  <c r="V378" i="4"/>
  <c r="W378" i="4"/>
  <c r="R380" i="4"/>
  <c r="S379" i="4"/>
  <c r="AO379" i="4"/>
  <c r="AV379" i="4"/>
  <c r="V379" i="4"/>
  <c r="W379" i="4"/>
  <c r="S380" i="4"/>
  <c r="AO380" i="4"/>
  <c r="AV380" i="4"/>
  <c r="R381" i="4"/>
  <c r="V380" i="4"/>
  <c r="W380" i="4"/>
  <c r="AO381" i="4"/>
  <c r="S381" i="4"/>
  <c r="AV381" i="4"/>
  <c r="R382" i="4"/>
  <c r="V381" i="4"/>
  <c r="W381" i="4"/>
  <c r="S382" i="4"/>
  <c r="AO382" i="4"/>
  <c r="AV382" i="4"/>
  <c r="R383" i="4"/>
  <c r="V382" i="4"/>
  <c r="W382" i="4"/>
  <c r="AO383" i="4"/>
  <c r="S383" i="4"/>
  <c r="AV383" i="4"/>
  <c r="R384" i="4"/>
  <c r="V383" i="4"/>
  <c r="W383" i="4"/>
  <c r="AO384" i="4"/>
  <c r="S384" i="4"/>
  <c r="AV384" i="4"/>
  <c r="R385" i="4"/>
  <c r="V384" i="4"/>
  <c r="W384" i="4"/>
  <c r="AV385" i="4"/>
  <c r="R386" i="4"/>
  <c r="S385" i="4"/>
  <c r="AO385" i="4"/>
  <c r="V385" i="4"/>
  <c r="W385" i="4"/>
  <c r="AO386" i="4"/>
  <c r="S386" i="4"/>
  <c r="AV386" i="4"/>
  <c r="R387" i="4"/>
  <c r="V386" i="4"/>
  <c r="W386" i="4"/>
  <c r="AO387" i="4"/>
  <c r="S387" i="4"/>
  <c r="AV387" i="4"/>
  <c r="R388" i="4"/>
  <c r="V387" i="4"/>
  <c r="W387" i="4"/>
  <c r="AV388" i="4"/>
  <c r="R389" i="4"/>
  <c r="S388" i="4"/>
  <c r="AO388" i="4"/>
  <c r="V388" i="4"/>
  <c r="W388" i="4"/>
  <c r="AO389" i="4"/>
  <c r="S389" i="4"/>
  <c r="AV389" i="4"/>
  <c r="R390" i="4"/>
  <c r="V389" i="4"/>
  <c r="W389" i="4"/>
  <c r="AO390" i="4"/>
  <c r="S390" i="4"/>
  <c r="AV390" i="4"/>
  <c r="R391" i="4"/>
  <c r="V390" i="4"/>
  <c r="W390" i="4"/>
  <c r="R392" i="4"/>
  <c r="S391" i="4"/>
  <c r="AO391" i="4"/>
  <c r="AV391" i="4"/>
  <c r="V391" i="4"/>
  <c r="W391" i="4"/>
  <c r="AO392" i="4"/>
  <c r="S392" i="4"/>
  <c r="AV392" i="4"/>
  <c r="R393" i="4"/>
  <c r="V392" i="4"/>
  <c r="W392" i="4"/>
  <c r="S393" i="4"/>
  <c r="AO393" i="4"/>
  <c r="AV393" i="4"/>
  <c r="R394" i="4"/>
  <c r="V393" i="4"/>
  <c r="W393" i="4"/>
  <c r="S394" i="4"/>
  <c r="AV394" i="4"/>
  <c r="R395" i="4"/>
  <c r="AO394" i="4"/>
  <c r="V394" i="4"/>
  <c r="W394" i="4"/>
  <c r="S395" i="4"/>
  <c r="AO395" i="4"/>
  <c r="AV395" i="4"/>
  <c r="R396" i="4"/>
  <c r="V395" i="4"/>
  <c r="W395" i="4"/>
  <c r="S396" i="4"/>
  <c r="AO396" i="4"/>
  <c r="AV396" i="4"/>
  <c r="R397" i="4"/>
  <c r="V396" i="4"/>
  <c r="W396" i="4"/>
  <c r="S397" i="4"/>
  <c r="AO397" i="4"/>
  <c r="AV397" i="4"/>
  <c r="R398" i="4"/>
  <c r="V397" i="4"/>
  <c r="W397" i="4"/>
  <c r="S398" i="4"/>
  <c r="AO398" i="4"/>
  <c r="AV398" i="4"/>
  <c r="R399" i="4"/>
  <c r="V398" i="4"/>
  <c r="W398" i="4"/>
  <c r="AO399" i="4"/>
  <c r="S399" i="4"/>
  <c r="AV399" i="4"/>
  <c r="R400" i="4"/>
  <c r="V399" i="4"/>
  <c r="W399" i="4"/>
  <c r="AO400" i="4"/>
  <c r="S400" i="4"/>
  <c r="AV400" i="4"/>
  <c r="R401" i="4"/>
  <c r="V400" i="4"/>
  <c r="W400" i="4"/>
  <c r="R402" i="4"/>
  <c r="S401" i="4"/>
  <c r="AO401" i="4"/>
  <c r="AV401" i="4"/>
  <c r="V401" i="4"/>
  <c r="W401" i="4"/>
  <c r="S402" i="4"/>
  <c r="AO402" i="4"/>
  <c r="AV402" i="4"/>
  <c r="R403" i="4"/>
  <c r="V402" i="4"/>
  <c r="W402" i="4"/>
  <c r="AO403" i="4"/>
  <c r="S403" i="4"/>
  <c r="AV403" i="4"/>
  <c r="R404" i="4"/>
  <c r="V403" i="4"/>
  <c r="W403" i="4"/>
  <c r="R405" i="4"/>
  <c r="S404" i="4"/>
  <c r="AO404" i="4"/>
  <c r="AV404" i="4"/>
  <c r="V404" i="4"/>
  <c r="W404" i="4"/>
  <c r="S405" i="4"/>
  <c r="AO405" i="4"/>
  <c r="AV405" i="4"/>
  <c r="R406" i="4"/>
  <c r="V405" i="4"/>
  <c r="W405" i="4"/>
  <c r="S406" i="4"/>
  <c r="AO406" i="4"/>
  <c r="AV406" i="4"/>
  <c r="R407" i="4"/>
  <c r="V406" i="4"/>
  <c r="W406" i="4"/>
  <c r="S407" i="4"/>
  <c r="AV407" i="4"/>
  <c r="R408" i="4"/>
  <c r="AO407" i="4"/>
  <c r="V407" i="4"/>
  <c r="W407" i="4"/>
  <c r="S408" i="4"/>
  <c r="AO408" i="4"/>
  <c r="AV408" i="4"/>
  <c r="R409" i="4"/>
  <c r="V408" i="4"/>
  <c r="W408" i="4"/>
  <c r="S409" i="4"/>
  <c r="AO409" i="4"/>
  <c r="AV409" i="4"/>
  <c r="R410" i="4"/>
  <c r="V409" i="4"/>
  <c r="W409" i="4"/>
  <c r="AV410" i="4"/>
  <c r="S410" i="4"/>
  <c r="R411" i="4"/>
  <c r="AO410" i="4"/>
  <c r="V410" i="4"/>
  <c r="W410" i="4"/>
  <c r="S411" i="4"/>
  <c r="AV411" i="4"/>
  <c r="R412" i="4"/>
  <c r="AO411" i="4"/>
  <c r="V411" i="4"/>
  <c r="W411" i="4"/>
  <c r="R413" i="4"/>
  <c r="S412" i="4"/>
  <c r="AO412" i="4"/>
  <c r="AV412" i="4"/>
  <c r="V412" i="4"/>
  <c r="W412" i="4"/>
  <c r="R414" i="4"/>
  <c r="AO413" i="4"/>
  <c r="AV413" i="4"/>
  <c r="S413" i="4"/>
  <c r="V413" i="4"/>
  <c r="W413" i="4"/>
  <c r="S414" i="4"/>
  <c r="AO414" i="4"/>
  <c r="AV414" i="4"/>
  <c r="R415" i="4"/>
  <c r="V414" i="4"/>
  <c r="W414" i="4"/>
  <c r="R416" i="4"/>
  <c r="AO415" i="4"/>
  <c r="AV415" i="4"/>
  <c r="S415" i="4"/>
  <c r="V415" i="4"/>
  <c r="W415" i="4"/>
  <c r="AO416" i="4"/>
  <c r="S416" i="4"/>
  <c r="AV416" i="4"/>
  <c r="R417" i="4"/>
  <c r="V416" i="4"/>
  <c r="W416" i="4"/>
  <c r="AO417" i="4"/>
  <c r="AV417" i="4"/>
  <c r="R418" i="4"/>
  <c r="S417" i="4"/>
  <c r="V417" i="4"/>
  <c r="W417" i="4"/>
  <c r="S418" i="4"/>
  <c r="AO418" i="4"/>
  <c r="R419" i="4"/>
  <c r="AV418" i="4"/>
  <c r="V418" i="4"/>
  <c r="W418" i="4"/>
  <c r="AO419" i="4"/>
  <c r="S419" i="4"/>
  <c r="AV419" i="4"/>
  <c r="R420" i="4"/>
  <c r="V419" i="4"/>
  <c r="W419" i="4"/>
  <c r="AO420" i="4"/>
  <c r="AV420" i="4"/>
  <c r="S420" i="4"/>
  <c r="R421" i="4"/>
  <c r="V420" i="4"/>
  <c r="W420" i="4"/>
  <c r="R422" i="4"/>
  <c r="AO421" i="4"/>
  <c r="AV421" i="4"/>
  <c r="S421" i="4"/>
  <c r="V421" i="4"/>
  <c r="W421" i="4"/>
  <c r="S422" i="4"/>
  <c r="AO422" i="4"/>
  <c r="AV422" i="4"/>
  <c r="R423" i="4"/>
  <c r="V422" i="4"/>
  <c r="W422" i="4"/>
  <c r="S423" i="4"/>
  <c r="AV423" i="4"/>
  <c r="AO423" i="4"/>
  <c r="R424" i="4"/>
  <c r="V423" i="4"/>
  <c r="W423" i="4"/>
  <c r="AV424" i="4"/>
  <c r="R425" i="4"/>
  <c r="AO424" i="4"/>
  <c r="S424" i="4"/>
  <c r="V424" i="4"/>
  <c r="W424" i="4"/>
  <c r="AO425" i="4"/>
  <c r="S425" i="4"/>
  <c r="AV425" i="4"/>
  <c r="R426" i="4"/>
  <c r="V425" i="4"/>
  <c r="W425" i="4"/>
  <c r="AV426" i="4"/>
  <c r="S426" i="4"/>
  <c r="R427" i="4"/>
  <c r="AO426" i="4"/>
  <c r="V426" i="4"/>
  <c r="W426" i="4"/>
  <c r="S427" i="4"/>
  <c r="AO427" i="4"/>
  <c r="AV427" i="4"/>
  <c r="R428" i="4"/>
  <c r="V427" i="4"/>
  <c r="W427" i="4"/>
  <c r="S428" i="4"/>
  <c r="AO428" i="4"/>
  <c r="R429" i="4"/>
  <c r="AV428" i="4"/>
  <c r="V428" i="4"/>
  <c r="W428" i="4"/>
  <c r="AO429" i="4"/>
  <c r="S429" i="4"/>
  <c r="AV429" i="4"/>
  <c r="R430" i="4"/>
  <c r="V429" i="4"/>
  <c r="W429" i="4"/>
  <c r="AO430" i="4"/>
  <c r="AV430" i="4"/>
  <c r="R431" i="4"/>
  <c r="S430" i="4"/>
  <c r="V430" i="4"/>
  <c r="W430" i="4"/>
  <c r="S431" i="4"/>
  <c r="AO431" i="4"/>
  <c r="AV431" i="4"/>
  <c r="R432" i="4"/>
  <c r="V431" i="4"/>
  <c r="W431" i="4"/>
  <c r="S432" i="4"/>
  <c r="AV432" i="4"/>
  <c r="R433" i="4"/>
  <c r="AO432" i="4"/>
  <c r="V432" i="4"/>
  <c r="W432" i="4"/>
  <c r="AO433" i="4"/>
  <c r="S433" i="4"/>
  <c r="AV433" i="4"/>
  <c r="R434" i="4"/>
  <c r="V433" i="4"/>
  <c r="W433" i="4"/>
  <c r="R435" i="4"/>
  <c r="S434" i="4"/>
  <c r="AO434" i="4"/>
  <c r="AV434" i="4"/>
  <c r="V434" i="4"/>
  <c r="W434" i="4"/>
  <c r="AV435" i="4"/>
  <c r="R436" i="4"/>
  <c r="S435" i="4"/>
  <c r="AO435" i="4"/>
  <c r="V435" i="4"/>
  <c r="W435" i="4"/>
  <c r="R437" i="4"/>
  <c r="AO436" i="4"/>
  <c r="AV436" i="4"/>
  <c r="S436" i="4"/>
  <c r="V436" i="4"/>
  <c r="W436" i="4"/>
  <c r="AO437" i="4"/>
  <c r="R438" i="4"/>
  <c r="AV437" i="4"/>
  <c r="S437" i="4"/>
  <c r="V437" i="4"/>
  <c r="W437" i="4"/>
  <c r="AO438" i="4"/>
  <c r="S438" i="4"/>
  <c r="AV438" i="4"/>
  <c r="R439" i="4"/>
  <c r="V438" i="4"/>
  <c r="W438" i="4"/>
  <c r="R440" i="4"/>
  <c r="AO439" i="4"/>
  <c r="AV439" i="4"/>
  <c r="S439" i="4"/>
  <c r="V439" i="4"/>
  <c r="W439" i="4"/>
  <c r="AO440" i="4"/>
  <c r="R441" i="4"/>
  <c r="S440" i="4"/>
  <c r="AV440" i="4"/>
  <c r="V440" i="4"/>
  <c r="W440" i="4"/>
  <c r="S441" i="4"/>
  <c r="AO441" i="4"/>
  <c r="AV441" i="4"/>
  <c r="R442" i="4"/>
  <c r="V441" i="4"/>
  <c r="W441" i="4"/>
  <c r="AO442" i="4"/>
  <c r="AV442" i="4"/>
  <c r="S442" i="4"/>
  <c r="R443" i="4"/>
  <c r="V442" i="4"/>
  <c r="W442" i="4"/>
  <c r="AO443" i="4"/>
  <c r="AV443" i="4"/>
  <c r="R444" i="4"/>
  <c r="S443" i="4"/>
  <c r="V443" i="4"/>
  <c r="W443" i="4"/>
  <c r="AV444" i="4"/>
  <c r="AO444" i="4"/>
  <c r="R445" i="4"/>
  <c r="S444" i="4"/>
  <c r="V444" i="4"/>
  <c r="W444" i="4"/>
  <c r="R446" i="4"/>
  <c r="AO445" i="4"/>
  <c r="AV445" i="4"/>
  <c r="S445" i="4"/>
  <c r="V445" i="4"/>
  <c r="W445" i="4"/>
  <c r="AO446" i="4"/>
  <c r="S446" i="4"/>
  <c r="AV446" i="4"/>
  <c r="R447" i="4"/>
  <c r="V446" i="4"/>
  <c r="W446" i="4"/>
  <c r="S447" i="4"/>
  <c r="AO447" i="4"/>
  <c r="AV447" i="4"/>
  <c r="R448" i="4"/>
  <c r="V447" i="4"/>
  <c r="W447" i="4"/>
  <c r="S448" i="4"/>
  <c r="AV448" i="4"/>
  <c r="R449" i="4"/>
  <c r="AO448" i="4"/>
  <c r="V448" i="4"/>
  <c r="W448" i="4"/>
  <c r="AO449" i="4"/>
  <c r="S449" i="4"/>
  <c r="AV449" i="4"/>
  <c r="R450" i="4"/>
  <c r="V449" i="4"/>
  <c r="W449" i="4"/>
  <c r="AV450" i="4"/>
  <c r="R451" i="4"/>
  <c r="S450" i="4"/>
  <c r="AO450" i="4"/>
  <c r="V450" i="4"/>
  <c r="W450" i="4"/>
  <c r="AO451" i="4"/>
  <c r="AV451" i="4"/>
  <c r="R452" i="4"/>
  <c r="S451" i="4"/>
  <c r="V451" i="4"/>
  <c r="W451" i="4"/>
  <c r="AV452" i="4"/>
  <c r="AO452" i="4"/>
  <c r="R453" i="4"/>
  <c r="S452" i="4"/>
  <c r="V452" i="4"/>
  <c r="W452" i="4"/>
  <c r="AV453" i="4"/>
  <c r="R454" i="4"/>
  <c r="AO453" i="4"/>
  <c r="S453" i="4"/>
  <c r="V453" i="4"/>
  <c r="W453" i="4"/>
  <c r="R455" i="4"/>
  <c r="AO454" i="4"/>
  <c r="S454" i="4"/>
  <c r="AV454" i="4"/>
  <c r="V454" i="4"/>
  <c r="W454" i="4"/>
  <c r="AV455" i="4"/>
  <c r="R456" i="4"/>
  <c r="S455" i="4"/>
  <c r="AO455" i="4"/>
  <c r="V455" i="4"/>
  <c r="W455" i="4"/>
  <c r="S456" i="4"/>
  <c r="AO456" i="4"/>
  <c r="AV456" i="4"/>
  <c r="R457" i="4"/>
  <c r="V456" i="4"/>
  <c r="W456" i="4"/>
  <c r="S457" i="4"/>
  <c r="AV457" i="4"/>
  <c r="AO457" i="4"/>
  <c r="R458" i="4"/>
  <c r="V457" i="4"/>
  <c r="W457" i="4"/>
  <c r="R459" i="4"/>
  <c r="AO458" i="4"/>
  <c r="AV458" i="4"/>
  <c r="S458" i="4"/>
  <c r="V458" i="4"/>
  <c r="W458" i="4"/>
  <c r="S459" i="4"/>
  <c r="AO459" i="4"/>
  <c r="AV459" i="4"/>
  <c r="R460" i="4"/>
  <c r="V459" i="4"/>
  <c r="W459" i="4"/>
  <c r="R461" i="4"/>
  <c r="AO460" i="4"/>
  <c r="AV460" i="4"/>
  <c r="S460" i="4"/>
  <c r="V460" i="4"/>
  <c r="W460" i="4"/>
  <c r="R462" i="4"/>
  <c r="AV461" i="4"/>
  <c r="S461" i="4"/>
  <c r="AO461" i="4"/>
  <c r="V461" i="4"/>
  <c r="W461" i="4"/>
  <c r="AO462" i="4"/>
  <c r="S462" i="4"/>
  <c r="AV462" i="4"/>
  <c r="R463" i="4"/>
  <c r="V462" i="4"/>
  <c r="W462" i="4"/>
  <c r="R464" i="4"/>
  <c r="AO463" i="4"/>
  <c r="AV463" i="4"/>
  <c r="S463" i="4"/>
  <c r="V463" i="4"/>
  <c r="W463" i="4"/>
  <c r="R465" i="4"/>
  <c r="AO464" i="4"/>
  <c r="AV464" i="4"/>
  <c r="S464" i="4"/>
  <c r="V464" i="4"/>
  <c r="W464" i="4"/>
  <c r="R466" i="4"/>
  <c r="S465" i="4"/>
  <c r="AO465" i="4"/>
  <c r="AV465" i="4"/>
  <c r="V465" i="4"/>
  <c r="W465" i="4"/>
  <c r="AO466" i="4"/>
  <c r="R467" i="4"/>
  <c r="S466" i="4"/>
  <c r="AV466" i="4"/>
  <c r="V466" i="4"/>
  <c r="W466" i="4"/>
  <c r="S467" i="4"/>
  <c r="AO467" i="4"/>
  <c r="AV467" i="4"/>
  <c r="R468" i="4"/>
  <c r="V467" i="4"/>
  <c r="W467" i="4"/>
  <c r="AO468" i="4"/>
  <c r="S468" i="4"/>
  <c r="AV468" i="4"/>
  <c r="R469" i="4"/>
  <c r="V468" i="4"/>
  <c r="W468" i="4"/>
  <c r="S469" i="4"/>
  <c r="AV469" i="4"/>
  <c r="R470" i="4"/>
  <c r="AO469" i="4"/>
  <c r="V469" i="4"/>
  <c r="W469" i="4"/>
  <c r="S470" i="4"/>
  <c r="AO470" i="4"/>
  <c r="AV470" i="4"/>
  <c r="R471" i="4"/>
  <c r="V470" i="4"/>
  <c r="W470" i="4"/>
  <c r="AO471" i="4"/>
  <c r="S471" i="4"/>
  <c r="AV471" i="4"/>
  <c r="R472" i="4"/>
  <c r="V471" i="4"/>
  <c r="W471" i="4"/>
  <c r="S472" i="4"/>
  <c r="AV472" i="4"/>
  <c r="R473" i="4"/>
  <c r="AO472" i="4"/>
  <c r="V472" i="4"/>
  <c r="W472" i="4"/>
  <c r="AO473" i="4"/>
  <c r="S473" i="4"/>
  <c r="AV473" i="4"/>
  <c r="R474" i="4"/>
  <c r="V473" i="4"/>
  <c r="W473" i="4"/>
  <c r="AO474" i="4"/>
  <c r="S474" i="4"/>
  <c r="AV474" i="4"/>
  <c r="R475" i="4"/>
  <c r="V474" i="4"/>
  <c r="W474" i="4"/>
  <c r="AV475" i="4"/>
  <c r="R476" i="4"/>
  <c r="AO475" i="4"/>
  <c r="S475" i="4"/>
  <c r="V475" i="4"/>
  <c r="W475" i="4"/>
  <c r="AO476" i="4"/>
  <c r="S476" i="4"/>
  <c r="AV476" i="4"/>
  <c r="R477" i="4"/>
  <c r="V476" i="4"/>
  <c r="W476" i="4"/>
  <c r="R478" i="4"/>
  <c r="S477" i="4"/>
  <c r="AO477" i="4"/>
  <c r="AV477" i="4"/>
  <c r="V477" i="4"/>
  <c r="W477" i="4"/>
  <c r="AO478" i="4"/>
  <c r="S478" i="4"/>
  <c r="AV478" i="4"/>
  <c r="R479" i="4"/>
  <c r="V478" i="4"/>
  <c r="W478" i="4"/>
  <c r="S479" i="4"/>
  <c r="AO479" i="4"/>
  <c r="AV479" i="4"/>
  <c r="R480" i="4"/>
  <c r="V479" i="4"/>
  <c r="W479" i="4"/>
  <c r="S480" i="4"/>
  <c r="AV480" i="4"/>
  <c r="R481" i="4"/>
  <c r="AO480" i="4"/>
  <c r="V480" i="4"/>
  <c r="W480" i="4"/>
  <c r="AO481" i="4"/>
  <c r="S481" i="4"/>
  <c r="AV481" i="4"/>
  <c r="R482" i="4"/>
  <c r="V481" i="4"/>
  <c r="W481" i="4"/>
  <c r="AO482" i="4"/>
  <c r="S482" i="4"/>
  <c r="AV482" i="4"/>
  <c r="R483" i="4"/>
  <c r="V482" i="4"/>
  <c r="W482" i="4"/>
  <c r="R484" i="4"/>
  <c r="AO483" i="4"/>
  <c r="S483" i="4"/>
  <c r="AV483" i="4"/>
  <c r="V483" i="4"/>
  <c r="W483" i="4"/>
  <c r="S484" i="4"/>
  <c r="AO484" i="4"/>
  <c r="AV484" i="4"/>
  <c r="R485" i="4"/>
  <c r="V484" i="4"/>
  <c r="W484" i="4"/>
  <c r="S485" i="4"/>
  <c r="AV485" i="4"/>
  <c r="R486" i="4"/>
  <c r="AO485" i="4"/>
  <c r="V485" i="4"/>
  <c r="W485" i="4"/>
  <c r="AO486" i="4"/>
  <c r="S486" i="4"/>
  <c r="AV486" i="4"/>
  <c r="R487" i="4"/>
  <c r="V486" i="4"/>
  <c r="W486" i="4"/>
  <c r="AO487" i="4"/>
  <c r="S487" i="4"/>
  <c r="AV487" i="4"/>
  <c r="R488" i="4"/>
  <c r="V487" i="4"/>
  <c r="W487" i="4"/>
  <c r="AO488" i="4"/>
  <c r="AV488" i="4"/>
  <c r="R489" i="4"/>
  <c r="S488" i="4"/>
  <c r="V488" i="4"/>
  <c r="W488" i="4"/>
  <c r="AO489" i="4"/>
  <c r="S489" i="4"/>
  <c r="AV489" i="4"/>
  <c r="R490" i="4"/>
  <c r="V489" i="4"/>
  <c r="W489" i="4"/>
  <c r="AO490" i="4"/>
  <c r="S490" i="4"/>
  <c r="AV490" i="4"/>
  <c r="R491" i="4"/>
  <c r="V490" i="4"/>
  <c r="W490" i="4"/>
  <c r="S491" i="4"/>
  <c r="AO491" i="4"/>
  <c r="AV491" i="4"/>
  <c r="R492" i="4"/>
  <c r="V491" i="4"/>
  <c r="W491" i="4"/>
  <c r="S492" i="4"/>
  <c r="AO492" i="4"/>
  <c r="AV492" i="4"/>
  <c r="R493" i="4"/>
  <c r="V492" i="4"/>
  <c r="W492" i="4"/>
  <c r="S493" i="4"/>
  <c r="AV493" i="4"/>
  <c r="R494" i="4"/>
  <c r="AO493" i="4"/>
  <c r="V493" i="4"/>
  <c r="W493" i="4"/>
  <c r="AO494" i="4"/>
  <c r="S494" i="4"/>
  <c r="AV494" i="4"/>
  <c r="R495" i="4"/>
  <c r="V494" i="4"/>
  <c r="W494" i="4"/>
  <c r="AO495" i="4"/>
  <c r="S495" i="4"/>
  <c r="AV495" i="4"/>
  <c r="R496" i="4"/>
  <c r="V495" i="4"/>
  <c r="W495" i="4"/>
  <c r="AV496" i="4"/>
  <c r="R497" i="4"/>
  <c r="S496" i="4"/>
  <c r="AO496" i="4"/>
  <c r="V496" i="4"/>
  <c r="W496" i="4"/>
  <c r="S497" i="4"/>
  <c r="AO497" i="4"/>
  <c r="AV497" i="4"/>
  <c r="R498" i="4"/>
  <c r="V497" i="4"/>
  <c r="W497" i="4"/>
  <c r="R499" i="4"/>
  <c r="S498" i="4"/>
  <c r="AO498" i="4"/>
  <c r="AV498" i="4"/>
  <c r="V498" i="4"/>
  <c r="W498" i="4"/>
  <c r="S499" i="4"/>
  <c r="AO499" i="4"/>
  <c r="AV499" i="4"/>
  <c r="R500" i="4"/>
  <c r="V499" i="4"/>
  <c r="W499" i="4"/>
  <c r="R501" i="4"/>
  <c r="S500" i="4"/>
  <c r="AO500" i="4"/>
  <c r="AV500" i="4"/>
  <c r="V500" i="4"/>
  <c r="W500" i="4"/>
  <c r="AO501" i="4"/>
  <c r="S501" i="4"/>
  <c r="AV501" i="4"/>
  <c r="R502" i="4"/>
  <c r="V501" i="4"/>
  <c r="W501" i="4"/>
  <c r="AO502" i="4"/>
  <c r="S502" i="4"/>
  <c r="AV502" i="4"/>
  <c r="R503" i="4"/>
  <c r="V502" i="4"/>
  <c r="W502" i="4"/>
  <c r="AO503" i="4"/>
  <c r="S503" i="4"/>
  <c r="AV503" i="4"/>
  <c r="R504" i="4"/>
  <c r="V503" i="4"/>
  <c r="W503" i="4"/>
  <c r="AO504" i="4"/>
  <c r="AV504" i="4"/>
  <c r="R505" i="4"/>
  <c r="S504" i="4"/>
  <c r="V504" i="4"/>
  <c r="W504" i="4"/>
  <c r="AO505" i="4"/>
  <c r="S505" i="4"/>
  <c r="AV505" i="4"/>
  <c r="R506" i="4"/>
  <c r="V505" i="4"/>
  <c r="W505" i="4"/>
  <c r="R507" i="4"/>
  <c r="S506" i="4"/>
  <c r="AO506" i="4"/>
  <c r="AV506" i="4"/>
  <c r="V506" i="4"/>
  <c r="W506" i="4"/>
  <c r="S507" i="4"/>
  <c r="AO507" i="4"/>
  <c r="AV507" i="4"/>
  <c r="R508" i="4"/>
  <c r="V507" i="4"/>
  <c r="W507" i="4"/>
  <c r="R509" i="4"/>
  <c r="AO508" i="4"/>
  <c r="S508" i="4"/>
  <c r="AV508" i="4"/>
  <c r="V508" i="4"/>
  <c r="W508" i="4"/>
  <c r="S509" i="4"/>
  <c r="AO509" i="4"/>
  <c r="AV509" i="4"/>
  <c r="R510" i="4"/>
  <c r="V509" i="4"/>
  <c r="W509" i="4"/>
  <c r="AO510" i="4"/>
  <c r="S510" i="4"/>
  <c r="AV510" i="4"/>
  <c r="R511" i="4"/>
  <c r="V510" i="4"/>
  <c r="W510" i="4"/>
  <c r="AO511" i="4"/>
  <c r="S511" i="4"/>
  <c r="AV511" i="4"/>
  <c r="R512" i="4"/>
  <c r="V511" i="4"/>
  <c r="W511" i="4"/>
  <c r="S512" i="4"/>
  <c r="AO512" i="4"/>
  <c r="AV512" i="4"/>
  <c r="R513" i="4"/>
  <c r="V512" i="4"/>
  <c r="W512" i="4"/>
  <c r="S513" i="4"/>
  <c r="AO513" i="4"/>
  <c r="AV513" i="4"/>
  <c r="R514" i="4"/>
  <c r="V513" i="4"/>
  <c r="W513" i="4"/>
  <c r="R515" i="4"/>
  <c r="AO514" i="4"/>
  <c r="S514" i="4"/>
  <c r="AV514" i="4"/>
  <c r="V514" i="4"/>
  <c r="W514" i="4"/>
  <c r="AO515" i="4"/>
  <c r="S515" i="4"/>
  <c r="AV515" i="4"/>
  <c r="R516" i="4"/>
  <c r="V515" i="4"/>
  <c r="W515" i="4"/>
  <c r="AO516" i="4"/>
  <c r="S516" i="4"/>
  <c r="AV516" i="4"/>
  <c r="R517" i="4"/>
  <c r="V516" i="4"/>
  <c r="W516" i="4"/>
  <c r="AO517" i="4"/>
  <c r="S517" i="4"/>
  <c r="AV517" i="4"/>
  <c r="R518" i="4"/>
  <c r="V517" i="4"/>
  <c r="W517" i="4"/>
  <c r="S518" i="4"/>
  <c r="AV518" i="4"/>
  <c r="R519" i="4"/>
  <c r="AO518" i="4"/>
  <c r="V518" i="4"/>
  <c r="W518" i="4"/>
  <c r="AO519" i="4"/>
  <c r="S519" i="4"/>
  <c r="AV519" i="4"/>
  <c r="R520" i="4"/>
  <c r="V519" i="4"/>
  <c r="W519" i="4"/>
  <c r="S520" i="4"/>
  <c r="AO520" i="4"/>
  <c r="AV520" i="4"/>
  <c r="R521" i="4"/>
  <c r="V520" i="4"/>
  <c r="W520" i="4"/>
  <c r="S521" i="4"/>
  <c r="AO521" i="4"/>
  <c r="AV521" i="4"/>
  <c r="R522" i="4"/>
  <c r="V521" i="4"/>
  <c r="W521" i="4"/>
  <c r="AO522" i="4"/>
  <c r="S522" i="4"/>
  <c r="AV522" i="4"/>
  <c r="R523" i="4"/>
  <c r="V522" i="4"/>
  <c r="W522" i="4"/>
  <c r="R524" i="4"/>
  <c r="AO523" i="4"/>
  <c r="S523" i="4"/>
  <c r="AV523" i="4"/>
  <c r="V523" i="4"/>
  <c r="W523" i="4"/>
  <c r="AO524" i="4"/>
  <c r="S524" i="4"/>
  <c r="AV524" i="4"/>
  <c r="R525" i="4"/>
  <c r="V524" i="4"/>
  <c r="W524" i="4"/>
  <c r="AO525" i="4"/>
  <c r="S525" i="4"/>
  <c r="AV525" i="4"/>
  <c r="R526" i="4"/>
  <c r="V525" i="4"/>
  <c r="W525" i="4"/>
  <c r="AO526" i="4"/>
  <c r="S526" i="4"/>
  <c r="AV526" i="4"/>
  <c r="R527" i="4"/>
  <c r="V526" i="4"/>
  <c r="W526" i="4"/>
  <c r="AV527" i="4"/>
  <c r="R528" i="4"/>
  <c r="S527" i="4"/>
  <c r="AO527" i="4"/>
  <c r="V527" i="4"/>
  <c r="W527" i="4"/>
  <c r="S528" i="4"/>
  <c r="AO528" i="4"/>
  <c r="AV528" i="4"/>
  <c r="R529" i="4"/>
  <c r="V528" i="4"/>
  <c r="W528" i="4"/>
  <c r="AO529" i="4"/>
  <c r="S529" i="4"/>
  <c r="AV529" i="4"/>
  <c r="R530" i="4"/>
  <c r="V529" i="4"/>
  <c r="W529" i="4"/>
  <c r="S530" i="4"/>
  <c r="AO530" i="4"/>
  <c r="AV530" i="4"/>
  <c r="R531" i="4"/>
  <c r="V530" i="4"/>
  <c r="W530" i="4"/>
  <c r="AO531" i="4"/>
  <c r="S531" i="4"/>
  <c r="AV531" i="4"/>
  <c r="R532" i="4"/>
  <c r="V531" i="4"/>
  <c r="W531" i="4"/>
  <c r="AV532" i="4"/>
  <c r="R533" i="4"/>
  <c r="AO532" i="4"/>
  <c r="S532" i="4"/>
  <c r="V532" i="4"/>
  <c r="W532" i="4"/>
  <c r="S533" i="4"/>
  <c r="AO533" i="4"/>
  <c r="AV533" i="4"/>
  <c r="R534" i="4"/>
  <c r="V533" i="4"/>
  <c r="W533" i="4"/>
  <c r="AO534" i="4"/>
  <c r="S534" i="4"/>
  <c r="AV534" i="4"/>
  <c r="R535" i="4"/>
  <c r="V534" i="4"/>
  <c r="W534" i="4"/>
  <c r="S535" i="4"/>
  <c r="AV535" i="4"/>
  <c r="R536" i="4"/>
  <c r="AO535" i="4"/>
  <c r="V535" i="4"/>
  <c r="W535" i="4"/>
  <c r="AO536" i="4"/>
  <c r="S536" i="4"/>
  <c r="AV536" i="4"/>
  <c r="R537" i="4"/>
  <c r="V536" i="4"/>
  <c r="W536" i="4"/>
  <c r="S537" i="4"/>
  <c r="AO537" i="4"/>
  <c r="AV537" i="4"/>
  <c r="R538" i="4"/>
  <c r="V537" i="4"/>
  <c r="W537" i="4"/>
  <c r="S538" i="4"/>
  <c r="AO538" i="4"/>
  <c r="AV538" i="4"/>
  <c r="R539" i="4"/>
  <c r="V538" i="4"/>
  <c r="W538" i="4"/>
  <c r="AO539" i="4"/>
  <c r="S539" i="4"/>
  <c r="AV539" i="4"/>
  <c r="R540" i="4"/>
  <c r="V539" i="4"/>
  <c r="W539" i="4"/>
  <c r="AV540" i="4"/>
  <c r="R541" i="4"/>
  <c r="AO540" i="4"/>
  <c r="S540" i="4"/>
  <c r="V540" i="4"/>
  <c r="W540" i="4"/>
  <c r="AO541" i="4"/>
  <c r="S541" i="4"/>
  <c r="AV541" i="4"/>
  <c r="R542" i="4"/>
  <c r="V541" i="4"/>
  <c r="W541" i="4"/>
  <c r="AO542" i="4"/>
  <c r="S542" i="4"/>
  <c r="AV542" i="4"/>
  <c r="R543" i="4"/>
  <c r="V542" i="4"/>
  <c r="W542" i="4"/>
  <c r="R544" i="4"/>
  <c r="AO543" i="4"/>
  <c r="S543" i="4"/>
  <c r="AV543" i="4"/>
  <c r="V543" i="4"/>
  <c r="W543" i="4"/>
  <c r="S544" i="4"/>
  <c r="AO544" i="4"/>
  <c r="AV544" i="4"/>
  <c r="R545" i="4"/>
  <c r="V544" i="4"/>
  <c r="W544" i="4"/>
  <c r="AO545" i="4"/>
  <c r="S545" i="4"/>
  <c r="AV545" i="4"/>
  <c r="R546" i="4"/>
  <c r="V545" i="4"/>
  <c r="W545" i="4"/>
  <c r="AO546" i="4"/>
  <c r="AV546" i="4"/>
  <c r="R547" i="4"/>
  <c r="S546" i="4"/>
  <c r="V546" i="4"/>
  <c r="W546" i="4"/>
  <c r="AO547" i="4"/>
  <c r="S547" i="4"/>
  <c r="AV547" i="4"/>
  <c r="R548" i="4"/>
  <c r="V547" i="4"/>
  <c r="W547" i="4"/>
  <c r="R549" i="4"/>
  <c r="AO548" i="4"/>
  <c r="S548" i="4"/>
  <c r="AV548" i="4"/>
  <c r="V548" i="4"/>
  <c r="W548" i="4"/>
  <c r="S549" i="4"/>
  <c r="AO549" i="4"/>
  <c r="AV549" i="4"/>
  <c r="R550" i="4"/>
  <c r="V549" i="4"/>
  <c r="W549" i="4"/>
  <c r="R551" i="4"/>
  <c r="S550" i="4"/>
  <c r="AO550" i="4"/>
  <c r="AV550" i="4"/>
  <c r="V550" i="4"/>
  <c r="W550" i="4"/>
  <c r="AO551" i="4"/>
  <c r="S551" i="4"/>
  <c r="AV551" i="4"/>
  <c r="R552" i="4"/>
  <c r="V551" i="4"/>
  <c r="W551" i="4"/>
  <c r="R553" i="4"/>
  <c r="S552" i="4"/>
  <c r="AO552" i="4"/>
  <c r="AV552" i="4"/>
  <c r="V552" i="4"/>
  <c r="W552" i="4"/>
  <c r="AO553" i="4"/>
  <c r="S553" i="4"/>
  <c r="AV553" i="4"/>
  <c r="R554" i="4"/>
  <c r="V553" i="4"/>
  <c r="W553" i="4"/>
  <c r="AO554" i="4"/>
  <c r="S554" i="4"/>
  <c r="AV554" i="4"/>
  <c r="R555" i="4"/>
  <c r="V554" i="4"/>
  <c r="W554" i="4"/>
  <c r="AO555" i="4"/>
  <c r="S555" i="4"/>
  <c r="AV555" i="4"/>
  <c r="R556" i="4"/>
  <c r="V555" i="4"/>
  <c r="W555" i="4"/>
  <c r="S556" i="4"/>
  <c r="AO556" i="4"/>
  <c r="AV556" i="4"/>
  <c r="R557" i="4"/>
  <c r="V556" i="4"/>
  <c r="W556" i="4"/>
  <c r="AO557" i="4"/>
  <c r="S557" i="4"/>
  <c r="AV557" i="4"/>
  <c r="R558" i="4"/>
  <c r="V557" i="4"/>
  <c r="W557" i="4"/>
  <c r="AV558" i="4"/>
  <c r="R559" i="4"/>
  <c r="AO558" i="4"/>
  <c r="S558" i="4"/>
  <c r="V558" i="4"/>
  <c r="W558" i="4"/>
  <c r="AO559" i="4"/>
  <c r="S559" i="4"/>
  <c r="AV559" i="4"/>
  <c r="R560" i="4"/>
  <c r="V559" i="4"/>
  <c r="W559" i="4"/>
  <c r="AV560" i="4"/>
  <c r="R561" i="4"/>
  <c r="S560" i="4"/>
  <c r="AO560" i="4"/>
  <c r="V560" i="4"/>
  <c r="W560" i="4"/>
  <c r="AO561" i="4"/>
  <c r="S561" i="4"/>
  <c r="AV561" i="4"/>
  <c r="R562" i="4"/>
  <c r="V561" i="4"/>
  <c r="W561" i="4"/>
  <c r="AO562" i="4"/>
  <c r="S562" i="4"/>
  <c r="AV562" i="4"/>
  <c r="R563" i="4"/>
  <c r="V562" i="4"/>
  <c r="W562" i="4"/>
  <c r="R564" i="4"/>
  <c r="AO563" i="4"/>
  <c r="AV563" i="4"/>
  <c r="S563" i="4"/>
  <c r="V563" i="4"/>
  <c r="W563" i="4"/>
  <c r="S564" i="4"/>
  <c r="AO564" i="4"/>
  <c r="AV564" i="4"/>
  <c r="R565" i="4"/>
  <c r="V564" i="4"/>
  <c r="W564" i="4"/>
  <c r="AO565" i="4"/>
  <c r="S565" i="4"/>
  <c r="AV565" i="4"/>
  <c r="R566" i="4"/>
  <c r="V565" i="4"/>
  <c r="W565" i="4"/>
  <c r="AO566" i="4"/>
  <c r="AV566" i="4"/>
  <c r="R567" i="4"/>
  <c r="S566" i="4"/>
  <c r="V566" i="4"/>
  <c r="W566" i="4"/>
  <c r="AO567" i="4"/>
  <c r="S567" i="4"/>
  <c r="AV567" i="4"/>
  <c r="R568" i="4"/>
  <c r="V567" i="4"/>
  <c r="W567" i="4"/>
  <c r="AO568" i="4"/>
  <c r="AV568" i="4"/>
  <c r="R569" i="4"/>
  <c r="S568" i="4"/>
  <c r="V568" i="4"/>
  <c r="W568" i="4"/>
  <c r="S569" i="4"/>
  <c r="AO569" i="4"/>
  <c r="AV569" i="4"/>
  <c r="R570" i="4"/>
  <c r="V569" i="4"/>
  <c r="W569" i="4"/>
  <c r="AV570" i="4"/>
  <c r="R571" i="4"/>
  <c r="S570" i="4"/>
  <c r="AO570" i="4"/>
  <c r="V570" i="4"/>
  <c r="W570" i="4"/>
  <c r="AO571" i="4"/>
  <c r="S571" i="4"/>
  <c r="AV571" i="4"/>
  <c r="R572" i="4"/>
  <c r="V571" i="4"/>
  <c r="W571" i="4"/>
  <c r="AO572" i="4"/>
  <c r="S572" i="4"/>
  <c r="AV572" i="4"/>
  <c r="R573" i="4"/>
  <c r="V572" i="4"/>
  <c r="W572" i="4"/>
  <c r="S573" i="4"/>
  <c r="AV573" i="4"/>
  <c r="R574" i="4"/>
  <c r="AO573" i="4"/>
  <c r="V573" i="4"/>
  <c r="W573" i="4"/>
  <c r="S574" i="4"/>
  <c r="AO574" i="4"/>
  <c r="AV574" i="4"/>
  <c r="R575" i="4"/>
  <c r="V574" i="4"/>
  <c r="W574" i="4"/>
  <c r="R576" i="4"/>
  <c r="AO575" i="4"/>
  <c r="AV575" i="4"/>
  <c r="S575" i="4"/>
  <c r="V575" i="4"/>
  <c r="W575" i="4"/>
  <c r="AO576" i="4"/>
  <c r="S576" i="4"/>
  <c r="AV576" i="4"/>
  <c r="R577" i="4"/>
  <c r="V576" i="4"/>
  <c r="W576" i="4"/>
  <c r="S577" i="4"/>
  <c r="AO577" i="4"/>
  <c r="AV577" i="4"/>
  <c r="R578" i="4"/>
  <c r="V577" i="4"/>
  <c r="W577" i="4"/>
  <c r="S578" i="4"/>
  <c r="AV578" i="4"/>
  <c r="R579" i="4"/>
  <c r="AO578" i="4"/>
  <c r="V578" i="4"/>
  <c r="W578" i="4"/>
  <c r="AO579" i="4"/>
  <c r="S579" i="4"/>
  <c r="AV579" i="4"/>
  <c r="R580" i="4"/>
  <c r="V579" i="4"/>
  <c r="W579" i="4"/>
  <c r="AO580" i="4"/>
  <c r="S580" i="4"/>
  <c r="AV580" i="4"/>
  <c r="R581" i="4"/>
  <c r="V580" i="4"/>
  <c r="W580" i="4"/>
  <c r="AO581" i="4"/>
  <c r="AV581" i="4"/>
  <c r="R582" i="4"/>
  <c r="S581" i="4"/>
  <c r="V581" i="4"/>
  <c r="W581" i="4"/>
  <c r="R583" i="4"/>
  <c r="AV582" i="4"/>
  <c r="AO582" i="4"/>
  <c r="S582" i="4"/>
  <c r="V582" i="4"/>
  <c r="W582" i="4"/>
  <c r="AO583" i="4"/>
  <c r="S583" i="4"/>
  <c r="AV583" i="4"/>
  <c r="R584" i="4"/>
  <c r="V583" i="4"/>
  <c r="W583" i="4"/>
  <c r="R585" i="4"/>
  <c r="S584" i="4"/>
  <c r="AO584" i="4"/>
  <c r="AV584" i="4"/>
  <c r="V584" i="4"/>
  <c r="W584" i="4"/>
  <c r="R586" i="4"/>
  <c r="AO585" i="4"/>
  <c r="AV585" i="4"/>
  <c r="S585" i="4"/>
  <c r="V585" i="4"/>
  <c r="W585" i="4"/>
  <c r="S586" i="4"/>
  <c r="AO586" i="4"/>
  <c r="AV586" i="4"/>
  <c r="R587" i="4"/>
  <c r="V586" i="4"/>
  <c r="W586" i="4"/>
  <c r="R588" i="4"/>
  <c r="S587" i="4"/>
  <c r="AO587" i="4"/>
  <c r="AV587" i="4"/>
  <c r="V587" i="4"/>
  <c r="W587" i="4"/>
  <c r="AV588" i="4"/>
  <c r="R589" i="4"/>
  <c r="S588" i="4"/>
  <c r="AO588" i="4"/>
  <c r="V588" i="4"/>
  <c r="W588" i="4"/>
  <c r="R590" i="4"/>
  <c r="AV589" i="4"/>
  <c r="S589" i="4"/>
  <c r="AO589" i="4"/>
  <c r="V589" i="4"/>
  <c r="W589" i="4"/>
  <c r="S590" i="4"/>
  <c r="AO590" i="4"/>
  <c r="AV590" i="4"/>
  <c r="R591" i="4"/>
  <c r="V590" i="4"/>
  <c r="W590" i="4"/>
  <c r="AO591" i="4"/>
  <c r="R592" i="4"/>
  <c r="S591" i="4"/>
  <c r="AV591" i="4"/>
  <c r="V591" i="4"/>
  <c r="W591" i="4"/>
  <c r="AO592" i="4"/>
  <c r="S592" i="4"/>
  <c r="AV592" i="4"/>
  <c r="R593" i="4"/>
  <c r="V592" i="4"/>
  <c r="W592" i="4"/>
  <c r="R594" i="4"/>
  <c r="AO593" i="4"/>
  <c r="S593" i="4"/>
  <c r="AV593" i="4"/>
  <c r="V593" i="4"/>
  <c r="W593" i="4"/>
  <c r="AV594" i="4"/>
  <c r="R595" i="4"/>
  <c r="S594" i="4"/>
  <c r="AO594" i="4"/>
  <c r="V594" i="4"/>
  <c r="W594" i="4"/>
  <c r="S595" i="4"/>
  <c r="AO595" i="4"/>
  <c r="AV595" i="4"/>
  <c r="R596" i="4"/>
  <c r="V595" i="4"/>
  <c r="W595" i="4"/>
  <c r="AV596" i="4"/>
  <c r="S596" i="4"/>
  <c r="AO596" i="4"/>
  <c r="R597" i="4"/>
  <c r="V596" i="4"/>
  <c r="W596" i="4"/>
  <c r="S597" i="4"/>
  <c r="AO597" i="4"/>
  <c r="AV597" i="4"/>
  <c r="R598" i="4"/>
  <c r="V597" i="4"/>
  <c r="W597" i="4"/>
  <c r="R599" i="4"/>
  <c r="S598" i="4"/>
  <c r="AO598" i="4"/>
  <c r="AV598" i="4"/>
  <c r="V598" i="4"/>
  <c r="W598" i="4"/>
  <c r="AV599" i="4"/>
  <c r="R600" i="4"/>
  <c r="AO599" i="4"/>
  <c r="S599" i="4"/>
  <c r="V599" i="4"/>
  <c r="W599" i="4"/>
  <c r="S600" i="4"/>
  <c r="AO600" i="4"/>
  <c r="AV600" i="4"/>
  <c r="R601" i="4"/>
  <c r="V600" i="4"/>
  <c r="W600" i="4"/>
  <c r="AO601" i="4"/>
  <c r="S601" i="4"/>
  <c r="AV601" i="4"/>
  <c r="R602" i="4"/>
  <c r="V601" i="4"/>
  <c r="W601" i="4"/>
  <c r="S602" i="4"/>
  <c r="AO602" i="4"/>
  <c r="AV602" i="4"/>
  <c r="R603" i="4"/>
  <c r="V602" i="4"/>
  <c r="W602" i="4"/>
  <c r="S603" i="4"/>
  <c r="AO603" i="4"/>
  <c r="AV603" i="4"/>
  <c r="R604" i="4"/>
  <c r="V603" i="4"/>
  <c r="W603" i="4"/>
  <c r="S604" i="4"/>
  <c r="AV604" i="4"/>
  <c r="R605" i="4"/>
  <c r="AO604" i="4"/>
  <c r="V604" i="4"/>
  <c r="W604" i="4"/>
  <c r="S605" i="4"/>
  <c r="AO605" i="4"/>
  <c r="AV605" i="4"/>
  <c r="R606" i="4"/>
  <c r="V605" i="4"/>
  <c r="W605" i="4"/>
  <c r="S606" i="4"/>
  <c r="AO606" i="4"/>
  <c r="AV606" i="4"/>
  <c r="R607" i="4"/>
  <c r="V606" i="4"/>
  <c r="W606" i="4"/>
  <c r="S607" i="4"/>
  <c r="AV607" i="4"/>
  <c r="R608" i="4"/>
  <c r="AO607" i="4"/>
  <c r="V607" i="4"/>
  <c r="W607" i="4"/>
  <c r="AO608" i="4"/>
  <c r="S608" i="4"/>
  <c r="AV608" i="4"/>
  <c r="R609" i="4"/>
  <c r="V608" i="4"/>
  <c r="W608" i="4"/>
  <c r="S609" i="4"/>
  <c r="AO609" i="4"/>
  <c r="R610" i="4"/>
  <c r="AV609" i="4"/>
  <c r="V609" i="4"/>
  <c r="W609" i="4"/>
  <c r="S610" i="4"/>
  <c r="AO610" i="4"/>
  <c r="AV610" i="4"/>
  <c r="R611" i="4"/>
  <c r="V610" i="4"/>
  <c r="W610" i="4"/>
  <c r="S611" i="4"/>
  <c r="AO611" i="4"/>
  <c r="AV611" i="4"/>
  <c r="R612" i="4"/>
  <c r="V611" i="4"/>
  <c r="W611" i="4"/>
  <c r="AO612" i="4"/>
  <c r="S612" i="4"/>
  <c r="AV612" i="4"/>
  <c r="R613" i="4"/>
  <c r="V612" i="4"/>
  <c r="W612" i="4"/>
  <c r="S613" i="4"/>
  <c r="AO613" i="4"/>
  <c r="AV613" i="4"/>
  <c r="R614" i="4"/>
  <c r="V613" i="4"/>
  <c r="W613" i="4"/>
  <c r="AO614" i="4"/>
  <c r="S614" i="4"/>
  <c r="AV614" i="4"/>
  <c r="R615" i="4"/>
  <c r="V614" i="4"/>
  <c r="W614" i="4"/>
  <c r="AO615" i="4"/>
  <c r="S615" i="4"/>
  <c r="AV615" i="4"/>
  <c r="R616" i="4"/>
  <c r="V615" i="4"/>
  <c r="W615" i="4"/>
  <c r="AV616" i="4"/>
  <c r="R617" i="4"/>
  <c r="AO616" i="4"/>
  <c r="S616" i="4"/>
  <c r="V616" i="4"/>
  <c r="W616" i="4"/>
  <c r="AO617" i="4"/>
  <c r="S617" i="4"/>
  <c r="AV617" i="4"/>
  <c r="R618" i="4"/>
  <c r="V617" i="4"/>
  <c r="W617" i="4"/>
  <c r="AO618" i="4"/>
  <c r="S618" i="4"/>
  <c r="AV618" i="4"/>
  <c r="R619" i="4"/>
  <c r="V618" i="4"/>
  <c r="W618" i="4"/>
  <c r="R620" i="4"/>
  <c r="AO619" i="4"/>
  <c r="AV619" i="4"/>
  <c r="S619" i="4"/>
  <c r="V619" i="4"/>
  <c r="W619" i="4"/>
  <c r="AO620" i="4"/>
  <c r="S620" i="4"/>
  <c r="AV620" i="4"/>
  <c r="R621" i="4"/>
  <c r="V620" i="4"/>
  <c r="W620" i="4"/>
  <c r="S621" i="4"/>
  <c r="AO621" i="4"/>
  <c r="AV621" i="4"/>
  <c r="R622" i="4"/>
  <c r="V621" i="4"/>
  <c r="W621" i="4"/>
  <c r="AO622" i="4"/>
  <c r="AV622" i="4"/>
  <c r="R623" i="4"/>
  <c r="S622" i="4"/>
  <c r="V622" i="4"/>
  <c r="W622" i="4"/>
  <c r="AO623" i="4"/>
  <c r="S623" i="4"/>
  <c r="AV623" i="4"/>
  <c r="R624" i="4"/>
  <c r="V623" i="4"/>
  <c r="W623" i="4"/>
  <c r="R625" i="4"/>
  <c r="AO624" i="4"/>
  <c r="AV624" i="4"/>
  <c r="S624" i="4"/>
  <c r="V624" i="4"/>
  <c r="W624" i="4"/>
  <c r="AO625" i="4"/>
  <c r="S625" i="4"/>
  <c r="AV625" i="4"/>
  <c r="R626" i="4"/>
  <c r="V625" i="4"/>
  <c r="W625" i="4"/>
  <c r="AO626" i="4"/>
  <c r="S626" i="4"/>
  <c r="AV626" i="4"/>
  <c r="R627" i="4"/>
  <c r="V626" i="4"/>
  <c r="W626" i="4"/>
  <c r="R628" i="4"/>
  <c r="AO627" i="4"/>
  <c r="AV627" i="4"/>
  <c r="S627" i="4"/>
  <c r="V627" i="4"/>
  <c r="W627" i="4"/>
  <c r="AO628" i="4"/>
  <c r="S628" i="4"/>
  <c r="AV628" i="4"/>
  <c r="R629" i="4"/>
  <c r="V628" i="4"/>
  <c r="W628" i="4"/>
  <c r="S629" i="4"/>
  <c r="AO629" i="4"/>
  <c r="AV629" i="4"/>
  <c r="R630" i="4"/>
  <c r="V629" i="4"/>
  <c r="W629" i="4"/>
  <c r="AV630" i="4"/>
  <c r="R631" i="4"/>
  <c r="AO630" i="4"/>
  <c r="S630" i="4"/>
  <c r="V630" i="4"/>
  <c r="W630" i="4"/>
  <c r="S631" i="4"/>
  <c r="AO631" i="4"/>
  <c r="AV631" i="4"/>
  <c r="R632" i="4"/>
  <c r="V631" i="4"/>
  <c r="W631" i="4"/>
  <c r="AV632" i="4"/>
  <c r="R633" i="4"/>
  <c r="S632" i="4"/>
  <c r="AO632" i="4"/>
  <c r="V632" i="4"/>
  <c r="W632" i="4"/>
  <c r="AO633" i="4"/>
  <c r="S633" i="4"/>
  <c r="AV633" i="4"/>
  <c r="R634" i="4"/>
  <c r="V633" i="4"/>
  <c r="W633" i="4"/>
  <c r="S634" i="4"/>
  <c r="AO634" i="4"/>
  <c r="AV634" i="4"/>
  <c r="R635" i="4"/>
  <c r="V634" i="4"/>
  <c r="W634" i="4"/>
  <c r="AO635" i="4"/>
  <c r="AV635" i="4"/>
  <c r="R636" i="4"/>
  <c r="S635" i="4"/>
  <c r="V635" i="4"/>
  <c r="W635" i="4"/>
  <c r="AO636" i="4"/>
  <c r="AV636" i="4"/>
  <c r="S636" i="4"/>
  <c r="R637" i="4"/>
  <c r="V636" i="4"/>
  <c r="W636" i="4"/>
  <c r="R638" i="4"/>
  <c r="S637" i="4"/>
  <c r="AO637" i="4"/>
  <c r="AV637" i="4"/>
  <c r="V637" i="4"/>
  <c r="W637" i="4"/>
  <c r="AO638" i="4"/>
  <c r="S638" i="4"/>
  <c r="AV638" i="4"/>
  <c r="R639" i="4"/>
  <c r="V638" i="4"/>
  <c r="W638" i="4"/>
  <c r="AO639" i="4"/>
  <c r="S639" i="4"/>
  <c r="AV639" i="4"/>
  <c r="R640" i="4"/>
  <c r="V639" i="4"/>
  <c r="W639" i="4"/>
  <c r="R641" i="4"/>
  <c r="S640" i="4"/>
  <c r="AO640" i="4"/>
  <c r="AV640" i="4"/>
  <c r="V640" i="4"/>
  <c r="W640" i="4"/>
  <c r="AO641" i="4"/>
  <c r="S641" i="4"/>
  <c r="AV641" i="4"/>
  <c r="R642" i="4"/>
  <c r="V641" i="4"/>
  <c r="W641" i="4"/>
  <c r="AO642" i="4"/>
  <c r="S642" i="4"/>
  <c r="AV642" i="4"/>
  <c r="R643" i="4"/>
  <c r="V642" i="4"/>
  <c r="W642" i="4"/>
  <c r="AO643" i="4"/>
  <c r="AV643" i="4"/>
  <c r="R644" i="4"/>
  <c r="S643" i="4"/>
  <c r="V643" i="4"/>
  <c r="W643" i="4"/>
  <c r="S644" i="4"/>
  <c r="AV644" i="4"/>
  <c r="R645" i="4"/>
  <c r="AO644" i="4"/>
  <c r="V644" i="4"/>
  <c r="W644" i="4"/>
  <c r="S645" i="4"/>
  <c r="AO645" i="4"/>
  <c r="AV645" i="4"/>
  <c r="R646" i="4"/>
  <c r="V645" i="4"/>
  <c r="W645" i="4"/>
  <c r="AV646" i="4"/>
  <c r="R647" i="4"/>
  <c r="AO646" i="4"/>
  <c r="S646" i="4"/>
  <c r="V646" i="4"/>
  <c r="W646" i="4"/>
  <c r="AO647" i="4"/>
  <c r="S647" i="4"/>
  <c r="AV647" i="4"/>
  <c r="R648" i="4"/>
  <c r="V647" i="4"/>
  <c r="W647" i="4"/>
  <c r="AO648" i="4"/>
  <c r="S648" i="4"/>
  <c r="AV648" i="4"/>
  <c r="R649" i="4"/>
  <c r="V648" i="4"/>
  <c r="W648" i="4"/>
  <c r="S649" i="4"/>
  <c r="AV649" i="4"/>
  <c r="R650" i="4"/>
  <c r="AO649" i="4"/>
  <c r="V649" i="4"/>
  <c r="W649" i="4"/>
  <c r="AO650" i="4"/>
  <c r="S650" i="4"/>
  <c r="AV650" i="4"/>
  <c r="R651" i="4"/>
  <c r="V650" i="4"/>
  <c r="W650" i="4"/>
  <c r="R652" i="4"/>
  <c r="S651" i="4"/>
  <c r="AO651" i="4"/>
  <c r="AV651" i="4"/>
  <c r="V651" i="4"/>
  <c r="W651" i="4"/>
  <c r="AO652" i="4"/>
  <c r="S652" i="4"/>
  <c r="AV652" i="4"/>
  <c r="R653" i="4"/>
  <c r="V652" i="4"/>
  <c r="W652" i="4"/>
  <c r="AO653" i="4"/>
  <c r="S653" i="4"/>
  <c r="AV653" i="4"/>
  <c r="R654" i="4"/>
  <c r="V653" i="4"/>
  <c r="W653" i="4"/>
  <c r="AV654" i="4"/>
  <c r="R655" i="4"/>
  <c r="AO654" i="4"/>
  <c r="S654" i="4"/>
  <c r="V654" i="4"/>
  <c r="W654" i="4"/>
  <c r="AO655" i="4"/>
  <c r="S655" i="4"/>
  <c r="AV655" i="4"/>
  <c r="R656" i="4"/>
  <c r="V655" i="4"/>
  <c r="W655" i="4"/>
  <c r="AO656" i="4"/>
  <c r="S656" i="4"/>
  <c r="AV656" i="4"/>
  <c r="R657" i="4"/>
  <c r="V656" i="4"/>
  <c r="W656" i="4"/>
  <c r="R658" i="4"/>
  <c r="AO657" i="4"/>
  <c r="AV657" i="4"/>
  <c r="S657" i="4"/>
  <c r="V657" i="4"/>
  <c r="W657" i="4"/>
  <c r="S658" i="4"/>
  <c r="AV658" i="4"/>
  <c r="AO658" i="4"/>
  <c r="R659" i="4"/>
  <c r="V658" i="4"/>
  <c r="W658" i="4"/>
  <c r="S659" i="4"/>
  <c r="AO659" i="4"/>
  <c r="AV659" i="4"/>
  <c r="R660" i="4"/>
  <c r="V659" i="4"/>
  <c r="W659" i="4"/>
  <c r="S660" i="4"/>
  <c r="AV660" i="4"/>
  <c r="AO660" i="4"/>
  <c r="V660" i="4"/>
  <c r="W660" i="4"/>
  <c r="T90" i="4"/>
  <c r="AU259" i="4"/>
  <c r="AU594" i="4"/>
  <c r="AU431" i="4"/>
  <c r="AU220" i="4"/>
  <c r="AU443" i="4"/>
  <c r="AU139" i="4"/>
  <c r="AU586" i="4"/>
  <c r="AU655" i="4"/>
  <c r="AU455" i="4"/>
  <c r="AU146" i="4"/>
  <c r="AU359" i="4"/>
  <c r="AU144" i="4"/>
  <c r="AU331" i="4"/>
  <c r="AU205" i="4"/>
  <c r="AU476" i="4"/>
  <c r="AU385" i="4"/>
  <c r="AU633" i="4"/>
  <c r="AU505" i="4"/>
  <c r="AU646" i="4"/>
  <c r="AU632" i="4"/>
  <c r="AU599" i="4"/>
  <c r="AU590" i="4"/>
  <c r="AU304" i="4"/>
  <c r="AU351" i="4"/>
  <c r="AU441" i="4"/>
  <c r="AU394" i="4"/>
  <c r="AU250" i="4"/>
  <c r="AU346" i="4"/>
  <c r="AU652" i="4"/>
  <c r="AU238" i="4"/>
  <c r="AU192" i="4"/>
  <c r="AU507" i="4"/>
  <c r="AU264" i="4"/>
  <c r="AU241" i="4"/>
  <c r="AU534" i="4"/>
  <c r="AU612" i="4"/>
  <c r="AU506" i="4"/>
  <c r="AU459" i="4"/>
  <c r="AU158" i="4"/>
  <c r="AU280" i="4"/>
  <c r="AU136" i="4"/>
  <c r="AU406" i="4"/>
  <c r="AU460" i="4"/>
  <c r="AU307" i="4"/>
  <c r="AU432" i="4"/>
  <c r="AU129" i="4"/>
  <c r="AU642" i="4"/>
  <c r="AU600" i="4"/>
  <c r="AU138" i="4"/>
  <c r="AU147" i="4"/>
  <c r="AU142" i="4"/>
  <c r="AU491" i="4"/>
  <c r="AU200" i="4"/>
  <c r="AU377" i="4"/>
  <c r="AU596" i="4"/>
  <c r="AU656" i="4"/>
  <c r="AU561" i="4"/>
  <c r="AU523" i="4"/>
  <c r="AU614" i="4"/>
  <c r="AU645" i="4"/>
  <c r="AU488" i="4"/>
  <c r="AU361" i="4"/>
  <c r="AU320" i="4"/>
  <c r="AU528" i="4"/>
  <c r="AU325" i="4"/>
  <c r="AU305" i="4"/>
  <c r="AU601" i="4"/>
  <c r="AU581" i="4"/>
  <c r="AU233" i="4"/>
  <c r="AU557" i="4"/>
  <c r="AU164" i="4"/>
  <c r="AU347" i="4"/>
  <c r="AU544" i="4"/>
  <c r="AU167" i="4"/>
  <c r="AU492" i="4"/>
  <c r="AU379" i="4"/>
  <c r="AU650" i="4"/>
  <c r="AU579" i="4"/>
  <c r="AU309" i="4"/>
  <c r="AU635" i="4"/>
  <c r="AU435" i="4"/>
  <c r="AU376" i="4"/>
  <c r="AU495" i="4"/>
  <c r="AU168" i="4"/>
  <c r="AU627" i="4"/>
  <c r="AU215" i="4"/>
  <c r="AU526" i="4"/>
  <c r="AU517" i="4"/>
  <c r="AU490" i="4"/>
  <c r="AU274" i="4"/>
  <c r="AU371" i="4"/>
  <c r="AU232" i="4"/>
  <c r="AU527" i="4"/>
  <c r="AU425" i="4"/>
  <c r="AU551" i="4"/>
  <c r="AU499" i="4"/>
  <c r="AU358" i="4"/>
  <c r="AU225" i="4"/>
  <c r="AU349" i="4"/>
  <c r="AU618" i="4"/>
  <c r="AU299" i="4"/>
  <c r="AU416" i="4"/>
  <c r="AU165" i="4"/>
  <c r="AU616" i="4"/>
  <c r="AU323" i="4"/>
  <c r="AU621" i="4"/>
  <c r="AU301" i="4"/>
  <c r="AU525" i="4"/>
  <c r="AU243" i="4"/>
  <c r="AU277" i="4"/>
  <c r="AU296" i="4"/>
  <c r="AU332" i="4"/>
  <c r="AU500" i="4"/>
  <c r="AU556" i="4"/>
  <c r="AU265" i="4"/>
  <c r="AU575" i="4"/>
  <c r="AU314" i="4"/>
  <c r="AU473" i="4"/>
  <c r="AU342" i="4"/>
  <c r="AU160" i="4"/>
  <c r="AU404" i="4"/>
  <c r="AU369" i="4"/>
  <c r="AU475" i="4"/>
  <c r="AU384" i="4"/>
  <c r="AU630" i="4"/>
  <c r="AU560" i="4"/>
  <c r="AU173" i="4"/>
  <c r="AU166" i="4"/>
  <c r="AU184" i="4"/>
  <c r="AU482" i="4"/>
  <c r="AU263" i="4"/>
  <c r="AU125" i="4"/>
  <c r="AU512" i="4"/>
  <c r="AU151" i="4"/>
  <c r="AU141" i="4"/>
  <c r="AU316" i="4"/>
  <c r="AU605" i="4"/>
  <c r="AU122" i="4"/>
  <c r="AU149" i="4"/>
  <c r="AU402" i="4"/>
  <c r="AU310" i="4"/>
  <c r="AU660" i="4"/>
  <c r="AU570" i="4"/>
  <c r="AU447" i="4"/>
  <c r="AU487" i="4"/>
  <c r="AU503" i="4"/>
  <c r="AU565" i="4"/>
  <c r="AU585" i="4"/>
  <c r="AU177" i="4"/>
  <c r="AU269" i="4"/>
  <c r="AU553" i="4"/>
  <c r="AU571" i="4"/>
  <c r="AU352" i="4"/>
  <c r="AU354" i="4"/>
  <c r="AU649" i="4"/>
  <c r="AU573" i="4"/>
  <c r="AU625" i="4"/>
  <c r="AU348" i="4"/>
  <c r="AU558" i="4"/>
  <c r="AU483" i="4"/>
  <c r="AU541" i="4"/>
  <c r="AU634" i="4"/>
  <c r="AU249" i="4"/>
  <c r="AU373" i="4"/>
  <c r="AU388" i="4"/>
  <c r="AU644" i="4"/>
  <c r="AU636" i="4"/>
  <c r="AU569" i="4"/>
  <c r="AU393" i="4"/>
  <c r="AU467" i="4"/>
  <c r="AU362" i="4"/>
  <c r="AU516" i="4"/>
  <c r="AU481" i="4"/>
  <c r="AU207" i="4"/>
  <c r="AU355" i="4"/>
  <c r="AU405" i="4"/>
  <c r="AU583" i="4"/>
  <c r="AU218" i="4"/>
  <c r="AU181" i="4"/>
  <c r="AU328" i="4"/>
  <c r="AU429" i="4"/>
  <c r="AU183" i="4"/>
  <c r="AU157" i="4"/>
  <c r="AU380" i="4"/>
  <c r="AU228" i="4"/>
  <c r="AU137" i="4"/>
  <c r="AU595" i="4"/>
  <c r="AU248" i="4"/>
  <c r="AU312" i="4"/>
  <c r="AU456" i="4"/>
  <c r="AU128" i="4"/>
  <c r="AU592" i="4"/>
  <c r="AU295" i="4"/>
  <c r="AU434" i="4"/>
  <c r="AU273" i="4"/>
  <c r="AU454" i="4"/>
  <c r="AU343" i="4"/>
  <c r="AU357" i="4"/>
  <c r="AU159" i="4"/>
  <c r="AU452" i="4"/>
  <c r="AU437" i="4"/>
  <c r="AU363" i="4"/>
  <c r="AU414" i="4"/>
  <c r="AU327" i="4"/>
  <c r="AU145" i="4"/>
  <c r="AU208" i="4"/>
  <c r="AU292" i="4"/>
  <c r="AU195" i="4"/>
  <c r="AU622" i="4"/>
  <c r="AU321" i="4"/>
  <c r="AU620" i="4"/>
  <c r="AU400" i="4"/>
  <c r="AU436" i="4"/>
  <c r="AU196" i="4"/>
  <c r="AU509" i="4"/>
  <c r="AU210" i="4"/>
  <c r="AU171" i="4"/>
  <c r="AU226" i="4"/>
  <c r="AU521" i="4"/>
  <c r="AU130" i="4"/>
  <c r="AU637" i="4"/>
  <c r="AU395" i="4"/>
  <c r="AU508" i="4"/>
  <c r="AU545" i="4"/>
  <c r="AU206" i="4"/>
  <c r="AU439" i="4"/>
  <c r="AU267" i="4"/>
  <c r="B23" i="4"/>
  <c r="AU604" i="4"/>
  <c r="AU256" i="4"/>
  <c r="AU185" i="4"/>
  <c r="AU154" i="4"/>
  <c r="AU419" i="4"/>
  <c r="AU381" i="4"/>
  <c r="AU493" i="4"/>
  <c r="AU334" i="4"/>
  <c r="AU134" i="4"/>
  <c r="AU413" i="4"/>
  <c r="AU187" i="4"/>
  <c r="AU593" i="4"/>
  <c r="AU252" i="4"/>
  <c r="AU421" i="4"/>
  <c r="AU485" i="4"/>
  <c r="AU529" i="4"/>
  <c r="AU219" i="4"/>
  <c r="AU155" i="4"/>
  <c r="AU433" i="4"/>
  <c r="AU519" i="4"/>
  <c r="AU409" i="4"/>
  <c r="AU577" i="4"/>
  <c r="AU446" i="4"/>
  <c r="AU353" i="4"/>
  <c r="AU287" i="4"/>
  <c r="AU163" i="4"/>
  <c r="AU524" i="4"/>
  <c r="AU315" i="4"/>
  <c r="AU172" i="4"/>
  <c r="AU338" i="4"/>
  <c r="AU540" i="4"/>
  <c r="AU255" i="4"/>
  <c r="AU126" i="4"/>
  <c r="AU502" i="4"/>
  <c r="AU198" i="4"/>
  <c r="AU311" i="4"/>
  <c r="AU294" i="4"/>
  <c r="AU542" i="4"/>
  <c r="AU330" i="4"/>
  <c r="AU480" i="4"/>
  <c r="AU235" i="4"/>
  <c r="AU603" i="4"/>
  <c r="AU588" i="4"/>
  <c r="AU657" i="4"/>
  <c r="AU387" i="4"/>
  <c r="AU532" i="4"/>
  <c r="AU278" i="4"/>
  <c r="AU450" i="4"/>
  <c r="AU197" i="4"/>
  <c r="AU161" i="4"/>
  <c r="AU466" i="4"/>
  <c r="AU251" i="4"/>
  <c r="AU610" i="4"/>
  <c r="AU638" i="4"/>
  <c r="AU631" i="4"/>
  <c r="AU337" i="4"/>
  <c r="AU275" i="4"/>
  <c r="AU286" i="4"/>
  <c r="AU169" i="4"/>
  <c r="AU515" i="4"/>
  <c r="AU375" i="4"/>
  <c r="AU276" i="4"/>
  <c r="AU559" i="4"/>
  <c r="AU539" i="4"/>
  <c r="AU407" i="4"/>
  <c r="AU308" i="4"/>
  <c r="AU214" i="4"/>
  <c r="AU290" i="4"/>
  <c r="AU587" i="4"/>
  <c r="AU202" i="4"/>
  <c r="AU589" i="4"/>
  <c r="AU127" i="4"/>
  <c r="AU244" i="4"/>
  <c r="AU239" i="4"/>
  <c r="AU428" i="4"/>
  <c r="AU382" i="4"/>
  <c r="AU152" i="4"/>
  <c r="AU451" i="4"/>
  <c r="AU253" i="4"/>
  <c r="AU180" i="4"/>
  <c r="AU514" i="4"/>
  <c r="AU372" i="4"/>
  <c r="AU123" i="4"/>
  <c r="AU442" i="4"/>
  <c r="AU203" i="4"/>
  <c r="AU303" i="4"/>
  <c r="AU336" i="4"/>
  <c r="AU223" i="4"/>
  <c r="AU426" i="4"/>
  <c r="AU204" i="4"/>
  <c r="AU153" i="4"/>
  <c r="AU340" i="4"/>
  <c r="AU607" i="4"/>
  <c r="AU653" i="4"/>
  <c r="AU237" i="4"/>
  <c r="AU368" i="4"/>
  <c r="AU468" i="4"/>
  <c r="AU489" i="4"/>
  <c r="AU538" i="4"/>
  <c r="AU193" i="4"/>
  <c r="AU190" i="4"/>
  <c r="AU462" i="4"/>
  <c r="AU497" i="4"/>
  <c r="AU464" i="4"/>
  <c r="AU415" i="4"/>
  <c r="AU174" i="4"/>
  <c r="AU140" i="4"/>
  <c r="AU543" i="4"/>
  <c r="AU444" i="4"/>
  <c r="AU234" i="4"/>
  <c r="AU319" i="4"/>
  <c r="AU188" i="4"/>
  <c r="AU576" i="4"/>
  <c r="AU504" i="4"/>
  <c r="AU533" i="4"/>
  <c r="AU162" i="4"/>
  <c r="AU156" i="4"/>
  <c r="AU356" i="4"/>
  <c r="AU496" i="4"/>
  <c r="AU293" i="4"/>
  <c r="AU211" i="4"/>
  <c r="AU213" i="4"/>
  <c r="AU641" i="4"/>
  <c r="AU418" i="4"/>
  <c r="AU498" i="4"/>
  <c r="AU572" i="4"/>
  <c r="AU520" i="4"/>
  <c r="AU268" i="4"/>
  <c r="AU272" i="4"/>
  <c r="AU567" i="4"/>
  <c r="AU602" i="4"/>
  <c r="AU484" i="4"/>
  <c r="AU133" i="4"/>
  <c r="AU240" i="4"/>
  <c r="AU461" i="4"/>
  <c r="AU374" i="4"/>
  <c r="AU386" i="4"/>
  <c r="AU191" i="4"/>
  <c r="AU609" i="4"/>
  <c r="AU598" i="4"/>
  <c r="AU322" i="4"/>
  <c r="AU597" i="4"/>
  <c r="AU364" i="4"/>
  <c r="AU608" i="4"/>
  <c r="AU391" i="4"/>
  <c r="AU224" i="4"/>
  <c r="AU471" i="4"/>
  <c r="AU654" i="4"/>
  <c r="AU288" i="4"/>
  <c r="AU216" i="4"/>
  <c r="AU378" i="4"/>
  <c r="AU477" i="4"/>
  <c r="AU422" i="4"/>
  <c r="AU257" i="4"/>
  <c r="AU289" i="4"/>
  <c r="AU470" i="4"/>
  <c r="AU245" i="4"/>
  <c r="AU217" i="4"/>
  <c r="AU417" i="4"/>
  <c r="AU341" i="4"/>
  <c r="AU285" i="4"/>
  <c r="AU401" i="4"/>
  <c r="AU236" i="4"/>
  <c r="AU626" i="4"/>
  <c r="AU282" i="4"/>
  <c r="AU209" i="4"/>
  <c r="AU318" i="4"/>
  <c r="AU472" i="4"/>
  <c r="AU647" i="4"/>
  <c r="AU271" i="4"/>
  <c r="AU135" i="4"/>
  <c r="AU261" i="4"/>
  <c r="AU474" i="4"/>
  <c r="AU658" i="4"/>
  <c r="AU229" i="4"/>
  <c r="AU194" i="4"/>
  <c r="AU659" i="4"/>
  <c r="AU566" i="4"/>
  <c r="AU511" i="4"/>
  <c r="AU469" i="4"/>
  <c r="AU617" i="4"/>
  <c r="AU360" i="4"/>
  <c r="AU591" i="4"/>
  <c r="AU510" i="4"/>
  <c r="AU279" i="4"/>
  <c r="AU424" i="4"/>
  <c r="AU230" i="4"/>
  <c r="AU367" i="4"/>
  <c r="AU582" i="4"/>
  <c r="AU189" i="4"/>
  <c r="AU260" i="4"/>
  <c r="AU247" i="4"/>
  <c r="AU458" i="4"/>
  <c r="AU648" i="4"/>
  <c r="AU231" i="4"/>
  <c r="AU423" i="4"/>
  <c r="AU465" i="4"/>
  <c r="AU410" i="4"/>
  <c r="AU578" i="4"/>
  <c r="AU199" i="4"/>
  <c r="AU546" i="4"/>
  <c r="AU547" i="4"/>
  <c r="AU266" i="4"/>
  <c r="AU221" i="4"/>
  <c r="AU522" i="4"/>
  <c r="AU302" i="4"/>
  <c r="AU623" i="4"/>
  <c r="AU562" i="4"/>
  <c r="AU615" i="4"/>
  <c r="AU463" i="4"/>
  <c r="AU479" i="4"/>
  <c r="AU131" i="4"/>
  <c r="AU242" i="4"/>
  <c r="AU449" i="4"/>
  <c r="AU148" i="4"/>
  <c r="AU345" i="4"/>
  <c r="AU624" i="4"/>
  <c r="AU178" i="4"/>
  <c r="AU262" i="4"/>
  <c r="AU420" i="4"/>
  <c r="AU329" i="4"/>
  <c r="AU179" i="4"/>
  <c r="AU170" i="4"/>
  <c r="AU383" i="4"/>
  <c r="AU326" i="4"/>
  <c r="AU445" i="4"/>
  <c r="AU370" i="4"/>
  <c r="AU283" i="4"/>
  <c r="AU574" i="4"/>
  <c r="AU339" i="4"/>
  <c r="AU175" i="4"/>
  <c r="AU628" i="4"/>
  <c r="AU389" i="4"/>
  <c r="AU297" i="4"/>
  <c r="AU531" i="4"/>
  <c r="AU403" i="4"/>
  <c r="AU535" i="4"/>
  <c r="AU186" i="4"/>
  <c r="AU438" i="4"/>
  <c r="AU254" i="4"/>
  <c r="AU143" i="4"/>
  <c r="AU390" i="4"/>
  <c r="AU306" i="4"/>
  <c r="AU392" i="4"/>
  <c r="AU440" i="4"/>
  <c r="AU537" i="4"/>
  <c r="AU453" i="4"/>
  <c r="AU344" i="4"/>
  <c r="AU629" i="4"/>
  <c r="AU182" i="4"/>
  <c r="AU150" i="4"/>
  <c r="AU291" i="4"/>
  <c r="AU298" i="4"/>
  <c r="AU120" i="4"/>
  <c r="AU398" i="4"/>
  <c r="AU611" i="4"/>
  <c r="AU563" i="4"/>
  <c r="AU201" i="4"/>
  <c r="AU555" i="4"/>
  <c r="AU258" i="4"/>
  <c r="AU584" i="4"/>
  <c r="AU333" i="4"/>
  <c r="AU430" i="4"/>
  <c r="AU324" i="4"/>
  <c r="AU640" i="4"/>
  <c r="AU580" i="4"/>
  <c r="AU399" i="4"/>
  <c r="AU132" i="4"/>
  <c r="AU448" i="4"/>
  <c r="AU518" i="4"/>
  <c r="AU121" i="4"/>
  <c r="AU365" i="4"/>
  <c r="AU494" i="4"/>
  <c r="AU284" i="4"/>
  <c r="AU651" i="4"/>
  <c r="AU606" i="4"/>
  <c r="AU411" i="4"/>
  <c r="AU550" i="4"/>
  <c r="AU124" i="4"/>
  <c r="AU350" i="4"/>
  <c r="AU270" i="4"/>
  <c r="AU530" i="4"/>
  <c r="AU643" i="4"/>
  <c r="AU335" i="4"/>
  <c r="AU313" i="4"/>
  <c r="AU486" i="4"/>
  <c r="AU613" i="4"/>
  <c r="AU478" i="4"/>
  <c r="AU300" i="4"/>
  <c r="AU246" i="4"/>
  <c r="AU536" i="4"/>
  <c r="AU549" i="4"/>
  <c r="AU554" i="4"/>
  <c r="AU366" i="4"/>
  <c r="AU639" i="4"/>
  <c r="AU212" i="4"/>
  <c r="AU501" i="4"/>
  <c r="AU513" i="4"/>
  <c r="AU222" i="4"/>
  <c r="AU227" i="4"/>
  <c r="AU397" i="4"/>
  <c r="AU427" i="4"/>
  <c r="AU396" i="4"/>
  <c r="AU568" i="4"/>
  <c r="AU552" i="4"/>
  <c r="AU317" i="4"/>
  <c r="AU619" i="4"/>
  <c r="AU281" i="4"/>
  <c r="AU564" i="4"/>
  <c r="AU548" i="4"/>
  <c r="AU176" i="4"/>
  <c r="AU412" i="4"/>
  <c r="AU457" i="4"/>
  <c r="AU408" i="4"/>
  <c r="M37" i="30"/>
  <c r="M34" i="29"/>
  <c r="M38" i="29"/>
  <c r="M36" i="16"/>
  <c r="D22" i="4"/>
  <c r="M38" i="30"/>
  <c r="M36" i="24"/>
  <c r="M39" i="30"/>
  <c r="M35" i="16"/>
  <c r="C5" i="29"/>
  <c r="M38" i="16"/>
  <c r="M35" i="9"/>
  <c r="M36" i="29"/>
  <c r="M40" i="16"/>
  <c r="C5" i="30"/>
  <c r="C5" i="24"/>
  <c r="M39" i="9"/>
  <c r="M39" i="16"/>
  <c r="M37" i="9"/>
  <c r="M41" i="30"/>
  <c r="M36" i="9"/>
  <c r="M40" i="24"/>
  <c r="M37" i="24"/>
  <c r="C5" i="9"/>
  <c r="C5" i="16"/>
  <c r="M42" i="24"/>
  <c r="M37" i="16"/>
  <c r="M35" i="29"/>
  <c r="M39" i="24"/>
  <c r="M38" i="24"/>
  <c r="M41" i="16"/>
  <c r="M41" i="24"/>
  <c r="M40" i="9"/>
  <c r="M39" i="29"/>
  <c r="M38" i="9"/>
  <c r="M41" i="9"/>
  <c r="M40" i="29"/>
  <c r="M37" i="29"/>
  <c r="D57" i="4"/>
  <c r="M12" i="9"/>
  <c r="M13" i="16"/>
  <c r="M15" i="24"/>
  <c r="D55" i="4"/>
  <c r="T50" i="4"/>
  <c r="D56" i="4"/>
  <c r="T44" i="4"/>
  <c r="X126" i="4"/>
  <c r="M14" i="29"/>
  <c r="Z130" i="4"/>
  <c r="Z122" i="4"/>
  <c r="Y120" i="4"/>
  <c r="X120" i="4"/>
  <c r="Z121" i="4"/>
  <c r="Z127" i="4"/>
  <c r="X128" i="4"/>
  <c r="Z120" i="4"/>
  <c r="Y122" i="4"/>
  <c r="AA122" i="4"/>
  <c r="AB122" i="4"/>
  <c r="Y121" i="4"/>
  <c r="AA121" i="4"/>
  <c r="Y129" i="4"/>
  <c r="AA129" i="4"/>
  <c r="X122" i="4"/>
  <c r="Z124" i="4"/>
  <c r="X121" i="4"/>
  <c r="X125" i="4"/>
  <c r="Y125" i="4"/>
  <c r="AA125" i="4"/>
  <c r="AB125" i="4"/>
  <c r="X129" i="4"/>
  <c r="Y126" i="4"/>
  <c r="AA126" i="4"/>
  <c r="Y123" i="4"/>
  <c r="AA123" i="4"/>
  <c r="X124" i="4"/>
  <c r="X134" i="4"/>
  <c r="Z134" i="4"/>
  <c r="Y138" i="4"/>
  <c r="AA138" i="4"/>
  <c r="X142" i="4"/>
  <c r="X144" i="4"/>
  <c r="Z148" i="4"/>
  <c r="X155" i="4"/>
  <c r="Z158" i="4"/>
  <c r="Y159" i="4"/>
  <c r="AA159" i="4"/>
  <c r="Z160" i="4"/>
  <c r="Z163" i="4"/>
  <c r="Y165" i="4"/>
  <c r="AA165" i="4"/>
  <c r="X173" i="4"/>
  <c r="X174" i="4"/>
  <c r="X176" i="4"/>
  <c r="Z177" i="4"/>
  <c r="Z178" i="4"/>
  <c r="X180" i="4"/>
  <c r="X182" i="4"/>
  <c r="Z184" i="4"/>
  <c r="X186" i="4"/>
  <c r="Y186" i="4"/>
  <c r="AA186" i="4"/>
  <c r="Z188" i="4"/>
  <c r="Z189" i="4"/>
  <c r="Z191" i="4"/>
  <c r="Z201" i="4"/>
  <c r="Z202" i="4"/>
  <c r="Y205" i="4"/>
  <c r="AA205" i="4"/>
  <c r="Y207" i="4"/>
  <c r="AA207" i="4"/>
  <c r="Z208" i="4"/>
  <c r="Z211" i="4"/>
  <c r="Y214" i="4"/>
  <c r="AA214" i="4"/>
  <c r="Y216" i="4"/>
  <c r="AA216" i="4"/>
  <c r="Y124" i="4"/>
  <c r="AA124" i="4"/>
  <c r="Z125" i="4"/>
  <c r="X133" i="4"/>
  <c r="X138" i="4"/>
  <c r="Z141" i="4"/>
  <c r="X143" i="4"/>
  <c r="X153" i="4"/>
  <c r="Y153" i="4"/>
  <c r="AA153" i="4"/>
  <c r="Y154" i="4"/>
  <c r="AA154" i="4"/>
  <c r="Z155" i="4"/>
  <c r="Z162" i="4"/>
  <c r="Y164" i="4"/>
  <c r="AA164" i="4"/>
  <c r="Y167" i="4"/>
  <c r="AA167" i="4"/>
  <c r="Y168" i="4"/>
  <c r="AA168" i="4"/>
  <c r="Y171" i="4"/>
  <c r="AA171" i="4"/>
  <c r="Z172" i="4"/>
  <c r="Z173" i="4"/>
  <c r="Z174" i="4"/>
  <c r="Z175" i="4"/>
  <c r="X177" i="4"/>
  <c r="Y180" i="4"/>
  <c r="AA180" i="4"/>
  <c r="Y181" i="4"/>
  <c r="AA181" i="4"/>
  <c r="X183" i="4"/>
  <c r="Z185" i="4"/>
  <c r="Z186" i="4"/>
  <c r="X188" i="4"/>
  <c r="X191" i="4"/>
  <c r="Y191" i="4"/>
  <c r="AA191" i="4"/>
  <c r="Y200" i="4"/>
  <c r="AA200" i="4"/>
  <c r="Y201" i="4"/>
  <c r="AA201" i="4"/>
  <c r="X204" i="4"/>
  <c r="X205" i="4"/>
  <c r="Z207" i="4"/>
  <c r="Y209" i="4"/>
  <c r="AA209" i="4"/>
  <c r="Z215" i="4"/>
  <c r="Z216" i="4"/>
  <c r="Z123" i="4"/>
  <c r="Y132" i="4"/>
  <c r="AA132" i="4"/>
  <c r="Y135" i="4"/>
  <c r="AA135" i="4"/>
  <c r="Y136" i="4"/>
  <c r="AA136" i="4"/>
  <c r="X140" i="4"/>
  <c r="Y141" i="4"/>
  <c r="AA141" i="4"/>
  <c r="Z142" i="4"/>
  <c r="Y143" i="4"/>
  <c r="AA143" i="4"/>
  <c r="X145" i="4"/>
  <c r="Y145" i="4"/>
  <c r="AA145" i="4"/>
  <c r="Z146" i="4"/>
  <c r="Z150" i="4"/>
  <c r="X151" i="4"/>
  <c r="Z152" i="4"/>
  <c r="Z153" i="4"/>
  <c r="Z154" i="4"/>
  <c r="X158" i="4"/>
  <c r="Z159" i="4"/>
  <c r="Z164" i="4"/>
  <c r="X167" i="4"/>
  <c r="X170" i="4"/>
  <c r="X171" i="4"/>
  <c r="Z171" i="4"/>
  <c r="Y173" i="4"/>
  <c r="AA173" i="4"/>
  <c r="Z176" i="4"/>
  <c r="X181" i="4"/>
  <c r="Y182" i="4"/>
  <c r="AA182" i="4"/>
  <c r="Y183" i="4"/>
  <c r="AA183" i="4"/>
  <c r="Y184" i="4"/>
  <c r="AA184" i="4"/>
  <c r="Z190" i="4"/>
  <c r="Y192" i="4"/>
  <c r="AA192" i="4"/>
  <c r="X195" i="4"/>
  <c r="X197" i="4"/>
  <c r="X199" i="4"/>
  <c r="Z199" i="4"/>
  <c r="Z200" i="4"/>
  <c r="X203" i="4"/>
  <c r="X206" i="4"/>
  <c r="X211" i="4"/>
  <c r="X214" i="4"/>
  <c r="Y127" i="4"/>
  <c r="AA127" i="4"/>
  <c r="X123" i="4"/>
  <c r="X132" i="4"/>
  <c r="X135" i="4"/>
  <c r="Z135" i="4"/>
  <c r="Z139" i="4"/>
  <c r="Y140" i="4"/>
  <c r="AA140" i="4"/>
  <c r="Z143" i="4"/>
  <c r="Y144" i="4"/>
  <c r="AA144" i="4"/>
  <c r="Z144" i="4"/>
  <c r="Y147" i="4"/>
  <c r="AA147" i="4"/>
  <c r="X150" i="4"/>
  <c r="Y151" i="4"/>
  <c r="AA151" i="4"/>
  <c r="Y156" i="4"/>
  <c r="AA156" i="4"/>
  <c r="X159" i="4"/>
  <c r="X161" i="4"/>
  <c r="Y161" i="4"/>
  <c r="AA161" i="4"/>
  <c r="Z165" i="4"/>
  <c r="Z166" i="4"/>
  <c r="Y175" i="4"/>
  <c r="AA175" i="4"/>
  <c r="Z181" i="4"/>
  <c r="Z182" i="4"/>
  <c r="X184" i="4"/>
  <c r="Y189" i="4"/>
  <c r="AA189" i="4"/>
  <c r="Z192" i="4"/>
  <c r="Y193" i="4"/>
  <c r="AA193" i="4"/>
  <c r="Y194" i="4"/>
  <c r="AA194" i="4"/>
  <c r="Z195" i="4"/>
  <c r="Z196" i="4"/>
  <c r="Z197" i="4"/>
  <c r="Y202" i="4"/>
  <c r="AA202" i="4"/>
  <c r="Y203" i="4"/>
  <c r="AA203" i="4"/>
  <c r="Y206" i="4"/>
  <c r="AA206" i="4"/>
  <c r="Z210" i="4"/>
  <c r="X213" i="4"/>
  <c r="X215" i="4"/>
  <c r="X130" i="4"/>
  <c r="X127" i="4"/>
  <c r="Z131" i="4"/>
  <c r="Y133" i="4"/>
  <c r="AA133" i="4"/>
  <c r="X147" i="4"/>
  <c r="Y148" i="4"/>
  <c r="AA148" i="4"/>
  <c r="Y150" i="4"/>
  <c r="AA150" i="4"/>
  <c r="X156" i="4"/>
  <c r="Y158" i="4"/>
  <c r="AA158" i="4"/>
  <c r="Z161" i="4"/>
  <c r="X163" i="4"/>
  <c r="Y163" i="4"/>
  <c r="AA163" i="4"/>
  <c r="Y172" i="4"/>
  <c r="AA172" i="4"/>
  <c r="X179" i="4"/>
  <c r="X187" i="4"/>
  <c r="X189" i="4"/>
  <c r="Y195" i="4"/>
  <c r="AA195" i="4"/>
  <c r="Y197" i="4"/>
  <c r="AA197" i="4"/>
  <c r="X202" i="4"/>
  <c r="Z203" i="4"/>
  <c r="Z206" i="4"/>
  <c r="X208" i="4"/>
  <c r="Y208" i="4"/>
  <c r="AA208" i="4"/>
  <c r="X210" i="4"/>
  <c r="Y211" i="4"/>
  <c r="AA211" i="4"/>
  <c r="Y212" i="4"/>
  <c r="AA212" i="4"/>
  <c r="Z214" i="4"/>
  <c r="Y215" i="4"/>
  <c r="AA215" i="4"/>
  <c r="Y128" i="4"/>
  <c r="AA128" i="4"/>
  <c r="Z129" i="4"/>
  <c r="Z126" i="4"/>
  <c r="Z133" i="4"/>
  <c r="X137" i="4"/>
  <c r="Y137" i="4"/>
  <c r="AA137" i="4"/>
  <c r="Y146" i="4"/>
  <c r="AA146" i="4"/>
  <c r="X154" i="4"/>
  <c r="Y157" i="4"/>
  <c r="AA157" i="4"/>
  <c r="X165" i="4"/>
  <c r="X168" i="4"/>
  <c r="X169" i="4"/>
  <c r="X172" i="4"/>
  <c r="Z179" i="4"/>
  <c r="Y179" i="4"/>
  <c r="AA179" i="4"/>
  <c r="Y185" i="4"/>
  <c r="AA185" i="4"/>
  <c r="Y187" i="4"/>
  <c r="AA187" i="4"/>
  <c r="X201" i="4"/>
  <c r="Y204" i="4"/>
  <c r="AA204" i="4"/>
  <c r="Z205" i="4"/>
  <c r="Z209" i="4"/>
  <c r="Z128" i="4"/>
  <c r="Y131" i="4"/>
  <c r="AA131" i="4"/>
  <c r="Z132" i="4"/>
  <c r="X136" i="4"/>
  <c r="Z136" i="4"/>
  <c r="Z137" i="4"/>
  <c r="X139" i="4"/>
  <c r="X141" i="4"/>
  <c r="X146" i="4"/>
  <c r="X148" i="4"/>
  <c r="Y149" i="4"/>
  <c r="AA149" i="4"/>
  <c r="X152" i="4"/>
  <c r="Y152" i="4"/>
  <c r="AA152" i="4"/>
  <c r="X157" i="4"/>
  <c r="Y166" i="4"/>
  <c r="AA166" i="4"/>
  <c r="Z167" i="4"/>
  <c r="Z168" i="4"/>
  <c r="Z169" i="4"/>
  <c r="Y170" i="4"/>
  <c r="AA170" i="4"/>
  <c r="X175" i="4"/>
  <c r="Y176" i="4"/>
  <c r="AA176" i="4"/>
  <c r="X178" i="4"/>
  <c r="Z183" i="4"/>
  <c r="X185" i="4"/>
  <c r="Z187" i="4"/>
  <c r="Y190" i="4"/>
  <c r="AA190" i="4"/>
  <c r="X192" i="4"/>
  <c r="X193" i="4"/>
  <c r="X194" i="4"/>
  <c r="Y198" i="4"/>
  <c r="AA198" i="4"/>
  <c r="X200" i="4"/>
  <c r="Z204" i="4"/>
  <c r="Y210" i="4"/>
  <c r="AA210" i="4"/>
  <c r="Z213" i="4"/>
  <c r="X217" i="4"/>
  <c r="Z138" i="4"/>
  <c r="Z149" i="4"/>
  <c r="Z151" i="4"/>
  <c r="Y155" i="4"/>
  <c r="AA155" i="4"/>
  <c r="Z193" i="4"/>
  <c r="Y213" i="4"/>
  <c r="AA213" i="4"/>
  <c r="Z217" i="4"/>
  <c r="Y218" i="4"/>
  <c r="AA218" i="4"/>
  <c r="X221" i="4"/>
  <c r="Z221" i="4"/>
  <c r="Y224" i="4"/>
  <c r="AA224" i="4"/>
  <c r="Z156" i="4"/>
  <c r="Y162" i="4"/>
  <c r="AA162" i="4"/>
  <c r="Y169" i="4"/>
  <c r="AA169" i="4"/>
  <c r="Z170" i="4"/>
  <c r="Y177" i="4"/>
  <c r="AA177" i="4"/>
  <c r="Z198" i="4"/>
  <c r="X207" i="4"/>
  <c r="Z212" i="4"/>
  <c r="Y219" i="4"/>
  <c r="AA219" i="4"/>
  <c r="Y220" i="4"/>
  <c r="AA220" i="4"/>
  <c r="Y221" i="4"/>
  <c r="AA221" i="4"/>
  <c r="X224" i="4"/>
  <c r="Z140" i="4"/>
  <c r="X164" i="4"/>
  <c r="Y178" i="4"/>
  <c r="AA178" i="4"/>
  <c r="Z180" i="4"/>
  <c r="X220" i="4"/>
  <c r="X149" i="4"/>
  <c r="Y160" i="4"/>
  <c r="AA160" i="4"/>
  <c r="Y188" i="4"/>
  <c r="AA188" i="4"/>
  <c r="Y196" i="4"/>
  <c r="AA196" i="4"/>
  <c r="Y199" i="4"/>
  <c r="AA199" i="4"/>
  <c r="X219" i="4"/>
  <c r="Y222" i="4"/>
  <c r="AA222" i="4"/>
  <c r="X225" i="4"/>
  <c r="X131" i="4"/>
  <c r="Z145" i="4"/>
  <c r="Z147" i="4"/>
  <c r="X162" i="4"/>
  <c r="X198" i="4"/>
  <c r="X212" i="4"/>
  <c r="Z218" i="4"/>
  <c r="X222" i="4"/>
  <c r="Z222" i="4"/>
  <c r="Z224" i="4"/>
  <c r="X227" i="4"/>
  <c r="Z229" i="4"/>
  <c r="X234" i="4"/>
  <c r="Z234" i="4"/>
  <c r="X236" i="4"/>
  <c r="X239" i="4"/>
  <c r="X241" i="4"/>
  <c r="Y242" i="4"/>
  <c r="AA242" i="4"/>
  <c r="Z244" i="4"/>
  <c r="X248" i="4"/>
  <c r="Y251" i="4"/>
  <c r="AA251" i="4"/>
  <c r="X252" i="4"/>
  <c r="Z253" i="4"/>
  <c r="Y254" i="4"/>
  <c r="AA254" i="4"/>
  <c r="Z258" i="4"/>
  <c r="Z263" i="4"/>
  <c r="Z265" i="4"/>
  <c r="X267" i="4"/>
  <c r="Y267" i="4"/>
  <c r="AA267" i="4"/>
  <c r="X269" i="4"/>
  <c r="Z271" i="4"/>
  <c r="X273" i="4"/>
  <c r="Z275" i="4"/>
  <c r="X278" i="4"/>
  <c r="X282" i="4"/>
  <c r="Y286" i="4"/>
  <c r="AA286" i="4"/>
  <c r="Z287" i="4"/>
  <c r="Y289" i="4"/>
  <c r="AA289" i="4"/>
  <c r="Y290" i="4"/>
  <c r="AA290" i="4"/>
  <c r="Y291" i="4"/>
  <c r="AA291" i="4"/>
  <c r="Y293" i="4"/>
  <c r="AA293" i="4"/>
  <c r="X295" i="4"/>
  <c r="Z295" i="4"/>
  <c r="X296" i="4"/>
  <c r="Y298" i="4"/>
  <c r="AA298" i="4"/>
  <c r="X300" i="4"/>
  <c r="Y301" i="4"/>
  <c r="AA301" i="4"/>
  <c r="Y303" i="4"/>
  <c r="AA303" i="4"/>
  <c r="X307" i="4"/>
  <c r="Y130" i="4"/>
  <c r="AA130" i="4"/>
  <c r="X166" i="4"/>
  <c r="X190" i="4"/>
  <c r="Z194" i="4"/>
  <c r="Z220" i="4"/>
  <c r="Y223" i="4"/>
  <c r="AA223" i="4"/>
  <c r="Y134" i="4"/>
  <c r="AA134" i="4"/>
  <c r="Z157" i="4"/>
  <c r="X160" i="4"/>
  <c r="Y174" i="4"/>
  <c r="AA174" i="4"/>
  <c r="X196" i="4"/>
  <c r="Z219" i="4"/>
  <c r="Z223" i="4"/>
  <c r="Y139" i="4"/>
  <c r="AA139" i="4"/>
  <c r="Y142" i="4"/>
  <c r="AA142" i="4"/>
  <c r="X209" i="4"/>
  <c r="X216" i="4"/>
  <c r="Y217" i="4"/>
  <c r="AA217" i="4"/>
  <c r="X218" i="4"/>
  <c r="X223" i="4"/>
  <c r="Y228" i="4"/>
  <c r="AA228" i="4"/>
  <c r="X230" i="4"/>
  <c r="X231" i="4"/>
  <c r="X235" i="4"/>
  <c r="Z236" i="4"/>
  <c r="Z239" i="4"/>
  <c r="X243" i="4"/>
  <c r="X244" i="4"/>
  <c r="Z249" i="4"/>
  <c r="Y250" i="4"/>
  <c r="AA250" i="4"/>
  <c r="X254" i="4"/>
  <c r="Z256" i="4"/>
  <c r="Y262" i="4"/>
  <c r="AA262" i="4"/>
  <c r="X264" i="4"/>
  <c r="Y264" i="4"/>
  <c r="AA264" i="4"/>
  <c r="Y268" i="4"/>
  <c r="AA268" i="4"/>
  <c r="Z269" i="4"/>
  <c r="Y270" i="4"/>
  <c r="AA270" i="4"/>
  <c r="Z272" i="4"/>
  <c r="Y272" i="4"/>
  <c r="AA272" i="4"/>
  <c r="Z280" i="4"/>
  <c r="Y283" i="4"/>
  <c r="AA283" i="4"/>
  <c r="Z285" i="4"/>
  <c r="Z289" i="4"/>
  <c r="Z300" i="4"/>
  <c r="Z302" i="4"/>
  <c r="X305" i="4"/>
  <c r="Z305" i="4"/>
  <c r="Y226" i="4"/>
  <c r="AA226" i="4"/>
  <c r="X229" i="4"/>
  <c r="Y229" i="4"/>
  <c r="AA229" i="4"/>
  <c r="X233" i="4"/>
  <c r="Y236" i="4"/>
  <c r="AA236" i="4"/>
  <c r="Z237" i="4"/>
  <c r="X246" i="4"/>
  <c r="X251" i="4"/>
  <c r="Y255" i="4"/>
  <c r="AA255" i="4"/>
  <c r="X257" i="4"/>
  <c r="Z257" i="4"/>
  <c r="Z260" i="4"/>
  <c r="Y261" i="4"/>
  <c r="AA261" i="4"/>
  <c r="X271" i="4"/>
  <c r="Z278" i="4"/>
  <c r="Y285" i="4"/>
  <c r="AA285" i="4"/>
  <c r="Z291" i="4"/>
  <c r="Z293" i="4"/>
  <c r="Y294" i="4"/>
  <c r="AA294" i="4"/>
  <c r="Z296" i="4"/>
  <c r="X303" i="4"/>
  <c r="Z306" i="4"/>
  <c r="Z308" i="4"/>
  <c r="Z310" i="4"/>
  <c r="Z312" i="4"/>
  <c r="X314" i="4"/>
  <c r="X316" i="4"/>
  <c r="Y318" i="4"/>
  <c r="AA318" i="4"/>
  <c r="Y320" i="4"/>
  <c r="AA320" i="4"/>
  <c r="Y321" i="4"/>
  <c r="AA321" i="4"/>
  <c r="Z322" i="4"/>
  <c r="Y325" i="4"/>
  <c r="AA325" i="4"/>
  <c r="Z327" i="4"/>
  <c r="Z331" i="4"/>
  <c r="Z332" i="4"/>
  <c r="Z334" i="4"/>
  <c r="Y337" i="4"/>
  <c r="AA337" i="4"/>
  <c r="Y225" i="4"/>
  <c r="AA225" i="4"/>
  <c r="Z232" i="4"/>
  <c r="X238" i="4"/>
  <c r="Z240" i="4"/>
  <c r="Z241" i="4"/>
  <c r="Y249" i="4"/>
  <c r="AA249" i="4"/>
  <c r="Z254" i="4"/>
  <c r="Z255" i="4"/>
  <c r="X262" i="4"/>
  <c r="Z267" i="4"/>
  <c r="Z273" i="4"/>
  <c r="Y277" i="4"/>
  <c r="AA277" i="4"/>
  <c r="Z282" i="4"/>
  <c r="X284" i="4"/>
  <c r="Y284" i="4"/>
  <c r="AA284" i="4"/>
  <c r="X286" i="4"/>
  <c r="Y302" i="4"/>
  <c r="AA302" i="4"/>
  <c r="X309" i="4"/>
  <c r="Z309" i="4"/>
  <c r="Y311" i="4"/>
  <c r="AA311" i="4"/>
  <c r="Y315" i="4"/>
  <c r="AA315" i="4"/>
  <c r="Z318" i="4"/>
  <c r="X320" i="4"/>
  <c r="Z320" i="4"/>
  <c r="X326" i="4"/>
  <c r="Y327" i="4"/>
  <c r="AA327" i="4"/>
  <c r="Z330" i="4"/>
  <c r="Y331" i="4"/>
  <c r="AA331" i="4"/>
  <c r="Z333" i="4"/>
  <c r="X335" i="4"/>
  <c r="Z335" i="4"/>
  <c r="Y336" i="4"/>
  <c r="AA336" i="4"/>
  <c r="X339" i="4"/>
  <c r="Z339" i="4"/>
  <c r="Y341" i="4"/>
  <c r="AA341" i="4"/>
  <c r="Y343" i="4"/>
  <c r="AA343" i="4"/>
  <c r="X346" i="4"/>
  <c r="X348" i="4"/>
  <c r="Y350" i="4"/>
  <c r="AA350" i="4"/>
  <c r="Y352" i="4"/>
  <c r="AA352" i="4"/>
  <c r="X228" i="4"/>
  <c r="Z228" i="4"/>
  <c r="X232" i="4"/>
  <c r="Y238" i="4"/>
  <c r="AA238" i="4"/>
  <c r="Z245" i="4"/>
  <c r="X247" i="4"/>
  <c r="Y247" i="4"/>
  <c r="AA247" i="4"/>
  <c r="X253" i="4"/>
  <c r="Y253" i="4"/>
  <c r="AA253" i="4"/>
  <c r="Y256" i="4"/>
  <c r="AA256" i="4"/>
  <c r="X263" i="4"/>
  <c r="X277" i="4"/>
  <c r="Z277" i="4"/>
  <c r="Z279" i="4"/>
  <c r="X283" i="4"/>
  <c r="Z284" i="4"/>
  <c r="Y288" i="4"/>
  <c r="AA288" i="4"/>
  <c r="X290" i="4"/>
  <c r="Z297" i="4"/>
  <c r="Z311" i="4"/>
  <c r="X313" i="4"/>
  <c r="Z315" i="4"/>
  <c r="Z317" i="4"/>
  <c r="Z319" i="4"/>
  <c r="X329" i="4"/>
  <c r="X338" i="4"/>
  <c r="Y233" i="4"/>
  <c r="AA233" i="4"/>
  <c r="X237" i="4"/>
  <c r="X242" i="4"/>
  <c r="Y244" i="4"/>
  <c r="AA244" i="4"/>
  <c r="X250" i="4"/>
  <c r="Z252" i="4"/>
  <c r="X255" i="4"/>
  <c r="X256" i="4"/>
  <c r="X258" i="4"/>
  <c r="Z259" i="4"/>
  <c r="Y260" i="4"/>
  <c r="AA260" i="4"/>
  <c r="X270" i="4"/>
  <c r="X274" i="4"/>
  <c r="Y275" i="4"/>
  <c r="AA275" i="4"/>
  <c r="Y278" i="4"/>
  <c r="AA278" i="4"/>
  <c r="Y281" i="4"/>
  <c r="AA281" i="4"/>
  <c r="Y287" i="4"/>
  <c r="AA287" i="4"/>
  <c r="Z288" i="4"/>
  <c r="X292" i="4"/>
  <c r="X293" i="4"/>
  <c r="Y296" i="4"/>
  <c r="AA296" i="4"/>
  <c r="Z298" i="4"/>
  <c r="Y299" i="4"/>
  <c r="AA299" i="4"/>
  <c r="Z303" i="4"/>
  <c r="X304" i="4"/>
  <c r="Y305" i="4"/>
  <c r="AA305" i="4"/>
  <c r="Y306" i="4"/>
  <c r="AA306" i="4"/>
  <c r="Y307" i="4"/>
  <c r="AA307" i="4"/>
  <c r="Y309" i="4"/>
  <c r="AA309" i="4"/>
  <c r="Y310" i="4"/>
  <c r="AA310" i="4"/>
  <c r="X317" i="4"/>
  <c r="X321" i="4"/>
  <c r="Z321" i="4"/>
  <c r="X323" i="4"/>
  <c r="Y324" i="4"/>
  <c r="AA324" i="4"/>
  <c r="X328" i="4"/>
  <c r="Y329" i="4"/>
  <c r="AA329" i="4"/>
  <c r="X331" i="4"/>
  <c r="X332" i="4"/>
  <c r="Y332" i="4"/>
  <c r="AA332" i="4"/>
  <c r="X334" i="4"/>
  <c r="X336" i="4"/>
  <c r="Z337" i="4"/>
  <c r="Y344" i="4"/>
  <c r="AA344" i="4"/>
  <c r="Z347" i="4"/>
  <c r="X350" i="4"/>
  <c r="Z350" i="4"/>
  <c r="Y351" i="4"/>
  <c r="AA351" i="4"/>
  <c r="Z353" i="4"/>
  <c r="Z246" i="4"/>
  <c r="Z251" i="4"/>
  <c r="Z274" i="4"/>
  <c r="Z276" i="4"/>
  <c r="X287" i="4"/>
  <c r="Z313" i="4"/>
  <c r="Z314" i="4"/>
  <c r="X325" i="4"/>
  <c r="Y339" i="4"/>
  <c r="AA339" i="4"/>
  <c r="X342" i="4"/>
  <c r="X345" i="4"/>
  <c r="Z349" i="4"/>
  <c r="X351" i="4"/>
  <c r="X355" i="4"/>
  <c r="X358" i="4"/>
  <c r="Y360" i="4"/>
  <c r="AA360" i="4"/>
  <c r="Z360" i="4"/>
  <c r="Y361" i="4"/>
  <c r="AA361" i="4"/>
  <c r="Y364" i="4"/>
  <c r="AA364" i="4"/>
  <c r="X367" i="4"/>
  <c r="Z370" i="4"/>
  <c r="X372" i="4"/>
  <c r="Z376" i="4"/>
  <c r="Y380" i="4"/>
  <c r="AA380" i="4"/>
  <c r="X382" i="4"/>
  <c r="Y382" i="4"/>
  <c r="AA382" i="4"/>
  <c r="Y384" i="4"/>
  <c r="AA384" i="4"/>
  <c r="X385" i="4"/>
  <c r="Y389" i="4"/>
  <c r="AA389" i="4"/>
  <c r="Z390" i="4"/>
  <c r="Z393" i="4"/>
  <c r="Y394" i="4"/>
  <c r="AA394" i="4"/>
  <c r="Y398" i="4"/>
  <c r="AA398" i="4"/>
  <c r="Y400" i="4"/>
  <c r="AA400" i="4"/>
  <c r="X407" i="4"/>
  <c r="Y407" i="4"/>
  <c r="AA407" i="4"/>
  <c r="Y409" i="4"/>
  <c r="AA409" i="4"/>
  <c r="Y411" i="4"/>
  <c r="AA411" i="4"/>
  <c r="Z225" i="4"/>
  <c r="Z227" i="4"/>
  <c r="Y232" i="4"/>
  <c r="AA232" i="4"/>
  <c r="Z235" i="4"/>
  <c r="Y237" i="4"/>
  <c r="AA237" i="4"/>
  <c r="Y240" i="4"/>
  <c r="AA240" i="4"/>
  <c r="Z243" i="4"/>
  <c r="Y248" i="4"/>
  <c r="AA248" i="4"/>
  <c r="X266" i="4"/>
  <c r="Z268" i="4"/>
  <c r="Y269" i="4"/>
  <c r="AA269" i="4"/>
  <c r="Y274" i="4"/>
  <c r="AA274" i="4"/>
  <c r="X289" i="4"/>
  <c r="Y300" i="4"/>
  <c r="AA300" i="4"/>
  <c r="Z301" i="4"/>
  <c r="Z304" i="4"/>
  <c r="X306" i="4"/>
  <c r="X308" i="4"/>
  <c r="Y312" i="4"/>
  <c r="AA312" i="4"/>
  <c r="Z316" i="4"/>
  <c r="X319" i="4"/>
  <c r="Z323" i="4"/>
  <c r="Z329" i="4"/>
  <c r="Y330" i="4"/>
  <c r="AA330" i="4"/>
  <c r="X333" i="4"/>
  <c r="Y335" i="4"/>
  <c r="AA335" i="4"/>
  <c r="X340" i="4"/>
  <c r="Z343" i="4"/>
  <c r="X347" i="4"/>
  <c r="Y347" i="4"/>
  <c r="AA347" i="4"/>
  <c r="X352" i="4"/>
  <c r="X353" i="4"/>
  <c r="Y354" i="4"/>
  <c r="AA354" i="4"/>
  <c r="X357" i="4"/>
  <c r="Z361" i="4"/>
  <c r="Y363" i="4"/>
  <c r="AA363" i="4"/>
  <c r="X366" i="4"/>
  <c r="Y371" i="4"/>
  <c r="AA371" i="4"/>
  <c r="X373" i="4"/>
  <c r="X376" i="4"/>
  <c r="X378" i="4"/>
  <c r="Z378" i="4"/>
  <c r="Z380" i="4"/>
  <c r="Y381" i="4"/>
  <c r="AA381" i="4"/>
  <c r="Z383" i="4"/>
  <c r="X383" i="4"/>
  <c r="Z387" i="4"/>
  <c r="Z389" i="4"/>
  <c r="Y392" i="4"/>
  <c r="AA392" i="4"/>
  <c r="Y395" i="4"/>
  <c r="AA395" i="4"/>
  <c r="X396" i="4"/>
  <c r="Y399" i="4"/>
  <c r="AA399" i="4"/>
  <c r="X401" i="4"/>
  <c r="Z402" i="4"/>
  <c r="X405" i="4"/>
  <c r="Z407" i="4"/>
  <c r="Z408" i="4"/>
  <c r="Z410" i="4"/>
  <c r="Z226" i="4"/>
  <c r="Y227" i="4"/>
  <c r="AA227" i="4"/>
  <c r="Z230" i="4"/>
  <c r="Z242" i="4"/>
  <c r="Y246" i="4"/>
  <c r="AA246" i="4"/>
  <c r="Z266" i="4"/>
  <c r="Z270" i="4"/>
  <c r="Y276" i="4"/>
  <c r="AA276" i="4"/>
  <c r="Z283" i="4"/>
  <c r="Z286" i="4"/>
  <c r="X297" i="4"/>
  <c r="X298" i="4"/>
  <c r="X299" i="4"/>
  <c r="Y304" i="4"/>
  <c r="AA304" i="4"/>
  <c r="X311" i="4"/>
  <c r="X312" i="4"/>
  <c r="X318" i="4"/>
  <c r="Y328" i="4"/>
  <c r="AA328" i="4"/>
  <c r="Y338" i="4"/>
  <c r="AA338" i="4"/>
  <c r="X343" i="4"/>
  <c r="Z346" i="4"/>
  <c r="Y348" i="4"/>
  <c r="AA348" i="4"/>
  <c r="Z352" i="4"/>
  <c r="Z354" i="4"/>
  <c r="Z357" i="4"/>
  <c r="Y362" i="4"/>
  <c r="AA362" i="4"/>
  <c r="Z364" i="4"/>
  <c r="Z366" i="4"/>
  <c r="Z367" i="4"/>
  <c r="X369" i="4"/>
  <c r="Z369" i="4"/>
  <c r="Z371" i="4"/>
  <c r="Y372" i="4"/>
  <c r="AA372" i="4"/>
  <c r="X374" i="4"/>
  <c r="Y375" i="4"/>
  <c r="AA375" i="4"/>
  <c r="Z377" i="4"/>
  <c r="Z381" i="4"/>
  <c r="Y383" i="4"/>
  <c r="AA383" i="4"/>
  <c r="Z384" i="4"/>
  <c r="X386" i="4"/>
  <c r="X392" i="4"/>
  <c r="X395" i="4"/>
  <c r="Y396" i="4"/>
  <c r="AA396" i="4"/>
  <c r="Y401" i="4"/>
  <c r="AA401" i="4"/>
  <c r="X404" i="4"/>
  <c r="X226" i="4"/>
  <c r="Z231" i="4"/>
  <c r="X245" i="4"/>
  <c r="Y258" i="4"/>
  <c r="AA258" i="4"/>
  <c r="Y259" i="4"/>
  <c r="AA259" i="4"/>
  <c r="Y263" i="4"/>
  <c r="AA263" i="4"/>
  <c r="X275" i="4"/>
  <c r="X276" i="4"/>
  <c r="Z290" i="4"/>
  <c r="Y292" i="4"/>
  <c r="AA292" i="4"/>
  <c r="X301" i="4"/>
  <c r="X302" i="4"/>
  <c r="X324" i="4"/>
  <c r="Z326" i="4"/>
  <c r="X330" i="4"/>
  <c r="Z336" i="4"/>
  <c r="X341" i="4"/>
  <c r="Z341" i="4"/>
  <c r="X344" i="4"/>
  <c r="X349" i="4"/>
  <c r="X356" i="4"/>
  <c r="Z358" i="4"/>
  <c r="Z359" i="4"/>
  <c r="X361" i="4"/>
  <c r="Z363" i="4"/>
  <c r="X370" i="4"/>
  <c r="Y373" i="4"/>
  <c r="AA373" i="4"/>
  <c r="Y374" i="4"/>
  <c r="AA374" i="4"/>
  <c r="Z375" i="4"/>
  <c r="X379" i="4"/>
  <c r="Z379" i="4"/>
  <c r="X388" i="4"/>
  <c r="X391" i="4"/>
  <c r="Y393" i="4"/>
  <c r="AA393" i="4"/>
  <c r="Y397" i="4"/>
  <c r="AA397" i="4"/>
  <c r="X400" i="4"/>
  <c r="Z400" i="4"/>
  <c r="X403" i="4"/>
  <c r="Y403" i="4"/>
  <c r="AA403" i="4"/>
  <c r="Z404" i="4"/>
  <c r="Y405" i="4"/>
  <c r="AA405" i="4"/>
  <c r="X409" i="4"/>
  <c r="Z409" i="4"/>
  <c r="X411" i="4"/>
  <c r="Z261" i="4"/>
  <c r="X285" i="4"/>
  <c r="Z307" i="4"/>
  <c r="Y308" i="4"/>
  <c r="AA308" i="4"/>
  <c r="X310" i="4"/>
  <c r="Y313" i="4"/>
  <c r="AA313" i="4"/>
  <c r="X315" i="4"/>
  <c r="Y319" i="4"/>
  <c r="AA319" i="4"/>
  <c r="X322" i="4"/>
  <c r="Z324" i="4"/>
  <c r="Y345" i="4"/>
  <c r="AA345" i="4"/>
  <c r="X354" i="4"/>
  <c r="X359" i="4"/>
  <c r="Z368" i="4"/>
  <c r="Y385" i="4"/>
  <c r="AA385" i="4"/>
  <c r="Z388" i="4"/>
  <c r="X399" i="4"/>
  <c r="Y408" i="4"/>
  <c r="AA408" i="4"/>
  <c r="Y410" i="4"/>
  <c r="AA410" i="4"/>
  <c r="Y416" i="4"/>
  <c r="AA416" i="4"/>
  <c r="X417" i="4"/>
  <c r="X421" i="4"/>
  <c r="Z425" i="4"/>
  <c r="Y434" i="4"/>
  <c r="AA434" i="4"/>
  <c r="Z436" i="4"/>
  <c r="X438" i="4"/>
  <c r="Z442" i="4"/>
  <c r="X443" i="4"/>
  <c r="Y231" i="4"/>
  <c r="AA231" i="4"/>
  <c r="X265" i="4"/>
  <c r="Y279" i="4"/>
  <c r="AA279" i="4"/>
  <c r="Y280" i="4"/>
  <c r="AA280" i="4"/>
  <c r="X294" i="4"/>
  <c r="X337" i="4"/>
  <c r="Y358" i="4"/>
  <c r="AA358" i="4"/>
  <c r="X363" i="4"/>
  <c r="Z385" i="4"/>
  <c r="Y390" i="4"/>
  <c r="AA390" i="4"/>
  <c r="Z392" i="4"/>
  <c r="Z406" i="4"/>
  <c r="X408" i="4"/>
  <c r="X410" i="4"/>
  <c r="Y417" i="4"/>
  <c r="AA417" i="4"/>
  <c r="Y418" i="4"/>
  <c r="AA418" i="4"/>
  <c r="Y420" i="4"/>
  <c r="AA420" i="4"/>
  <c r="X423" i="4"/>
  <c r="Z423" i="4"/>
  <c r="X428" i="4"/>
  <c r="Y428" i="4"/>
  <c r="AA428" i="4"/>
  <c r="X432" i="4"/>
  <c r="Z434" i="4"/>
  <c r="X436" i="4"/>
  <c r="Y441" i="4"/>
  <c r="AA441" i="4"/>
  <c r="Y443" i="4"/>
  <c r="AA443" i="4"/>
  <c r="Z445" i="4"/>
  <c r="Z248" i="4"/>
  <c r="X249" i="4"/>
  <c r="Z250" i="4"/>
  <c r="Z262" i="4"/>
  <c r="Z264" i="4"/>
  <c r="Y349" i="4"/>
  <c r="AA349" i="4"/>
  <c r="Y370" i="4"/>
  <c r="AA370" i="4"/>
  <c r="Y386" i="4"/>
  <c r="AA386" i="4"/>
  <c r="Z396" i="4"/>
  <c r="Z397" i="4"/>
  <c r="Y412" i="4"/>
  <c r="AA412" i="4"/>
  <c r="Z413" i="4"/>
  <c r="Z417" i="4"/>
  <c r="X418" i="4"/>
  <c r="X420" i="4"/>
  <c r="Z421" i="4"/>
  <c r="Z428" i="4"/>
  <c r="Y429" i="4"/>
  <c r="AA429" i="4"/>
  <c r="X430" i="4"/>
  <c r="X433" i="4"/>
  <c r="Z435" i="4"/>
  <c r="X437" i="4"/>
  <c r="Y440" i="4"/>
  <c r="AA440" i="4"/>
  <c r="Z441" i="4"/>
  <c r="Z443" i="4"/>
  <c r="Y446" i="4"/>
  <c r="AA446" i="4"/>
  <c r="Y449" i="4"/>
  <c r="AA449" i="4"/>
  <c r="Y239" i="4"/>
  <c r="AA239" i="4"/>
  <c r="Y243" i="4"/>
  <c r="AA243" i="4"/>
  <c r="Y245" i="4"/>
  <c r="AA245" i="4"/>
  <c r="Z247" i="4"/>
  <c r="X261" i="4"/>
  <c r="Y273" i="4"/>
  <c r="AA273" i="4"/>
  <c r="Y282" i="4"/>
  <c r="AA282" i="4"/>
  <c r="X291" i="4"/>
  <c r="Y316" i="4"/>
  <c r="AA316" i="4"/>
  <c r="Y317" i="4"/>
  <c r="AA317" i="4"/>
  <c r="X360" i="4"/>
  <c r="Y379" i="4"/>
  <c r="AA379" i="4"/>
  <c r="Z391" i="4"/>
  <c r="Z394" i="4"/>
  <c r="X412" i="4"/>
  <c r="Y413" i="4"/>
  <c r="AA413" i="4"/>
  <c r="Z414" i="4"/>
  <c r="Y415" i="4"/>
  <c r="AA415" i="4"/>
  <c r="Z418" i="4"/>
  <c r="Z420" i="4"/>
  <c r="Z424" i="4"/>
  <c r="X426" i="4"/>
  <c r="Z429" i="4"/>
  <c r="Y430" i="4"/>
  <c r="AA430" i="4"/>
  <c r="Y433" i="4"/>
  <c r="AA433" i="4"/>
  <c r="Z437" i="4"/>
  <c r="Y437" i="4"/>
  <c r="AA437" i="4"/>
  <c r="Y438" i="4"/>
  <c r="AA438" i="4"/>
  <c r="X440" i="4"/>
  <c r="X446" i="4"/>
  <c r="X448" i="4"/>
  <c r="Y230" i="4"/>
  <c r="AA230" i="4"/>
  <c r="Z238" i="4"/>
  <c r="Y241" i="4"/>
  <c r="AA241" i="4"/>
  <c r="X260" i="4"/>
  <c r="Y271" i="4"/>
  <c r="AA271" i="4"/>
  <c r="X272" i="4"/>
  <c r="X279" i="4"/>
  <c r="X280" i="4"/>
  <c r="X281" i="4"/>
  <c r="Z281" i="4"/>
  <c r="Z299" i="4"/>
  <c r="Y326" i="4"/>
  <c r="AA326" i="4"/>
  <c r="Z356" i="4"/>
  <c r="X365" i="4"/>
  <c r="Z372" i="4"/>
  <c r="Z374" i="4"/>
  <c r="Y376" i="4"/>
  <c r="AA376" i="4"/>
  <c r="Y377" i="4"/>
  <c r="AA377" i="4"/>
  <c r="Y378" i="4"/>
  <c r="AA378" i="4"/>
  <c r="Z382" i="4"/>
  <c r="Y388" i="4"/>
  <c r="AA388" i="4"/>
  <c r="X393" i="4"/>
  <c r="X394" i="4"/>
  <c r="Z398" i="4"/>
  <c r="Z403" i="4"/>
  <c r="Z405" i="4"/>
  <c r="Z411" i="4"/>
  <c r="Y414" i="4"/>
  <c r="AA414" i="4"/>
  <c r="Y419" i="4"/>
  <c r="AA419" i="4"/>
  <c r="X424" i="4"/>
  <c r="Y425" i="4"/>
  <c r="AA425" i="4"/>
  <c r="Z430" i="4"/>
  <c r="Z438" i="4"/>
  <c r="Z440" i="4"/>
  <c r="X445" i="4"/>
  <c r="Z446" i="4"/>
  <c r="X449" i="4"/>
  <c r="Y450" i="4"/>
  <c r="AA450" i="4"/>
  <c r="X454" i="4"/>
  <c r="X457" i="4"/>
  <c r="Z459" i="4"/>
  <c r="Z463" i="4"/>
  <c r="Y464" i="4"/>
  <c r="AA464" i="4"/>
  <c r="Y468" i="4"/>
  <c r="AA468" i="4"/>
  <c r="Z473" i="4"/>
  <c r="Y479" i="4"/>
  <c r="AA479" i="4"/>
  <c r="X481" i="4"/>
  <c r="Y481" i="4"/>
  <c r="AA481" i="4"/>
  <c r="Z488" i="4"/>
  <c r="Y490" i="4"/>
  <c r="AA490" i="4"/>
  <c r="X492" i="4"/>
  <c r="X495" i="4"/>
  <c r="Y496" i="4"/>
  <c r="AA496" i="4"/>
  <c r="Z499" i="4"/>
  <c r="Y500" i="4"/>
  <c r="AA500" i="4"/>
  <c r="Z502" i="4"/>
  <c r="Y505" i="4"/>
  <c r="AA505" i="4"/>
  <c r="Y507" i="4"/>
  <c r="AA507" i="4"/>
  <c r="X509" i="4"/>
  <c r="Z511" i="4"/>
  <c r="Y512" i="4"/>
  <c r="AA512" i="4"/>
  <c r="X514" i="4"/>
  <c r="X515" i="4"/>
  <c r="Z517" i="4"/>
  <c r="Y518" i="4"/>
  <c r="AA518" i="4"/>
  <c r="Y527" i="4"/>
  <c r="AA527" i="4"/>
  <c r="Y529" i="4"/>
  <c r="AA529" i="4"/>
  <c r="Z530" i="4"/>
  <c r="X532" i="4"/>
  <c r="Y541" i="4"/>
  <c r="AA541" i="4"/>
  <c r="X240" i="4"/>
  <c r="X259" i="4"/>
  <c r="Y297" i="4"/>
  <c r="AA297" i="4"/>
  <c r="Y314" i="4"/>
  <c r="AA314" i="4"/>
  <c r="Z325" i="4"/>
  <c r="Z328" i="4"/>
  <c r="Y342" i="4"/>
  <c r="AA342" i="4"/>
  <c r="Y346" i="4"/>
  <c r="AA346" i="4"/>
  <c r="Z348" i="4"/>
  <c r="Y353" i="4"/>
  <c r="AA353" i="4"/>
  <c r="Y356" i="4"/>
  <c r="AA356" i="4"/>
  <c r="X364" i="4"/>
  <c r="Y365" i="4"/>
  <c r="AA365" i="4"/>
  <c r="Y367" i="4"/>
  <c r="AA367" i="4"/>
  <c r="Y368" i="4"/>
  <c r="AA368" i="4"/>
  <c r="X371" i="4"/>
  <c r="X381" i="4"/>
  <c r="X384" i="4"/>
  <c r="X387" i="4"/>
  <c r="Y387" i="4"/>
  <c r="AA387" i="4"/>
  <c r="X397" i="4"/>
  <c r="X398" i="4"/>
  <c r="X402" i="4"/>
  <c r="Y402" i="4"/>
  <c r="AA402" i="4"/>
  <c r="Y406" i="4"/>
  <c r="AA406" i="4"/>
  <c r="X422" i="4"/>
  <c r="Y422" i="4"/>
  <c r="AA422" i="4"/>
  <c r="X427" i="4"/>
  <c r="Y427" i="4"/>
  <c r="AA427" i="4"/>
  <c r="X429" i="4"/>
  <c r="Y431" i="4"/>
  <c r="AA431" i="4"/>
  <c r="Z444" i="4"/>
  <c r="Y445" i="4"/>
  <c r="AA445" i="4"/>
  <c r="Z233" i="4"/>
  <c r="Y234" i="4"/>
  <c r="AA234" i="4"/>
  <c r="Y235" i="4"/>
  <c r="AA235" i="4"/>
  <c r="Y257" i="4"/>
  <c r="AA257" i="4"/>
  <c r="Z294" i="4"/>
  <c r="Y295" i="4"/>
  <c r="AA295" i="4"/>
  <c r="Y322" i="4"/>
  <c r="AA322" i="4"/>
  <c r="Y340" i="4"/>
  <c r="AA340" i="4"/>
  <c r="Z342" i="4"/>
  <c r="Z351" i="4"/>
  <c r="Y355" i="4"/>
  <c r="AA355" i="4"/>
  <c r="Y357" i="4"/>
  <c r="AA357" i="4"/>
  <c r="X362" i="4"/>
  <c r="Z362" i="4"/>
  <c r="Z365" i="4"/>
  <c r="Y366" i="4"/>
  <c r="AA366" i="4"/>
  <c r="X368" i="4"/>
  <c r="X380" i="4"/>
  <c r="Z386" i="4"/>
  <c r="Z395" i="4"/>
  <c r="Z401" i="4"/>
  <c r="X413" i="4"/>
  <c r="X414" i="4"/>
  <c r="X416" i="4"/>
  <c r="X419" i="4"/>
  <c r="Y421" i="4"/>
  <c r="AA421" i="4"/>
  <c r="Z422" i="4"/>
  <c r="Y423" i="4"/>
  <c r="AA423" i="4"/>
  <c r="X425" i="4"/>
  <c r="Z426" i="4"/>
  <c r="Z427" i="4"/>
  <c r="Z431" i="4"/>
  <c r="Y432" i="4"/>
  <c r="AA432" i="4"/>
  <c r="Z433" i="4"/>
  <c r="X435" i="4"/>
  <c r="Y435" i="4"/>
  <c r="AA435" i="4"/>
  <c r="Y439" i="4"/>
  <c r="AA439" i="4"/>
  <c r="Y442" i="4"/>
  <c r="AA442" i="4"/>
  <c r="Y447" i="4"/>
  <c r="AA447" i="4"/>
  <c r="Y252" i="4"/>
  <c r="AA252" i="4"/>
  <c r="Y265" i="4"/>
  <c r="AA265" i="4"/>
  <c r="Y266" i="4"/>
  <c r="AA266" i="4"/>
  <c r="X268" i="4"/>
  <c r="X288" i="4"/>
  <c r="Z292" i="4"/>
  <c r="Y323" i="4"/>
  <c r="AA323" i="4"/>
  <c r="X327" i="4"/>
  <c r="Y333" i="4"/>
  <c r="AA333" i="4"/>
  <c r="Y334" i="4"/>
  <c r="AA334" i="4"/>
  <c r="Z338" i="4"/>
  <c r="Z340" i="4"/>
  <c r="Z344" i="4"/>
  <c r="Z345" i="4"/>
  <c r="Z355" i="4"/>
  <c r="Y359" i="4"/>
  <c r="AA359" i="4"/>
  <c r="Y369" i="4"/>
  <c r="AA369" i="4"/>
  <c r="Z373" i="4"/>
  <c r="X375" i="4"/>
  <c r="X377" i="4"/>
  <c r="X389" i="4"/>
  <c r="X390" i="4"/>
  <c r="Y391" i="4"/>
  <c r="AA391" i="4"/>
  <c r="Z399" i="4"/>
  <c r="Y404" i="4"/>
  <c r="AA404" i="4"/>
  <c r="X406" i="4"/>
  <c r="Z412" i="4"/>
  <c r="X415" i="4"/>
  <c r="Z415" i="4"/>
  <c r="Z416" i="4"/>
  <c r="Z419" i="4"/>
  <c r="Y424" i="4"/>
  <c r="AA424" i="4"/>
  <c r="Y426" i="4"/>
  <c r="AA426" i="4"/>
  <c r="X431" i="4"/>
  <c r="Z432" i="4"/>
  <c r="X434" i="4"/>
  <c r="Y436" i="4"/>
  <c r="AA436" i="4"/>
  <c r="Z439" i="4"/>
  <c r="X439" i="4"/>
  <c r="X441" i="4"/>
  <c r="X442" i="4"/>
  <c r="X444" i="4"/>
  <c r="Y444" i="4"/>
  <c r="AA444" i="4"/>
  <c r="X447" i="4"/>
  <c r="X450" i="4"/>
  <c r="X452" i="4"/>
  <c r="Z454" i="4"/>
  <c r="Y455" i="4"/>
  <c r="AA455" i="4"/>
  <c r="X460" i="4"/>
  <c r="Y465" i="4"/>
  <c r="AA465" i="4"/>
  <c r="Z468" i="4"/>
  <c r="X471" i="4"/>
  <c r="Z472" i="4"/>
  <c r="Z475" i="4"/>
  <c r="X476" i="4"/>
  <c r="X478" i="4"/>
  <c r="Y478" i="4"/>
  <c r="AA478" i="4"/>
  <c r="X480" i="4"/>
  <c r="Y482" i="4"/>
  <c r="AA482" i="4"/>
  <c r="X483" i="4"/>
  <c r="X485" i="4"/>
  <c r="X489" i="4"/>
  <c r="Y489" i="4"/>
  <c r="AA489" i="4"/>
  <c r="Y491" i="4"/>
  <c r="AA491" i="4"/>
  <c r="Y492" i="4"/>
  <c r="AA492" i="4"/>
  <c r="X494" i="4"/>
  <c r="Z498" i="4"/>
  <c r="Z503" i="4"/>
  <c r="Z505" i="4"/>
  <c r="X508" i="4"/>
  <c r="Y508" i="4"/>
  <c r="AA508" i="4"/>
  <c r="Z509" i="4"/>
  <c r="X513" i="4"/>
  <c r="Z513" i="4"/>
  <c r="Y516" i="4"/>
  <c r="AA516" i="4"/>
  <c r="X518" i="4"/>
  <c r="Y519" i="4"/>
  <c r="AA519" i="4"/>
  <c r="Z528" i="4"/>
  <c r="Y530" i="4"/>
  <c r="AA530" i="4"/>
  <c r="Y534" i="4"/>
  <c r="AA534" i="4"/>
  <c r="X543" i="4"/>
  <c r="Y544" i="4"/>
  <c r="AA544" i="4"/>
  <c r="Y448" i="4"/>
  <c r="AA448" i="4"/>
  <c r="Y452" i="4"/>
  <c r="AA452" i="4"/>
  <c r="X458" i="4"/>
  <c r="Y458" i="4"/>
  <c r="AA458" i="4"/>
  <c r="X464" i="4"/>
  <c r="Y467" i="4"/>
  <c r="AA467" i="4"/>
  <c r="X472" i="4"/>
  <c r="X475" i="4"/>
  <c r="Y476" i="4"/>
  <c r="AA476" i="4"/>
  <c r="X486" i="4"/>
  <c r="Y486" i="4"/>
  <c r="AA486" i="4"/>
  <c r="X490" i="4"/>
  <c r="X493" i="4"/>
  <c r="Z495" i="4"/>
  <c r="X498" i="4"/>
  <c r="Y498" i="4"/>
  <c r="AA498" i="4"/>
  <c r="Y504" i="4"/>
  <c r="AA504" i="4"/>
  <c r="Y506" i="4"/>
  <c r="AA506" i="4"/>
  <c r="X511" i="4"/>
  <c r="X512" i="4"/>
  <c r="Y513" i="4"/>
  <c r="AA513" i="4"/>
  <c r="Z520" i="4"/>
  <c r="Y521" i="4"/>
  <c r="AA521" i="4"/>
  <c r="Z529" i="4"/>
  <c r="Z532" i="4"/>
  <c r="Y533" i="4"/>
  <c r="AA533" i="4"/>
  <c r="Z536" i="4"/>
  <c r="X539" i="4"/>
  <c r="X544" i="4"/>
  <c r="Y549" i="4"/>
  <c r="AA549" i="4"/>
  <c r="X558" i="4"/>
  <c r="Y560" i="4"/>
  <c r="AA560" i="4"/>
  <c r="X562" i="4"/>
  <c r="Z562" i="4"/>
  <c r="Z447" i="4"/>
  <c r="Z452" i="4"/>
  <c r="Y454" i="4"/>
  <c r="AA454" i="4"/>
  <c r="Y457" i="4"/>
  <c r="AA457" i="4"/>
  <c r="Z458" i="4"/>
  <c r="X459" i="4"/>
  <c r="Z464" i="4"/>
  <c r="X467" i="4"/>
  <c r="Z474" i="4"/>
  <c r="Z478" i="4"/>
  <c r="X482" i="4"/>
  <c r="Y485" i="4"/>
  <c r="AA485" i="4"/>
  <c r="Z489" i="4"/>
  <c r="Z492" i="4"/>
  <c r="Z496" i="4"/>
  <c r="X503" i="4"/>
  <c r="Z506" i="4"/>
  <c r="Z507" i="4"/>
  <c r="Y510" i="4"/>
  <c r="AA510" i="4"/>
  <c r="Z512" i="4"/>
  <c r="X517" i="4"/>
  <c r="X520" i="4"/>
  <c r="X526" i="4"/>
  <c r="Z527" i="4"/>
  <c r="Z531" i="4"/>
  <c r="X536" i="4"/>
  <c r="Z538" i="4"/>
  <c r="X542" i="4"/>
  <c r="Z543" i="4"/>
  <c r="Z544" i="4"/>
  <c r="Y546" i="4"/>
  <c r="AA546" i="4"/>
  <c r="Y547" i="4"/>
  <c r="AA547" i="4"/>
  <c r="X552" i="4"/>
  <c r="Y552" i="4"/>
  <c r="AA552" i="4"/>
  <c r="X555" i="4"/>
  <c r="Y555" i="4"/>
  <c r="AA555" i="4"/>
  <c r="Y558" i="4"/>
  <c r="AA558" i="4"/>
  <c r="Z561" i="4"/>
  <c r="Z450" i="4"/>
  <c r="X456" i="4"/>
  <c r="Y459" i="4"/>
  <c r="AA459" i="4"/>
  <c r="Y461" i="4"/>
  <c r="AA461" i="4"/>
  <c r="Z462" i="4"/>
  <c r="Y469" i="4"/>
  <c r="AA469" i="4"/>
  <c r="Y477" i="4"/>
  <c r="AA477" i="4"/>
  <c r="Z479" i="4"/>
  <c r="Z481" i="4"/>
  <c r="Z482" i="4"/>
  <c r="Y483" i="4"/>
  <c r="AA483" i="4"/>
  <c r="Z485" i="4"/>
  <c r="Y487" i="4"/>
  <c r="AA487" i="4"/>
  <c r="Z490" i="4"/>
  <c r="Y494" i="4"/>
  <c r="AA494" i="4"/>
  <c r="X504" i="4"/>
  <c r="Z515" i="4"/>
  <c r="X516" i="4"/>
  <c r="Z519" i="4"/>
  <c r="Z521" i="4"/>
  <c r="Z524" i="4"/>
  <c r="Y525" i="4"/>
  <c r="AA525" i="4"/>
  <c r="Z526" i="4"/>
  <c r="X529" i="4"/>
  <c r="Y531" i="4"/>
  <c r="AA531" i="4"/>
  <c r="Y537" i="4"/>
  <c r="AA537" i="4"/>
  <c r="Y539" i="4"/>
  <c r="AA539" i="4"/>
  <c r="Z542" i="4"/>
  <c r="Z547" i="4"/>
  <c r="Z548" i="4"/>
  <c r="Z550" i="4"/>
  <c r="Z551" i="4"/>
  <c r="Y553" i="4"/>
  <c r="AA553" i="4"/>
  <c r="Z554" i="4"/>
  <c r="Z558" i="4"/>
  <c r="X560" i="4"/>
  <c r="X561" i="4"/>
  <c r="Z449" i="4"/>
  <c r="Z451" i="4"/>
  <c r="Z453" i="4"/>
  <c r="X455" i="4"/>
  <c r="Y456" i="4"/>
  <c r="AA456" i="4"/>
  <c r="X461" i="4"/>
  <c r="Y463" i="4"/>
  <c r="AA463" i="4"/>
  <c r="X466" i="4"/>
  <c r="X468" i="4"/>
  <c r="X469" i="4"/>
  <c r="X473" i="4"/>
  <c r="Y474" i="4"/>
  <c r="AA474" i="4"/>
  <c r="X477" i="4"/>
  <c r="Y480" i="4"/>
  <c r="AA480" i="4"/>
  <c r="X484" i="4"/>
  <c r="X487" i="4"/>
  <c r="Z487" i="4"/>
  <c r="X496" i="4"/>
  <c r="X499" i="4"/>
  <c r="X500" i="4"/>
  <c r="X505" i="4"/>
  <c r="Z508" i="4"/>
  <c r="Z514" i="4"/>
  <c r="Y514" i="4"/>
  <c r="AA514" i="4"/>
  <c r="Y515" i="4"/>
  <c r="AA515" i="4"/>
  <c r="Z516" i="4"/>
  <c r="X521" i="4"/>
  <c r="Y532" i="4"/>
  <c r="AA532" i="4"/>
  <c r="X533" i="4"/>
  <c r="Y536" i="4"/>
  <c r="AA536" i="4"/>
  <c r="Z539" i="4"/>
  <c r="Y542" i="4"/>
  <c r="AA542" i="4"/>
  <c r="X546" i="4"/>
  <c r="X550" i="4"/>
  <c r="X553" i="4"/>
  <c r="Z556" i="4"/>
  <c r="X557" i="4"/>
  <c r="Y559" i="4"/>
  <c r="AA559" i="4"/>
  <c r="Z448" i="4"/>
  <c r="Z455" i="4"/>
  <c r="Y460" i="4"/>
  <c r="AA460" i="4"/>
  <c r="Z465" i="4"/>
  <c r="Z469" i="4"/>
  <c r="Y470" i="4"/>
  <c r="AA470" i="4"/>
  <c r="Y471" i="4"/>
  <c r="AA471" i="4"/>
  <c r="Z476" i="4"/>
  <c r="X479" i="4"/>
  <c r="Z480" i="4"/>
  <c r="Y484" i="4"/>
  <c r="AA484" i="4"/>
  <c r="Z486" i="4"/>
  <c r="Z493" i="4"/>
  <c r="X497" i="4"/>
  <c r="Z497" i="4"/>
  <c r="Y499" i="4"/>
  <c r="AA499" i="4"/>
  <c r="Z504" i="4"/>
  <c r="X507" i="4"/>
  <c r="Y509" i="4"/>
  <c r="AA509" i="4"/>
  <c r="Z518" i="4"/>
  <c r="Z522" i="4"/>
  <c r="X530" i="4"/>
  <c r="X535" i="4"/>
  <c r="Z545" i="4"/>
  <c r="Y545" i="4"/>
  <c r="AA545" i="4"/>
  <c r="Z546" i="4"/>
  <c r="Y548" i="4"/>
  <c r="AA548" i="4"/>
  <c r="Z549" i="4"/>
  <c r="Z553" i="4"/>
  <c r="Y556" i="4"/>
  <c r="AA556" i="4"/>
  <c r="Y557" i="4"/>
  <c r="AA557" i="4"/>
  <c r="X559" i="4"/>
  <c r="Y561" i="4"/>
  <c r="AA561" i="4"/>
  <c r="X565" i="4"/>
  <c r="X567" i="4"/>
  <c r="Z569" i="4"/>
  <c r="Y570" i="4"/>
  <c r="AA570" i="4"/>
  <c r="Z571" i="4"/>
  <c r="Y577" i="4"/>
  <c r="AA577" i="4"/>
  <c r="Y578" i="4"/>
  <c r="AA578" i="4"/>
  <c r="X582" i="4"/>
  <c r="Z589" i="4"/>
  <c r="Y597" i="4"/>
  <c r="AA597" i="4"/>
  <c r="Y601" i="4"/>
  <c r="AA601" i="4"/>
  <c r="Z602" i="4"/>
  <c r="X604" i="4"/>
  <c r="Y604" i="4"/>
  <c r="AA604" i="4"/>
  <c r="Y606" i="4"/>
  <c r="AA606" i="4"/>
  <c r="X609" i="4"/>
  <c r="Y609" i="4"/>
  <c r="AA609" i="4"/>
  <c r="Z616" i="4"/>
  <c r="Y626" i="4"/>
  <c r="AA626" i="4"/>
  <c r="X631" i="4"/>
  <c r="Y631" i="4"/>
  <c r="AA631" i="4"/>
  <c r="Z631" i="4"/>
  <c r="Z632" i="4"/>
  <c r="Z634" i="4"/>
  <c r="Z637" i="4"/>
  <c r="X639" i="4"/>
  <c r="Y648" i="4"/>
  <c r="AA648" i="4"/>
  <c r="Z651" i="4"/>
  <c r="Z655" i="4"/>
  <c r="X658" i="4"/>
  <c r="X659" i="4"/>
  <c r="Z659" i="4"/>
  <c r="X451" i="4"/>
  <c r="Z457" i="4"/>
  <c r="Z460" i="4"/>
  <c r="X463" i="4"/>
  <c r="X465" i="4"/>
  <c r="Y466" i="4"/>
  <c r="AA466" i="4"/>
  <c r="Z470" i="4"/>
  <c r="Z471" i="4"/>
  <c r="X474" i="4"/>
  <c r="Y475" i="4"/>
  <c r="AA475" i="4"/>
  <c r="Z477" i="4"/>
  <c r="Z484" i="4"/>
  <c r="X491" i="4"/>
  <c r="Z491" i="4"/>
  <c r="Y497" i="4"/>
  <c r="AA497" i="4"/>
  <c r="Y501" i="4"/>
  <c r="AA501" i="4"/>
  <c r="X502" i="4"/>
  <c r="Z510" i="4"/>
  <c r="Y517" i="4"/>
  <c r="AA517" i="4"/>
  <c r="X522" i="4"/>
  <c r="Y522" i="4"/>
  <c r="AA522" i="4"/>
  <c r="Y523" i="4"/>
  <c r="AA523" i="4"/>
  <c r="X525" i="4"/>
  <c r="Y526" i="4"/>
  <c r="AA526" i="4"/>
  <c r="Z533" i="4"/>
  <c r="Y535" i="4"/>
  <c r="AA535" i="4"/>
  <c r="X538" i="4"/>
  <c r="Y538" i="4"/>
  <c r="AA538" i="4"/>
  <c r="X541" i="4"/>
  <c r="Y543" i="4"/>
  <c r="AA543" i="4"/>
  <c r="X545" i="4"/>
  <c r="X551" i="4"/>
  <c r="Y554" i="4"/>
  <c r="AA554" i="4"/>
  <c r="Z557" i="4"/>
  <c r="Z559" i="4"/>
  <c r="Y563" i="4"/>
  <c r="AA563" i="4"/>
  <c r="Y564" i="4"/>
  <c r="AA564" i="4"/>
  <c r="Y451" i="4"/>
  <c r="AA451" i="4"/>
  <c r="Y453" i="4"/>
  <c r="AA453" i="4"/>
  <c r="Z456" i="4"/>
  <c r="X462" i="4"/>
  <c r="Y462" i="4"/>
  <c r="AA462" i="4"/>
  <c r="Z466" i="4"/>
  <c r="Y473" i="4"/>
  <c r="AA473" i="4"/>
  <c r="Z483" i="4"/>
  <c r="X488" i="4"/>
  <c r="X501" i="4"/>
  <c r="Z501" i="4"/>
  <c r="Y502" i="4"/>
  <c r="AA502" i="4"/>
  <c r="Y511" i="4"/>
  <c r="AA511" i="4"/>
  <c r="X523" i="4"/>
  <c r="Y524" i="4"/>
  <c r="AA524" i="4"/>
  <c r="Z525" i="4"/>
  <c r="X527" i="4"/>
  <c r="X528" i="4"/>
  <c r="X534" i="4"/>
  <c r="Z535" i="4"/>
  <c r="Z537" i="4"/>
  <c r="X540" i="4"/>
  <c r="Y540" i="4"/>
  <c r="AA540" i="4"/>
  <c r="Z541" i="4"/>
  <c r="X548" i="4"/>
  <c r="Y550" i="4"/>
  <c r="AA550" i="4"/>
  <c r="Y551" i="4"/>
  <c r="AA551" i="4"/>
  <c r="X556" i="4"/>
  <c r="X563" i="4"/>
  <c r="X453" i="4"/>
  <c r="Z461" i="4"/>
  <c r="Z467" i="4"/>
  <c r="X470" i="4"/>
  <c r="Y472" i="4"/>
  <c r="AA472" i="4"/>
  <c r="Y488" i="4"/>
  <c r="AA488" i="4"/>
  <c r="Y493" i="4"/>
  <c r="AA493" i="4"/>
  <c r="Z494" i="4"/>
  <c r="Y495" i="4"/>
  <c r="AA495" i="4"/>
  <c r="Z500" i="4"/>
  <c r="Y503" i="4"/>
  <c r="AA503" i="4"/>
  <c r="X506" i="4"/>
  <c r="X510" i="4"/>
  <c r="X519" i="4"/>
  <c r="Y520" i="4"/>
  <c r="AA520" i="4"/>
  <c r="Z523" i="4"/>
  <c r="X524" i="4"/>
  <c r="Y528" i="4"/>
  <c r="AA528" i="4"/>
  <c r="X531" i="4"/>
  <c r="Z534" i="4"/>
  <c r="X537" i="4"/>
  <c r="Z540" i="4"/>
  <c r="X547" i="4"/>
  <c r="X549" i="4"/>
  <c r="Z552" i="4"/>
  <c r="X554" i="4"/>
  <c r="Z555" i="4"/>
  <c r="Z560" i="4"/>
  <c r="Y562" i="4"/>
  <c r="AA562" i="4"/>
  <c r="Z563" i="4"/>
  <c r="Z565" i="4"/>
  <c r="X570" i="4"/>
  <c r="X572" i="4"/>
  <c r="Z572" i="4"/>
  <c r="Z575" i="4"/>
  <c r="X577" i="4"/>
  <c r="X580" i="4"/>
  <c r="Z581" i="4"/>
  <c r="X585" i="4"/>
  <c r="Z592" i="4"/>
  <c r="Z593" i="4"/>
  <c r="Z596" i="4"/>
  <c r="Y598" i="4"/>
  <c r="AA598" i="4"/>
  <c r="X602" i="4"/>
  <c r="X605" i="4"/>
  <c r="Y607" i="4"/>
  <c r="AA607" i="4"/>
  <c r="X608" i="4"/>
  <c r="Y610" i="4"/>
  <c r="AA610" i="4"/>
  <c r="X613" i="4"/>
  <c r="Y614" i="4"/>
  <c r="AA614" i="4"/>
  <c r="X617" i="4"/>
  <c r="Z617" i="4"/>
  <c r="Y619" i="4"/>
  <c r="AA619" i="4"/>
  <c r="Z622" i="4"/>
  <c r="Y624" i="4"/>
  <c r="AA624" i="4"/>
  <c r="X627" i="4"/>
  <c r="X628" i="4"/>
  <c r="Z628" i="4"/>
  <c r="Z629" i="4"/>
  <c r="X633" i="4"/>
  <c r="X636" i="4"/>
  <c r="Y636" i="4"/>
  <c r="AA636" i="4"/>
  <c r="Z640" i="4"/>
  <c r="Y643" i="4"/>
  <c r="AA643" i="4"/>
  <c r="X652" i="4"/>
  <c r="Z654" i="4"/>
  <c r="Y655" i="4"/>
  <c r="AA655" i="4"/>
  <c r="Z656" i="4"/>
  <c r="X660" i="4"/>
  <c r="Z660" i="4"/>
  <c r="Y567" i="4"/>
  <c r="AA567" i="4"/>
  <c r="X571" i="4"/>
  <c r="X573" i="4"/>
  <c r="X586" i="4"/>
  <c r="Z588" i="4"/>
  <c r="Y593" i="4"/>
  <c r="AA593" i="4"/>
  <c r="Y599" i="4"/>
  <c r="AA599" i="4"/>
  <c r="Z612" i="4"/>
  <c r="Z618" i="4"/>
  <c r="X632" i="4"/>
  <c r="Z636" i="4"/>
  <c r="X642" i="4"/>
  <c r="X645" i="4"/>
  <c r="Z649" i="4"/>
  <c r="X656" i="4"/>
  <c r="X564" i="4"/>
  <c r="Y566" i="4"/>
  <c r="AA566" i="4"/>
  <c r="Z567" i="4"/>
  <c r="Y571" i="4"/>
  <c r="AA571" i="4"/>
  <c r="X574" i="4"/>
  <c r="Y574" i="4"/>
  <c r="AA574" i="4"/>
  <c r="X579" i="4"/>
  <c r="Z580" i="4"/>
  <c r="Y585" i="4"/>
  <c r="AA585" i="4"/>
  <c r="Y590" i="4"/>
  <c r="AA590" i="4"/>
  <c r="X593" i="4"/>
  <c r="X594" i="4"/>
  <c r="X596" i="4"/>
  <c r="Z603" i="4"/>
  <c r="X606" i="4"/>
  <c r="X610" i="4"/>
  <c r="Y620" i="4"/>
  <c r="AA620" i="4"/>
  <c r="Y621" i="4"/>
  <c r="AA621" i="4"/>
  <c r="Z623" i="4"/>
  <c r="X629" i="4"/>
  <c r="Y632" i="4"/>
  <c r="AA632" i="4"/>
  <c r="Y633" i="4"/>
  <c r="AA633" i="4"/>
  <c r="Z635" i="4"/>
  <c r="Y637" i="4"/>
  <c r="AA637" i="4"/>
  <c r="Z638" i="4"/>
  <c r="X640" i="4"/>
  <c r="X643" i="4"/>
  <c r="Y644" i="4"/>
  <c r="AA644" i="4"/>
  <c r="Z648" i="4"/>
  <c r="Y652" i="4"/>
  <c r="AA652" i="4"/>
  <c r="Y660" i="4"/>
  <c r="AA660" i="4"/>
  <c r="Z564" i="4"/>
  <c r="Z568" i="4"/>
  <c r="Z573" i="4"/>
  <c r="Z578" i="4"/>
  <c r="Z582" i="4"/>
  <c r="Z585" i="4"/>
  <c r="Z594" i="4"/>
  <c r="Z595" i="4"/>
  <c r="Y596" i="4"/>
  <c r="AA596" i="4"/>
  <c r="Z597" i="4"/>
  <c r="Z600" i="4"/>
  <c r="Y605" i="4"/>
  <c r="AA605" i="4"/>
  <c r="X607" i="4"/>
  <c r="Z610" i="4"/>
  <c r="X615" i="4"/>
  <c r="X620" i="4"/>
  <c r="Z620" i="4"/>
  <c r="X626" i="4"/>
  <c r="Z627" i="4"/>
  <c r="Y629" i="4"/>
  <c r="AA629" i="4"/>
  <c r="X630" i="4"/>
  <c r="Z639" i="4"/>
  <c r="X641" i="4"/>
  <c r="X644" i="4"/>
  <c r="X648" i="4"/>
  <c r="Z652" i="4"/>
  <c r="X657" i="4"/>
  <c r="Z658" i="4"/>
  <c r="Y565" i="4"/>
  <c r="AA565" i="4"/>
  <c r="Y568" i="4"/>
  <c r="AA568" i="4"/>
  <c r="Y582" i="4"/>
  <c r="AA582" i="4"/>
  <c r="Y584" i="4"/>
  <c r="AA584" i="4"/>
  <c r="Y586" i="4"/>
  <c r="AA586" i="4"/>
  <c r="Z587" i="4"/>
  <c r="Y592" i="4"/>
  <c r="AA592" i="4"/>
  <c r="X598" i="4"/>
  <c r="X600" i="4"/>
  <c r="X601" i="4"/>
  <c r="Y602" i="4"/>
  <c r="AA602" i="4"/>
  <c r="Z604" i="4"/>
  <c r="Z605" i="4"/>
  <c r="Z606" i="4"/>
  <c r="Z609" i="4"/>
  <c r="Z611" i="4"/>
  <c r="X614" i="4"/>
  <c r="X619" i="4"/>
  <c r="Z621" i="4"/>
  <c r="Z626" i="4"/>
  <c r="Y630" i="4"/>
  <c r="AA630" i="4"/>
  <c r="Y640" i="4"/>
  <c r="AA640" i="4"/>
  <c r="Z643" i="4"/>
  <c r="Z645" i="4"/>
  <c r="Y647" i="4"/>
  <c r="AA647" i="4"/>
  <c r="Z647" i="4"/>
  <c r="X650" i="4"/>
  <c r="Y650" i="4"/>
  <c r="AA650" i="4"/>
  <c r="X568" i="4"/>
  <c r="Y569" i="4"/>
  <c r="AA569" i="4"/>
  <c r="X575" i="4"/>
  <c r="Y576" i="4"/>
  <c r="AA576" i="4"/>
  <c r="Z577" i="4"/>
  <c r="X584" i="4"/>
  <c r="Z584" i="4"/>
  <c r="Z586" i="4"/>
  <c r="X592" i="4"/>
  <c r="Z598" i="4"/>
  <c r="Z599" i="4"/>
  <c r="Y603" i="4"/>
  <c r="AA603" i="4"/>
  <c r="Y611" i="4"/>
  <c r="AA611" i="4"/>
  <c r="Z614" i="4"/>
  <c r="X616" i="4"/>
  <c r="Z619" i="4"/>
  <c r="X624" i="4"/>
  <c r="Y628" i="4"/>
  <c r="AA628" i="4"/>
  <c r="X634" i="4"/>
  <c r="Y645" i="4"/>
  <c r="AA645" i="4"/>
  <c r="X647" i="4"/>
  <c r="Y653" i="4"/>
  <c r="AA653" i="4"/>
  <c r="X654" i="4"/>
  <c r="Z633" i="4"/>
  <c r="Z641" i="4"/>
  <c r="Z644" i="4"/>
  <c r="Z646" i="4"/>
  <c r="X653" i="4"/>
  <c r="Y654" i="4"/>
  <c r="AA654" i="4"/>
  <c r="Z657" i="4"/>
  <c r="X566" i="4"/>
  <c r="Z566" i="4"/>
  <c r="Z576" i="4"/>
  <c r="X578" i="4"/>
  <c r="Y579" i="4"/>
  <c r="AA579" i="4"/>
  <c r="Y581" i="4"/>
  <c r="AA581" i="4"/>
  <c r="Z583" i="4"/>
  <c r="X588" i="4"/>
  <c r="X589" i="4"/>
  <c r="X591" i="4"/>
  <c r="Z601" i="4"/>
  <c r="X603" i="4"/>
  <c r="Z607" i="4"/>
  <c r="X618" i="4"/>
  <c r="X622" i="4"/>
  <c r="X625" i="4"/>
  <c r="Y638" i="4"/>
  <c r="AA638" i="4"/>
  <c r="Z642" i="4"/>
  <c r="X569" i="4"/>
  <c r="Z570" i="4"/>
  <c r="Y572" i="4"/>
  <c r="AA572" i="4"/>
  <c r="Y573" i="4"/>
  <c r="AA573" i="4"/>
  <c r="Z574" i="4"/>
  <c r="Y575" i="4"/>
  <c r="AA575" i="4"/>
  <c r="X576" i="4"/>
  <c r="Y583" i="4"/>
  <c r="AA583" i="4"/>
  <c r="Y588" i="4"/>
  <c r="AA588" i="4"/>
  <c r="X590" i="4"/>
  <c r="Z591" i="4"/>
  <c r="X597" i="4"/>
  <c r="Y608" i="4"/>
  <c r="AA608" i="4"/>
  <c r="X611" i="4"/>
  <c r="Y612" i="4"/>
  <c r="AA612" i="4"/>
  <c r="Y613" i="4"/>
  <c r="AA613" i="4"/>
  <c r="Z613" i="4"/>
  <c r="Z615" i="4"/>
  <c r="Y616" i="4"/>
  <c r="AA616" i="4"/>
  <c r="Y617" i="4"/>
  <c r="AA617" i="4"/>
  <c r="X621" i="4"/>
  <c r="Z624" i="4"/>
  <c r="Y627" i="4"/>
  <c r="AA627" i="4"/>
  <c r="Y642" i="4"/>
  <c r="AA642" i="4"/>
  <c r="Z608" i="4"/>
  <c r="Y639" i="4"/>
  <c r="AA639" i="4"/>
  <c r="Y657" i="4"/>
  <c r="AA657" i="4"/>
  <c r="Z579" i="4"/>
  <c r="Y580" i="4"/>
  <c r="AA580" i="4"/>
  <c r="X581" i="4"/>
  <c r="X587" i="4"/>
  <c r="Y587" i="4"/>
  <c r="AA587" i="4"/>
  <c r="Y589" i="4"/>
  <c r="AA589" i="4"/>
  <c r="Z590" i="4"/>
  <c r="Y591" i="4"/>
  <c r="AA591" i="4"/>
  <c r="X595" i="4"/>
  <c r="Y595" i="4"/>
  <c r="AA595" i="4"/>
  <c r="X599" i="4"/>
  <c r="Y600" i="4"/>
  <c r="AA600" i="4"/>
  <c r="X612" i="4"/>
  <c r="Y618" i="4"/>
  <c r="AA618" i="4"/>
  <c r="Y622" i="4"/>
  <c r="AA622" i="4"/>
  <c r="X623" i="4"/>
  <c r="Y625" i="4"/>
  <c r="AA625" i="4"/>
  <c r="Y635" i="4"/>
  <c r="AA635" i="4"/>
  <c r="X638" i="4"/>
  <c r="X646" i="4"/>
  <c r="Y649" i="4"/>
  <c r="AA649" i="4"/>
  <c r="Z650" i="4"/>
  <c r="Y651" i="4"/>
  <c r="AA651" i="4"/>
  <c r="Z653" i="4"/>
  <c r="Y656" i="4"/>
  <c r="AA656" i="4"/>
  <c r="Y658" i="4"/>
  <c r="AA658" i="4"/>
  <c r="Y594" i="4"/>
  <c r="AA594" i="4"/>
  <c r="Y615" i="4"/>
  <c r="AA615" i="4"/>
  <c r="Y623" i="4"/>
  <c r="AA623" i="4"/>
  <c r="Z625" i="4"/>
  <c r="X635" i="4"/>
  <c r="X637" i="4"/>
  <c r="Y641" i="4"/>
  <c r="AA641" i="4"/>
  <c r="Y646" i="4"/>
  <c r="AA646" i="4"/>
  <c r="X649" i="4"/>
  <c r="X655" i="4"/>
  <c r="Y659" i="4"/>
  <c r="AA659" i="4"/>
  <c r="X583" i="4"/>
  <c r="Z630" i="4"/>
  <c r="Y634" i="4"/>
  <c r="AA634" i="4"/>
  <c r="X651" i="4"/>
  <c r="BG125" i="4"/>
  <c r="AC125" i="4"/>
  <c r="AE125" i="4"/>
  <c r="AB121" i="4"/>
  <c r="AD121" i="4"/>
  <c r="AC121" i="4"/>
  <c r="AE121" i="4"/>
  <c r="BG121" i="4"/>
  <c r="AA120" i="4"/>
  <c r="BG122" i="4"/>
  <c r="AB129" i="4"/>
  <c r="AD129" i="4"/>
  <c r="AE129" i="4"/>
  <c r="BG129" i="4"/>
  <c r="AC129" i="4"/>
  <c r="AD125" i="4"/>
  <c r="AH125" i="4"/>
  <c r="W105" i="4"/>
  <c r="AD122" i="4"/>
  <c r="AF122" i="4"/>
  <c r="V105" i="4"/>
  <c r="AC122" i="4"/>
  <c r="AH122" i="4"/>
  <c r="AF121" i="4"/>
  <c r="AE122" i="4"/>
  <c r="AG122" i="4"/>
  <c r="AI122" i="4"/>
  <c r="AR122" i="4"/>
  <c r="V107" i="4"/>
  <c r="S107" i="4"/>
  <c r="W107" i="4"/>
  <c r="V106" i="4"/>
  <c r="S105" i="4"/>
  <c r="R105" i="4"/>
  <c r="AF129" i="4"/>
  <c r="W106" i="4"/>
  <c r="AC646" i="4"/>
  <c r="BG646" i="4"/>
  <c r="AE646" i="4"/>
  <c r="AD646" i="4"/>
  <c r="AB646" i="4"/>
  <c r="AC658" i="4"/>
  <c r="AB658" i="4"/>
  <c r="AD658" i="4"/>
  <c r="AE658" i="4"/>
  <c r="BG658" i="4"/>
  <c r="AE635" i="4"/>
  <c r="AD635" i="4"/>
  <c r="AC635" i="4"/>
  <c r="AB635" i="4"/>
  <c r="BG635" i="4"/>
  <c r="AE595" i="4"/>
  <c r="AG595" i="4"/>
  <c r="BG595" i="4"/>
  <c r="AB595" i="4"/>
  <c r="AD595" i="4"/>
  <c r="AC595" i="4"/>
  <c r="BG580" i="4"/>
  <c r="AE580" i="4"/>
  <c r="AC580" i="4"/>
  <c r="AB580" i="4"/>
  <c r="AD580" i="4"/>
  <c r="AC608" i="4"/>
  <c r="BG608" i="4"/>
  <c r="AE608" i="4"/>
  <c r="AB608" i="4"/>
  <c r="AD608" i="4"/>
  <c r="AC654" i="4"/>
  <c r="AB654" i="4"/>
  <c r="BG654" i="4"/>
  <c r="AE654" i="4"/>
  <c r="AD654" i="4"/>
  <c r="BG611" i="4"/>
  <c r="AB611" i="4"/>
  <c r="AC611" i="4"/>
  <c r="AD611" i="4"/>
  <c r="AE611" i="4"/>
  <c r="BG647" i="4"/>
  <c r="AD647" i="4"/>
  <c r="AE647" i="4"/>
  <c r="AB647" i="4"/>
  <c r="AC647" i="4"/>
  <c r="AC565" i="4"/>
  <c r="AE565" i="4"/>
  <c r="AB565" i="4"/>
  <c r="BG565" i="4"/>
  <c r="AD565" i="4"/>
  <c r="AB644" i="4"/>
  <c r="AE644" i="4"/>
  <c r="BG644" i="4"/>
  <c r="AC644" i="4"/>
  <c r="AD644" i="4"/>
  <c r="AC571" i="4"/>
  <c r="AH571" i="4"/>
  <c r="BG571" i="4"/>
  <c r="AB571" i="4"/>
  <c r="AD571" i="4"/>
  <c r="AE571" i="4"/>
  <c r="AD495" i="4"/>
  <c r="AB495" i="4"/>
  <c r="AC495" i="4"/>
  <c r="BG495" i="4"/>
  <c r="AE495" i="4"/>
  <c r="AB517" i="4"/>
  <c r="AE517" i="4"/>
  <c r="BG517" i="4"/>
  <c r="AD517" i="4"/>
  <c r="AC517" i="4"/>
  <c r="BG648" i="4"/>
  <c r="AD648" i="4"/>
  <c r="AB648" i="4"/>
  <c r="AC648" i="4"/>
  <c r="AE648" i="4"/>
  <c r="AC626" i="4"/>
  <c r="AD626" i="4"/>
  <c r="AB626" i="4"/>
  <c r="AE626" i="4"/>
  <c r="BG626" i="4"/>
  <c r="BG601" i="4"/>
  <c r="AC601" i="4"/>
  <c r="AD601" i="4"/>
  <c r="AE601" i="4"/>
  <c r="AB601" i="4"/>
  <c r="AE494" i="4"/>
  <c r="AD494" i="4"/>
  <c r="BG494" i="4"/>
  <c r="AB494" i="4"/>
  <c r="AC494" i="4"/>
  <c r="AC477" i="4"/>
  <c r="AB477" i="4"/>
  <c r="AE477" i="4"/>
  <c r="AD477" i="4"/>
  <c r="BG477" i="4"/>
  <c r="AB558" i="4"/>
  <c r="AE558" i="4"/>
  <c r="AD558" i="4"/>
  <c r="BG558" i="4"/>
  <c r="AC558" i="4"/>
  <c r="BG521" i="4"/>
  <c r="AC521" i="4"/>
  <c r="AD521" i="4"/>
  <c r="AE521" i="4"/>
  <c r="AB521" i="4"/>
  <c r="AC492" i="4"/>
  <c r="AE492" i="4"/>
  <c r="BG492" i="4"/>
  <c r="AD492" i="4"/>
  <c r="AF492" i="4"/>
  <c r="AB492" i="4"/>
  <c r="AE478" i="4"/>
  <c r="AC478" i="4"/>
  <c r="AD478" i="4"/>
  <c r="AB478" i="4"/>
  <c r="BG478" i="4"/>
  <c r="AC426" i="4"/>
  <c r="AE426" i="4"/>
  <c r="AD426" i="4"/>
  <c r="BG426" i="4"/>
  <c r="AB426" i="4"/>
  <c r="AC404" i="4"/>
  <c r="AD404" i="4"/>
  <c r="AE404" i="4"/>
  <c r="BG404" i="4"/>
  <c r="AB404" i="4"/>
  <c r="AD369" i="4"/>
  <c r="AE369" i="4"/>
  <c r="AB369" i="4"/>
  <c r="AC369" i="4"/>
  <c r="BG369" i="4"/>
  <c r="AB333" i="4"/>
  <c r="AD333" i="4"/>
  <c r="AC333" i="4"/>
  <c r="AE333" i="4"/>
  <c r="BG333" i="4"/>
  <c r="AE252" i="4"/>
  <c r="AB252" i="4"/>
  <c r="BG252" i="4"/>
  <c r="AC252" i="4"/>
  <c r="AD252" i="4"/>
  <c r="AE366" i="4"/>
  <c r="AC366" i="4"/>
  <c r="AD366" i="4"/>
  <c r="BG366" i="4"/>
  <c r="AB366" i="4"/>
  <c r="AE340" i="4"/>
  <c r="BG340" i="4"/>
  <c r="AB340" i="4"/>
  <c r="AC340" i="4"/>
  <c r="AD340" i="4"/>
  <c r="AC445" i="4"/>
  <c r="AB445" i="4"/>
  <c r="AD445" i="4"/>
  <c r="BG445" i="4"/>
  <c r="AE445" i="4"/>
  <c r="AE406" i="4"/>
  <c r="AD406" i="4"/>
  <c r="BG406" i="4"/>
  <c r="AC406" i="4"/>
  <c r="AB406" i="4"/>
  <c r="AB500" i="4"/>
  <c r="AE500" i="4"/>
  <c r="AC500" i="4"/>
  <c r="AD500" i="4"/>
  <c r="BG500" i="4"/>
  <c r="AC425" i="4"/>
  <c r="AB425" i="4"/>
  <c r="BG425" i="4"/>
  <c r="AD425" i="4"/>
  <c r="AE425" i="4"/>
  <c r="AD273" i="4"/>
  <c r="AB273" i="4"/>
  <c r="BG273" i="4"/>
  <c r="AC273" i="4"/>
  <c r="AE273" i="4"/>
  <c r="AC280" i="4"/>
  <c r="AE280" i="4"/>
  <c r="AD280" i="4"/>
  <c r="AB280" i="4"/>
  <c r="BG280" i="4"/>
  <c r="AE434" i="4"/>
  <c r="AB434" i="4"/>
  <c r="AD434" i="4"/>
  <c r="AC434" i="4"/>
  <c r="BG434" i="4"/>
  <c r="AE319" i="4"/>
  <c r="AC319" i="4"/>
  <c r="AD319" i="4"/>
  <c r="AB319" i="4"/>
  <c r="BG319" i="4"/>
  <c r="AB374" i="4"/>
  <c r="AC374" i="4"/>
  <c r="AE374" i="4"/>
  <c r="AD374" i="4"/>
  <c r="BG374" i="4"/>
  <c r="BG258" i="4"/>
  <c r="AB258" i="4"/>
  <c r="AC258" i="4"/>
  <c r="AE258" i="4"/>
  <c r="AD258" i="4"/>
  <c r="AE372" i="4"/>
  <c r="AB372" i="4"/>
  <c r="BG372" i="4"/>
  <c r="AC372" i="4"/>
  <c r="AD372" i="4"/>
  <c r="BG312" i="4"/>
  <c r="AC312" i="4"/>
  <c r="AB312" i="4"/>
  <c r="AE312" i="4"/>
  <c r="AD312" i="4"/>
  <c r="AD269" i="4"/>
  <c r="AC269" i="4"/>
  <c r="AB269" i="4"/>
  <c r="BG269" i="4"/>
  <c r="AE269" i="4"/>
  <c r="BG232" i="4"/>
  <c r="AD232" i="4"/>
  <c r="AE232" i="4"/>
  <c r="AC232" i="4"/>
  <c r="AB232" i="4"/>
  <c r="AD398" i="4"/>
  <c r="AE398" i="4"/>
  <c r="BG398" i="4"/>
  <c r="AC398" i="4"/>
  <c r="AB398" i="4"/>
  <c r="AC339" i="4"/>
  <c r="AD339" i="4"/>
  <c r="BG339" i="4"/>
  <c r="AB339" i="4"/>
  <c r="AE339" i="4"/>
  <c r="AE305" i="4"/>
  <c r="AC305" i="4"/>
  <c r="AB305" i="4"/>
  <c r="AD305" i="4"/>
  <c r="BG305" i="4"/>
  <c r="AD238" i="4"/>
  <c r="AB238" i="4"/>
  <c r="AC238" i="4"/>
  <c r="AE238" i="4"/>
  <c r="BG238" i="4"/>
  <c r="AB343" i="4"/>
  <c r="AC343" i="4"/>
  <c r="BG343" i="4"/>
  <c r="AE343" i="4"/>
  <c r="AD343" i="4"/>
  <c r="AD331" i="4"/>
  <c r="AE331" i="4"/>
  <c r="AG331" i="4"/>
  <c r="BG331" i="4"/>
  <c r="AC331" i="4"/>
  <c r="AB331" i="4"/>
  <c r="AB311" i="4"/>
  <c r="AE311" i="4"/>
  <c r="BG311" i="4"/>
  <c r="AD311" i="4"/>
  <c r="AC311" i="4"/>
  <c r="AC277" i="4"/>
  <c r="BG277" i="4"/>
  <c r="AD277" i="4"/>
  <c r="AE277" i="4"/>
  <c r="AB277" i="4"/>
  <c r="AB255" i="4"/>
  <c r="AD255" i="4"/>
  <c r="AC255" i="4"/>
  <c r="AE255" i="4"/>
  <c r="BG255" i="4"/>
  <c r="BG226" i="4"/>
  <c r="AB226" i="4"/>
  <c r="AD226" i="4"/>
  <c r="AE226" i="4"/>
  <c r="AC226" i="4"/>
  <c r="AB262" i="4"/>
  <c r="AD262" i="4"/>
  <c r="AE262" i="4"/>
  <c r="AC262" i="4"/>
  <c r="BG262" i="4"/>
  <c r="AE130" i="4"/>
  <c r="BG130" i="4"/>
  <c r="AD130" i="4"/>
  <c r="AC130" i="4"/>
  <c r="AB130" i="4"/>
  <c r="AD242" i="4"/>
  <c r="AE242" i="4"/>
  <c r="BG242" i="4"/>
  <c r="AC242" i="4"/>
  <c r="AB242" i="4"/>
  <c r="AD160" i="4"/>
  <c r="AE160" i="4"/>
  <c r="AC160" i="4"/>
  <c r="BG160" i="4"/>
  <c r="AB160" i="4"/>
  <c r="AC221" i="4"/>
  <c r="AB221" i="4"/>
  <c r="AD221" i="4"/>
  <c r="AE221" i="4"/>
  <c r="BG221" i="4"/>
  <c r="AB169" i="4"/>
  <c r="AD169" i="4"/>
  <c r="AE169" i="4"/>
  <c r="BG169" i="4"/>
  <c r="AC169" i="4"/>
  <c r="BG213" i="4"/>
  <c r="AD213" i="4"/>
  <c r="AB213" i="4"/>
  <c r="AE213" i="4"/>
  <c r="AC213" i="4"/>
  <c r="AB210" i="4"/>
  <c r="AC210" i="4"/>
  <c r="BG210" i="4"/>
  <c r="AD210" i="4"/>
  <c r="AF210" i="4"/>
  <c r="AE210" i="4"/>
  <c r="AD137" i="4"/>
  <c r="AB137" i="4"/>
  <c r="BG137" i="4"/>
  <c r="AC137" i="4"/>
  <c r="AE137" i="4"/>
  <c r="AD212" i="4"/>
  <c r="AE212" i="4"/>
  <c r="AC212" i="4"/>
  <c r="BG212" i="4"/>
  <c r="AB212" i="4"/>
  <c r="AE197" i="4"/>
  <c r="BG197" i="4"/>
  <c r="AD197" i="4"/>
  <c r="AC197" i="4"/>
  <c r="AB197" i="4"/>
  <c r="AC156" i="4"/>
  <c r="AD156" i="4"/>
  <c r="AB156" i="4"/>
  <c r="AE156" i="4"/>
  <c r="BG156" i="4"/>
  <c r="AE141" i="4"/>
  <c r="BG141" i="4"/>
  <c r="AB141" i="4"/>
  <c r="AC141" i="4"/>
  <c r="AD141" i="4"/>
  <c r="AE209" i="4"/>
  <c r="AB209" i="4"/>
  <c r="BG209" i="4"/>
  <c r="AD209" i="4"/>
  <c r="AC209" i="4"/>
  <c r="AD138" i="4"/>
  <c r="AC138" i="4"/>
  <c r="BG138" i="4"/>
  <c r="AB138" i="4"/>
  <c r="AE138" i="4"/>
  <c r="AD594" i="4"/>
  <c r="AE594" i="4"/>
  <c r="BG594" i="4"/>
  <c r="AC594" i="4"/>
  <c r="AH594" i="4"/>
  <c r="AB594" i="4"/>
  <c r="AE575" i="4"/>
  <c r="AG575" i="4"/>
  <c r="AD575" i="4"/>
  <c r="AF575" i="4"/>
  <c r="BG575" i="4"/>
  <c r="AB575" i="4"/>
  <c r="AC575" i="4"/>
  <c r="AH575" i="4"/>
  <c r="AC653" i="4"/>
  <c r="AD653" i="4"/>
  <c r="AE653" i="4"/>
  <c r="BG653" i="4"/>
  <c r="AB653" i="4"/>
  <c r="BG568" i="4"/>
  <c r="AC568" i="4"/>
  <c r="AB568" i="4"/>
  <c r="AE568" i="4"/>
  <c r="AD568" i="4"/>
  <c r="AB632" i="4"/>
  <c r="AE632" i="4"/>
  <c r="BG632" i="4"/>
  <c r="AD632" i="4"/>
  <c r="AC632" i="4"/>
  <c r="BG614" i="4"/>
  <c r="AC614" i="4"/>
  <c r="AB614" i="4"/>
  <c r="AD614" i="4"/>
  <c r="AE614" i="4"/>
  <c r="AC528" i="4"/>
  <c r="AH528" i="4"/>
  <c r="AD528" i="4"/>
  <c r="AF528" i="4"/>
  <c r="AB528" i="4"/>
  <c r="AE528" i="4"/>
  <c r="AG528" i="4"/>
  <c r="BG528" i="4"/>
  <c r="AE540" i="4"/>
  <c r="AC540" i="4"/>
  <c r="AB540" i="4"/>
  <c r="AD540" i="4"/>
  <c r="BG540" i="4"/>
  <c r="AE524" i="4"/>
  <c r="AB524" i="4"/>
  <c r="AD524" i="4"/>
  <c r="AC524" i="4"/>
  <c r="BG524" i="4"/>
  <c r="AE473" i="4"/>
  <c r="AG473" i="4"/>
  <c r="BG473" i="4"/>
  <c r="AD473" i="4"/>
  <c r="AF473" i="4"/>
  <c r="AB473" i="4"/>
  <c r="AC473" i="4"/>
  <c r="AE563" i="4"/>
  <c r="AD563" i="4"/>
  <c r="AC563" i="4"/>
  <c r="AB563" i="4"/>
  <c r="BG563" i="4"/>
  <c r="AB538" i="4"/>
  <c r="AC538" i="4"/>
  <c r="BG538" i="4"/>
  <c r="AD538" i="4"/>
  <c r="AE538" i="4"/>
  <c r="AD570" i="4"/>
  <c r="AC570" i="4"/>
  <c r="AE570" i="4"/>
  <c r="AB570" i="4"/>
  <c r="BG570" i="4"/>
  <c r="AE560" i="4"/>
  <c r="AC560" i="4"/>
  <c r="AH560" i="4"/>
  <c r="BG560" i="4"/>
  <c r="AB560" i="4"/>
  <c r="AD560" i="4"/>
  <c r="AC498" i="4"/>
  <c r="AE498" i="4"/>
  <c r="AD498" i="4"/>
  <c r="AB498" i="4"/>
  <c r="BG498" i="4"/>
  <c r="AE544" i="4"/>
  <c r="BG544" i="4"/>
  <c r="AC544" i="4"/>
  <c r="AD544" i="4"/>
  <c r="AB544" i="4"/>
  <c r="AC465" i="4"/>
  <c r="BG465" i="4"/>
  <c r="AD465" i="4"/>
  <c r="AB465" i="4"/>
  <c r="AE465" i="4"/>
  <c r="AD334" i="4"/>
  <c r="AC334" i="4"/>
  <c r="AB334" i="4"/>
  <c r="BG334" i="4"/>
  <c r="AE334" i="4"/>
  <c r="AD265" i="4"/>
  <c r="AE265" i="4"/>
  <c r="AC265" i="4"/>
  <c r="AB265" i="4"/>
  <c r="BG265" i="4"/>
  <c r="AD432" i="4"/>
  <c r="BG432" i="4"/>
  <c r="AC432" i="4"/>
  <c r="AB432" i="4"/>
  <c r="AE432" i="4"/>
  <c r="AD353" i="4"/>
  <c r="AC353" i="4"/>
  <c r="AE353" i="4"/>
  <c r="BG353" i="4"/>
  <c r="AB353" i="4"/>
  <c r="AE481" i="4"/>
  <c r="AC481" i="4"/>
  <c r="AB481" i="4"/>
  <c r="AD481" i="4"/>
  <c r="BG481" i="4"/>
  <c r="AB282" i="4"/>
  <c r="BG282" i="4"/>
  <c r="AD282" i="4"/>
  <c r="AE282" i="4"/>
  <c r="AC282" i="4"/>
  <c r="AC446" i="4"/>
  <c r="AE446" i="4"/>
  <c r="BG446" i="4"/>
  <c r="AD446" i="4"/>
  <c r="AB446" i="4"/>
  <c r="BG429" i="4"/>
  <c r="AE429" i="4"/>
  <c r="AD429" i="4"/>
  <c r="AF429" i="4"/>
  <c r="AC429" i="4"/>
  <c r="AH429" i="4"/>
  <c r="AB429" i="4"/>
  <c r="AC428" i="4"/>
  <c r="AE428" i="4"/>
  <c r="BG428" i="4"/>
  <c r="AD428" i="4"/>
  <c r="AB428" i="4"/>
  <c r="AB259" i="4"/>
  <c r="AC259" i="4"/>
  <c r="AD259" i="4"/>
  <c r="AE259" i="4"/>
  <c r="BG259" i="4"/>
  <c r="AB362" i="4"/>
  <c r="BG362" i="4"/>
  <c r="AC362" i="4"/>
  <c r="AE362" i="4"/>
  <c r="AD362" i="4"/>
  <c r="AC328" i="4"/>
  <c r="AE328" i="4"/>
  <c r="AD328" i="4"/>
  <c r="AB328" i="4"/>
  <c r="BG328" i="4"/>
  <c r="AB227" i="4"/>
  <c r="AC227" i="4"/>
  <c r="AE227" i="4"/>
  <c r="BG227" i="4"/>
  <c r="AD227" i="4"/>
  <c r="AC399" i="4"/>
  <c r="AE399" i="4"/>
  <c r="BG399" i="4"/>
  <c r="AB399" i="4"/>
  <c r="AD399" i="4"/>
  <c r="AD381" i="4"/>
  <c r="BG381" i="4"/>
  <c r="AE381" i="4"/>
  <c r="AB381" i="4"/>
  <c r="AC381" i="4"/>
  <c r="AE363" i="4"/>
  <c r="AC363" i="4"/>
  <c r="AB363" i="4"/>
  <c r="AD363" i="4"/>
  <c r="BG363" i="4"/>
  <c r="AE274" i="4"/>
  <c r="AD274" i="4"/>
  <c r="BG274" i="4"/>
  <c r="AB274" i="4"/>
  <c r="AC274" i="4"/>
  <c r="AE400" i="4"/>
  <c r="AC400" i="4"/>
  <c r="AD400" i="4"/>
  <c r="BG400" i="4"/>
  <c r="AB400" i="4"/>
  <c r="AC382" i="4"/>
  <c r="BG382" i="4"/>
  <c r="AD382" i="4"/>
  <c r="AE382" i="4"/>
  <c r="AB382" i="4"/>
  <c r="AD361" i="4"/>
  <c r="AC361" i="4"/>
  <c r="AB361" i="4"/>
  <c r="AE361" i="4"/>
  <c r="BG361" i="4"/>
  <c r="AE324" i="4"/>
  <c r="AC324" i="4"/>
  <c r="AD324" i="4"/>
  <c r="BG324" i="4"/>
  <c r="AB324" i="4"/>
  <c r="AC306" i="4"/>
  <c r="AB306" i="4"/>
  <c r="BG306" i="4"/>
  <c r="AE306" i="4"/>
  <c r="AD306" i="4"/>
  <c r="AB260" i="4"/>
  <c r="AD260" i="4"/>
  <c r="AE260" i="4"/>
  <c r="AC260" i="4"/>
  <c r="BG260" i="4"/>
  <c r="AD315" i="4"/>
  <c r="AB315" i="4"/>
  <c r="AC315" i="4"/>
  <c r="BG315" i="4"/>
  <c r="AE315" i="4"/>
  <c r="BG283" i="4"/>
  <c r="AE283" i="4"/>
  <c r="AB283" i="4"/>
  <c r="AC283" i="4"/>
  <c r="AD283" i="4"/>
  <c r="BG217" i="4"/>
  <c r="AB217" i="4"/>
  <c r="AD217" i="4"/>
  <c r="AC217" i="4"/>
  <c r="AE217" i="4"/>
  <c r="AB174" i="4"/>
  <c r="BG174" i="4"/>
  <c r="AD174" i="4"/>
  <c r="AE174" i="4"/>
  <c r="AC174" i="4"/>
  <c r="AC188" i="4"/>
  <c r="BG188" i="4"/>
  <c r="AB188" i="4"/>
  <c r="AE188" i="4"/>
  <c r="AD188" i="4"/>
  <c r="AC190" i="4"/>
  <c r="AB190" i="4"/>
  <c r="BG190" i="4"/>
  <c r="AE190" i="4"/>
  <c r="AD190" i="4"/>
  <c r="BG131" i="4"/>
  <c r="AB131" i="4"/>
  <c r="AC131" i="4"/>
  <c r="AE131" i="4"/>
  <c r="AD131" i="4"/>
  <c r="AC179" i="4"/>
  <c r="BG179" i="4"/>
  <c r="AE179" i="4"/>
  <c r="AD179" i="4"/>
  <c r="AB179" i="4"/>
  <c r="AE146" i="4"/>
  <c r="AB146" i="4"/>
  <c r="BG146" i="4"/>
  <c r="AD146" i="4"/>
  <c r="AC146" i="4"/>
  <c r="AC202" i="4"/>
  <c r="AE202" i="4"/>
  <c r="AG202" i="4"/>
  <c r="BG202" i="4"/>
  <c r="AB202" i="4"/>
  <c r="AD202" i="4"/>
  <c r="AF202" i="4"/>
  <c r="AE140" i="4"/>
  <c r="BG140" i="4"/>
  <c r="AC140" i="4"/>
  <c r="AB140" i="4"/>
  <c r="AD140" i="4"/>
  <c r="AD192" i="4"/>
  <c r="BG192" i="4"/>
  <c r="AE192" i="4"/>
  <c r="AB192" i="4"/>
  <c r="AC192" i="4"/>
  <c r="AE205" i="4"/>
  <c r="BG205" i="4"/>
  <c r="AB205" i="4"/>
  <c r="AC205" i="4"/>
  <c r="AD205" i="4"/>
  <c r="BG165" i="4"/>
  <c r="AC165" i="4"/>
  <c r="AE165" i="4"/>
  <c r="AD165" i="4"/>
  <c r="AB165" i="4"/>
  <c r="AB641" i="4"/>
  <c r="AD641" i="4"/>
  <c r="AE641" i="4"/>
  <c r="AC641" i="4"/>
  <c r="BG641" i="4"/>
  <c r="AE656" i="4"/>
  <c r="AD656" i="4"/>
  <c r="BG656" i="4"/>
  <c r="AB656" i="4"/>
  <c r="AC656" i="4"/>
  <c r="AE625" i="4"/>
  <c r="AC625" i="4"/>
  <c r="AB625" i="4"/>
  <c r="AD625" i="4"/>
  <c r="BG625" i="4"/>
  <c r="AC617" i="4"/>
  <c r="BG617" i="4"/>
  <c r="AB617" i="4"/>
  <c r="AD617" i="4"/>
  <c r="AE617" i="4"/>
  <c r="AE573" i="4"/>
  <c r="BG573" i="4"/>
  <c r="AD573" i="4"/>
  <c r="AC573" i="4"/>
  <c r="AB573" i="4"/>
  <c r="AC581" i="4"/>
  <c r="AE581" i="4"/>
  <c r="AB581" i="4"/>
  <c r="BG581" i="4"/>
  <c r="AD581" i="4"/>
  <c r="AC645" i="4"/>
  <c r="AE645" i="4"/>
  <c r="BG645" i="4"/>
  <c r="AD645" i="4"/>
  <c r="AB645" i="4"/>
  <c r="AE603" i="4"/>
  <c r="AD603" i="4"/>
  <c r="AC603" i="4"/>
  <c r="AB603" i="4"/>
  <c r="BG603" i="4"/>
  <c r="BG576" i="4"/>
  <c r="AC576" i="4"/>
  <c r="AB576" i="4"/>
  <c r="AE576" i="4"/>
  <c r="AD576" i="4"/>
  <c r="AB629" i="4"/>
  <c r="BG629" i="4"/>
  <c r="AE629" i="4"/>
  <c r="AD629" i="4"/>
  <c r="AC629" i="4"/>
  <c r="AD605" i="4"/>
  <c r="BG605" i="4"/>
  <c r="AE605" i="4"/>
  <c r="AC605" i="4"/>
  <c r="AB605" i="4"/>
  <c r="AE643" i="4"/>
  <c r="AD643" i="4"/>
  <c r="BG643" i="4"/>
  <c r="AC643" i="4"/>
  <c r="AB643" i="4"/>
  <c r="AE610" i="4"/>
  <c r="AC610" i="4"/>
  <c r="AB610" i="4"/>
  <c r="AD610" i="4"/>
  <c r="BG610" i="4"/>
  <c r="AE511" i="4"/>
  <c r="BG511" i="4"/>
  <c r="AD511" i="4"/>
  <c r="AB511" i="4"/>
  <c r="AC511" i="4"/>
  <c r="AC462" i="4"/>
  <c r="AB462" i="4"/>
  <c r="BG462" i="4"/>
  <c r="AE462" i="4"/>
  <c r="AD462" i="4"/>
  <c r="BG535" i="4"/>
  <c r="AC535" i="4"/>
  <c r="AE535" i="4"/>
  <c r="AD535" i="4"/>
  <c r="AB535" i="4"/>
  <c r="AB475" i="4"/>
  <c r="AE475" i="4"/>
  <c r="BG475" i="4"/>
  <c r="AC475" i="4"/>
  <c r="AD475" i="4"/>
  <c r="BG597" i="4"/>
  <c r="AC597" i="4"/>
  <c r="AD597" i="4"/>
  <c r="AB597" i="4"/>
  <c r="AE597" i="4"/>
  <c r="AC548" i="4"/>
  <c r="BG548" i="4"/>
  <c r="AB548" i="4"/>
  <c r="AD548" i="4"/>
  <c r="AE548" i="4"/>
  <c r="AC509" i="4"/>
  <c r="BG509" i="4"/>
  <c r="AE509" i="4"/>
  <c r="AD509" i="4"/>
  <c r="AB509" i="4"/>
  <c r="AD484" i="4"/>
  <c r="AB484" i="4"/>
  <c r="AC484" i="4"/>
  <c r="BG484" i="4"/>
  <c r="AE484" i="4"/>
  <c r="BG460" i="4"/>
  <c r="AD460" i="4"/>
  <c r="AE460" i="4"/>
  <c r="AB460" i="4"/>
  <c r="AC460" i="4"/>
  <c r="AD515" i="4"/>
  <c r="AE515" i="4"/>
  <c r="AB515" i="4"/>
  <c r="BG515" i="4"/>
  <c r="AC515" i="4"/>
  <c r="AE525" i="4"/>
  <c r="BG525" i="4"/>
  <c r="AD525" i="4"/>
  <c r="AC525" i="4"/>
  <c r="AB525" i="4"/>
  <c r="AD469" i="4"/>
  <c r="BG469" i="4"/>
  <c r="AE469" i="4"/>
  <c r="AC469" i="4"/>
  <c r="AB469" i="4"/>
  <c r="AB555" i="4"/>
  <c r="BG555" i="4"/>
  <c r="AE555" i="4"/>
  <c r="AD555" i="4"/>
  <c r="AC555" i="4"/>
  <c r="AD485" i="4"/>
  <c r="AB485" i="4"/>
  <c r="AE485" i="4"/>
  <c r="AC485" i="4"/>
  <c r="BG485" i="4"/>
  <c r="AD457" i="4"/>
  <c r="BG457" i="4"/>
  <c r="AB457" i="4"/>
  <c r="AE457" i="4"/>
  <c r="AC457" i="4"/>
  <c r="BG549" i="4"/>
  <c r="AE549" i="4"/>
  <c r="AB549" i="4"/>
  <c r="AD549" i="4"/>
  <c r="AC549" i="4"/>
  <c r="AD467" i="4"/>
  <c r="AC467" i="4"/>
  <c r="BG467" i="4"/>
  <c r="AB467" i="4"/>
  <c r="AE467" i="4"/>
  <c r="AE534" i="4"/>
  <c r="BG534" i="4"/>
  <c r="AB534" i="4"/>
  <c r="AD534" i="4"/>
  <c r="AC534" i="4"/>
  <c r="AD491" i="4"/>
  <c r="BG491" i="4"/>
  <c r="AB491" i="4"/>
  <c r="AE491" i="4"/>
  <c r="AC491" i="4"/>
  <c r="BG455" i="4"/>
  <c r="AD455" i="4"/>
  <c r="AC455" i="4"/>
  <c r="AB455" i="4"/>
  <c r="AE455" i="4"/>
  <c r="BG424" i="4"/>
  <c r="AB424" i="4"/>
  <c r="AD424" i="4"/>
  <c r="AC424" i="4"/>
  <c r="AE424" i="4"/>
  <c r="AD359" i="4"/>
  <c r="AB359" i="4"/>
  <c r="AC359" i="4"/>
  <c r="BG359" i="4"/>
  <c r="AE359" i="4"/>
  <c r="AC447" i="4"/>
  <c r="BG447" i="4"/>
  <c r="AE447" i="4"/>
  <c r="AG447" i="4"/>
  <c r="AB447" i="4"/>
  <c r="AD447" i="4"/>
  <c r="AF447" i="4"/>
  <c r="BG322" i="4"/>
  <c r="AD322" i="4"/>
  <c r="AB322" i="4"/>
  <c r="AC322" i="4"/>
  <c r="AE322" i="4"/>
  <c r="AB402" i="4"/>
  <c r="AE402" i="4"/>
  <c r="BG402" i="4"/>
  <c r="AD402" i="4"/>
  <c r="AC402" i="4"/>
  <c r="AC346" i="4"/>
  <c r="AE346" i="4"/>
  <c r="BG346" i="4"/>
  <c r="AB346" i="4"/>
  <c r="AD346" i="4"/>
  <c r="AD541" i="4"/>
  <c r="AC541" i="4"/>
  <c r="AB541" i="4"/>
  <c r="BG541" i="4"/>
  <c r="AE541" i="4"/>
  <c r="AB479" i="4"/>
  <c r="AE479" i="4"/>
  <c r="AD479" i="4"/>
  <c r="AC479" i="4"/>
  <c r="BG479" i="4"/>
  <c r="AE450" i="4"/>
  <c r="AC450" i="4"/>
  <c r="BG450" i="4"/>
  <c r="AD450" i="4"/>
  <c r="AB450" i="4"/>
  <c r="AD386" i="4"/>
  <c r="AE386" i="4"/>
  <c r="BG386" i="4"/>
  <c r="AC386" i="4"/>
  <c r="AB386" i="4"/>
  <c r="BG279" i="4"/>
  <c r="AB279" i="4"/>
  <c r="AD279" i="4"/>
  <c r="AC279" i="4"/>
  <c r="AE279" i="4"/>
  <c r="AB385" i="4"/>
  <c r="AD385" i="4"/>
  <c r="AC385" i="4"/>
  <c r="AE385" i="4"/>
  <c r="BG385" i="4"/>
  <c r="AD397" i="4"/>
  <c r="AF397" i="4"/>
  <c r="AB397" i="4"/>
  <c r="BG397" i="4"/>
  <c r="AE397" i="4"/>
  <c r="AG397" i="4"/>
  <c r="AC397" i="4"/>
  <c r="AH397" i="4"/>
  <c r="AC373" i="4"/>
  <c r="AE373" i="4"/>
  <c r="AB373" i="4"/>
  <c r="AD373" i="4"/>
  <c r="BG373" i="4"/>
  <c r="AE276" i="4"/>
  <c r="AB276" i="4"/>
  <c r="AC276" i="4"/>
  <c r="BG276" i="4"/>
  <c r="AD276" i="4"/>
  <c r="AD395" i="4"/>
  <c r="AE395" i="4"/>
  <c r="BG395" i="4"/>
  <c r="AC395" i="4"/>
  <c r="AB395" i="4"/>
  <c r="AD335" i="4"/>
  <c r="BG335" i="4"/>
  <c r="AC335" i="4"/>
  <c r="AE335" i="4"/>
  <c r="AB335" i="4"/>
  <c r="AE394" i="4"/>
  <c r="AC394" i="4"/>
  <c r="BG394" i="4"/>
  <c r="AD394" i="4"/>
  <c r="AB394" i="4"/>
  <c r="AB380" i="4"/>
  <c r="AD380" i="4"/>
  <c r="BG380" i="4"/>
  <c r="AC380" i="4"/>
  <c r="AE380" i="4"/>
  <c r="AE360" i="4"/>
  <c r="AB360" i="4"/>
  <c r="AD360" i="4"/>
  <c r="AC360" i="4"/>
  <c r="BG360" i="4"/>
  <c r="AC287" i="4"/>
  <c r="AE287" i="4"/>
  <c r="AD287" i="4"/>
  <c r="AB287" i="4"/>
  <c r="BG287" i="4"/>
  <c r="BG233" i="4"/>
  <c r="AC233" i="4"/>
  <c r="AD233" i="4"/>
  <c r="AB233" i="4"/>
  <c r="AE233" i="4"/>
  <c r="AE341" i="4"/>
  <c r="BG341" i="4"/>
  <c r="AB341" i="4"/>
  <c r="AD341" i="4"/>
  <c r="AC341" i="4"/>
  <c r="BG325" i="4"/>
  <c r="AD325" i="4"/>
  <c r="AF325" i="4"/>
  <c r="AB325" i="4"/>
  <c r="AC325" i="4"/>
  <c r="AE325" i="4"/>
  <c r="AG325" i="4"/>
  <c r="AE285" i="4"/>
  <c r="AD285" i="4"/>
  <c r="BG285" i="4"/>
  <c r="AB285" i="4"/>
  <c r="AC285" i="4"/>
  <c r="AC272" i="4"/>
  <c r="AD272" i="4"/>
  <c r="AE272" i="4"/>
  <c r="AB272" i="4"/>
  <c r="BG272" i="4"/>
  <c r="AE293" i="4"/>
  <c r="AC293" i="4"/>
  <c r="BG293" i="4"/>
  <c r="AB293" i="4"/>
  <c r="AD293" i="4"/>
  <c r="BG220" i="4"/>
  <c r="AC220" i="4"/>
  <c r="AB220" i="4"/>
  <c r="AD220" i="4"/>
  <c r="AE220" i="4"/>
  <c r="AG220" i="4"/>
  <c r="AE162" i="4"/>
  <c r="AC162" i="4"/>
  <c r="AD162" i="4"/>
  <c r="BG162" i="4"/>
  <c r="AB162" i="4"/>
  <c r="AE211" i="4"/>
  <c r="BG211" i="4"/>
  <c r="AD211" i="4"/>
  <c r="AB211" i="4"/>
  <c r="AC211" i="4"/>
  <c r="AD195" i="4"/>
  <c r="AC195" i="4"/>
  <c r="BG195" i="4"/>
  <c r="AB195" i="4"/>
  <c r="AE195" i="4"/>
  <c r="AE158" i="4"/>
  <c r="AC158" i="4"/>
  <c r="BG158" i="4"/>
  <c r="AB158" i="4"/>
  <c r="AD158" i="4"/>
  <c r="AC151" i="4"/>
  <c r="AE151" i="4"/>
  <c r="AB151" i="4"/>
  <c r="AD151" i="4"/>
  <c r="BG151" i="4"/>
  <c r="AB184" i="4"/>
  <c r="AD184" i="4"/>
  <c r="BG184" i="4"/>
  <c r="AC184" i="4"/>
  <c r="AH184" i="4"/>
  <c r="AE184" i="4"/>
  <c r="AE154" i="4"/>
  <c r="AD154" i="4"/>
  <c r="BG154" i="4"/>
  <c r="AC154" i="4"/>
  <c r="AB154" i="4"/>
  <c r="AE124" i="4"/>
  <c r="AD124" i="4"/>
  <c r="AC124" i="4"/>
  <c r="AB124" i="4"/>
  <c r="BG124" i="4"/>
  <c r="AC634" i="4"/>
  <c r="AE634" i="4"/>
  <c r="AB634" i="4"/>
  <c r="AD634" i="4"/>
  <c r="BG634" i="4"/>
  <c r="AC591" i="4"/>
  <c r="BG591" i="4"/>
  <c r="AB591" i="4"/>
  <c r="AD591" i="4"/>
  <c r="AE591" i="4"/>
  <c r="BG657" i="4"/>
  <c r="AB657" i="4"/>
  <c r="AC657" i="4"/>
  <c r="AD657" i="4"/>
  <c r="AE657" i="4"/>
  <c r="AB616" i="4"/>
  <c r="AC616" i="4"/>
  <c r="BG616" i="4"/>
  <c r="AD616" i="4"/>
  <c r="AE616" i="4"/>
  <c r="AC572" i="4"/>
  <c r="BG572" i="4"/>
  <c r="AD572" i="4"/>
  <c r="AB572" i="4"/>
  <c r="AE572" i="4"/>
  <c r="AC579" i="4"/>
  <c r="AD579" i="4"/>
  <c r="BG579" i="4"/>
  <c r="AB579" i="4"/>
  <c r="AE579" i="4"/>
  <c r="AC592" i="4"/>
  <c r="AB592" i="4"/>
  <c r="BG592" i="4"/>
  <c r="AE592" i="4"/>
  <c r="AD592" i="4"/>
  <c r="AC621" i="4"/>
  <c r="AE621" i="4"/>
  <c r="BG621" i="4"/>
  <c r="AD621" i="4"/>
  <c r="AB621" i="4"/>
  <c r="AB590" i="4"/>
  <c r="BG590" i="4"/>
  <c r="AD590" i="4"/>
  <c r="AE590" i="4"/>
  <c r="AC590" i="4"/>
  <c r="AC566" i="4"/>
  <c r="AB566" i="4"/>
  <c r="AD566" i="4"/>
  <c r="AE566" i="4"/>
  <c r="BG566" i="4"/>
  <c r="BG567" i="4"/>
  <c r="AD567" i="4"/>
  <c r="AB567" i="4"/>
  <c r="AE567" i="4"/>
  <c r="AC567" i="4"/>
  <c r="BG624" i="4"/>
  <c r="AC624" i="4"/>
  <c r="AB624" i="4"/>
  <c r="AE624" i="4"/>
  <c r="AG624" i="4"/>
  <c r="AD624" i="4"/>
  <c r="AF624" i="4"/>
  <c r="AD520" i="4"/>
  <c r="AF520" i="4"/>
  <c r="AB520" i="4"/>
  <c r="AE520" i="4"/>
  <c r="BG520" i="4"/>
  <c r="AC520" i="4"/>
  <c r="AD493" i="4"/>
  <c r="AB493" i="4"/>
  <c r="AE493" i="4"/>
  <c r="BG493" i="4"/>
  <c r="AC493" i="4"/>
  <c r="AC502" i="4"/>
  <c r="AE502" i="4"/>
  <c r="BG502" i="4"/>
  <c r="AB502" i="4"/>
  <c r="AD502" i="4"/>
  <c r="AF502" i="4"/>
  <c r="AE554" i="4"/>
  <c r="AD554" i="4"/>
  <c r="AC554" i="4"/>
  <c r="BG554" i="4"/>
  <c r="AB554" i="4"/>
  <c r="BG609" i="4"/>
  <c r="AB609" i="4"/>
  <c r="AC609" i="4"/>
  <c r="AE609" i="4"/>
  <c r="AG609" i="4"/>
  <c r="AD609" i="4"/>
  <c r="BG542" i="4"/>
  <c r="AC542" i="4"/>
  <c r="AE542" i="4"/>
  <c r="AD542" i="4"/>
  <c r="AF542" i="4"/>
  <c r="AB542" i="4"/>
  <c r="AB514" i="4"/>
  <c r="AC514" i="4"/>
  <c r="AD514" i="4"/>
  <c r="BG514" i="4"/>
  <c r="AE514" i="4"/>
  <c r="AD487" i="4"/>
  <c r="BG487" i="4"/>
  <c r="AB487" i="4"/>
  <c r="AC487" i="4"/>
  <c r="AH487" i="4"/>
  <c r="AE487" i="4"/>
  <c r="AG487" i="4"/>
  <c r="AB510" i="4"/>
  <c r="AE510" i="4"/>
  <c r="BG510" i="4"/>
  <c r="AD510" i="4"/>
  <c r="AC510" i="4"/>
  <c r="BG454" i="4"/>
  <c r="AB454" i="4"/>
  <c r="AD454" i="4"/>
  <c r="AE454" i="4"/>
  <c r="AC454" i="4"/>
  <c r="AD513" i="4"/>
  <c r="AC513" i="4"/>
  <c r="AE513" i="4"/>
  <c r="BG513" i="4"/>
  <c r="AB513" i="4"/>
  <c r="AB530" i="4"/>
  <c r="AE530" i="4"/>
  <c r="BG530" i="4"/>
  <c r="AC530" i="4"/>
  <c r="AD530" i="4"/>
  <c r="AC508" i="4"/>
  <c r="BG508" i="4"/>
  <c r="AD508" i="4"/>
  <c r="AE508" i="4"/>
  <c r="AB508" i="4"/>
  <c r="AE489" i="4"/>
  <c r="AD489" i="4"/>
  <c r="AF489" i="4"/>
  <c r="BG489" i="4"/>
  <c r="AC489" i="4"/>
  <c r="AB489" i="4"/>
  <c r="BG391" i="4"/>
  <c r="AB391" i="4"/>
  <c r="AD391" i="4"/>
  <c r="AC391" i="4"/>
  <c r="AE391" i="4"/>
  <c r="AB323" i="4"/>
  <c r="BG323" i="4"/>
  <c r="AE323" i="4"/>
  <c r="AC323" i="4"/>
  <c r="AD323" i="4"/>
  <c r="AB442" i="4"/>
  <c r="AC442" i="4"/>
  <c r="BG442" i="4"/>
  <c r="AE442" i="4"/>
  <c r="AD442" i="4"/>
  <c r="AB295" i="4"/>
  <c r="AC295" i="4"/>
  <c r="AH295" i="4"/>
  <c r="AE295" i="4"/>
  <c r="AG295" i="4"/>
  <c r="AD295" i="4"/>
  <c r="BG295" i="4"/>
  <c r="AE431" i="4"/>
  <c r="BG431" i="4"/>
  <c r="AD431" i="4"/>
  <c r="AC431" i="4"/>
  <c r="AB431" i="4"/>
  <c r="BG368" i="4"/>
  <c r="AD368" i="4"/>
  <c r="AC368" i="4"/>
  <c r="AB368" i="4"/>
  <c r="AE368" i="4"/>
  <c r="AB342" i="4"/>
  <c r="AE342" i="4"/>
  <c r="BG342" i="4"/>
  <c r="AC342" i="4"/>
  <c r="AD342" i="4"/>
  <c r="AB512" i="4"/>
  <c r="AD512" i="4"/>
  <c r="AE512" i="4"/>
  <c r="AG512" i="4"/>
  <c r="BG512" i="4"/>
  <c r="AC512" i="4"/>
  <c r="AC496" i="4"/>
  <c r="AD496" i="4"/>
  <c r="BG496" i="4"/>
  <c r="AE496" i="4"/>
  <c r="AB496" i="4"/>
  <c r="AE419" i="4"/>
  <c r="AD419" i="4"/>
  <c r="BG419" i="4"/>
  <c r="AC419" i="4"/>
  <c r="AB419" i="4"/>
  <c r="AE388" i="4"/>
  <c r="AC388" i="4"/>
  <c r="BG388" i="4"/>
  <c r="AB388" i="4"/>
  <c r="AD388" i="4"/>
  <c r="BG271" i="4"/>
  <c r="AB271" i="4"/>
  <c r="AC271" i="4"/>
  <c r="AE271" i="4"/>
  <c r="AD271" i="4"/>
  <c r="BG438" i="4"/>
  <c r="AB438" i="4"/>
  <c r="AD438" i="4"/>
  <c r="AE438" i="4"/>
  <c r="AC438" i="4"/>
  <c r="AE379" i="4"/>
  <c r="AB379" i="4"/>
  <c r="BG379" i="4"/>
  <c r="AC379" i="4"/>
  <c r="AD379" i="4"/>
  <c r="BG440" i="4"/>
  <c r="AC440" i="4"/>
  <c r="AE440" i="4"/>
  <c r="AB440" i="4"/>
  <c r="AD440" i="4"/>
  <c r="BG370" i="4"/>
  <c r="AE370" i="4"/>
  <c r="AC370" i="4"/>
  <c r="AD370" i="4"/>
  <c r="AB370" i="4"/>
  <c r="AE443" i="4"/>
  <c r="AC443" i="4"/>
  <c r="AB443" i="4"/>
  <c r="AD443" i="4"/>
  <c r="BG443" i="4"/>
  <c r="AE390" i="4"/>
  <c r="AC390" i="4"/>
  <c r="AD390" i="4"/>
  <c r="BG390" i="4"/>
  <c r="AB390" i="4"/>
  <c r="AC313" i="4"/>
  <c r="BG313" i="4"/>
  <c r="AD313" i="4"/>
  <c r="AB313" i="4"/>
  <c r="AE313" i="4"/>
  <c r="AB393" i="4"/>
  <c r="BG393" i="4"/>
  <c r="AC393" i="4"/>
  <c r="AE393" i="4"/>
  <c r="AD393" i="4"/>
  <c r="AF393" i="4"/>
  <c r="AD292" i="4"/>
  <c r="AC292" i="4"/>
  <c r="AE292" i="4"/>
  <c r="AB292" i="4"/>
  <c r="BG292" i="4"/>
  <c r="AB392" i="4"/>
  <c r="BG392" i="4"/>
  <c r="AE392" i="4"/>
  <c r="AC392" i="4"/>
  <c r="AD392" i="4"/>
  <c r="AD354" i="4"/>
  <c r="AC354" i="4"/>
  <c r="AE354" i="4"/>
  <c r="AB354" i="4"/>
  <c r="BG354" i="4"/>
  <c r="AC351" i="4"/>
  <c r="BG351" i="4"/>
  <c r="AE351" i="4"/>
  <c r="AB351" i="4"/>
  <c r="AD351" i="4"/>
  <c r="AE332" i="4"/>
  <c r="BG332" i="4"/>
  <c r="AD332" i="4"/>
  <c r="AC332" i="4"/>
  <c r="AB332" i="4"/>
  <c r="AD281" i="4"/>
  <c r="AC281" i="4"/>
  <c r="BG281" i="4"/>
  <c r="AB281" i="4"/>
  <c r="AE281" i="4"/>
  <c r="AB256" i="4"/>
  <c r="BG256" i="4"/>
  <c r="AD256" i="4"/>
  <c r="AE256" i="4"/>
  <c r="AC256" i="4"/>
  <c r="BG327" i="4"/>
  <c r="AC327" i="4"/>
  <c r="AB327" i="4"/>
  <c r="AD327" i="4"/>
  <c r="AE327" i="4"/>
  <c r="AE142" i="4"/>
  <c r="AC142" i="4"/>
  <c r="AD142" i="4"/>
  <c r="AB142" i="4"/>
  <c r="BG142" i="4"/>
  <c r="AD134" i="4"/>
  <c r="AB134" i="4"/>
  <c r="AE134" i="4"/>
  <c r="BG134" i="4"/>
  <c r="AC134" i="4"/>
  <c r="AC303" i="4"/>
  <c r="AB303" i="4"/>
  <c r="BG303" i="4"/>
  <c r="AD303" i="4"/>
  <c r="AE303" i="4"/>
  <c r="BG291" i="4"/>
  <c r="AE291" i="4"/>
  <c r="AD291" i="4"/>
  <c r="AB291" i="4"/>
  <c r="AC291" i="4"/>
  <c r="AD254" i="4"/>
  <c r="AE254" i="4"/>
  <c r="AG254" i="4"/>
  <c r="BG254" i="4"/>
  <c r="AB254" i="4"/>
  <c r="AC254" i="4"/>
  <c r="AE219" i="4"/>
  <c r="AD219" i="4"/>
  <c r="BG219" i="4"/>
  <c r="AB219" i="4"/>
  <c r="AC219" i="4"/>
  <c r="AD155" i="4"/>
  <c r="AB155" i="4"/>
  <c r="BG155" i="4"/>
  <c r="AC155" i="4"/>
  <c r="AE155" i="4"/>
  <c r="AB166" i="4"/>
  <c r="BG166" i="4"/>
  <c r="AD166" i="4"/>
  <c r="AF166" i="4"/>
  <c r="AE166" i="4"/>
  <c r="AC166" i="4"/>
  <c r="AC175" i="4"/>
  <c r="AD175" i="4"/>
  <c r="AB175" i="4"/>
  <c r="AE175" i="4"/>
  <c r="BG175" i="4"/>
  <c r="AC183" i="4"/>
  <c r="AE183" i="4"/>
  <c r="AD183" i="4"/>
  <c r="BG183" i="4"/>
  <c r="AB183" i="4"/>
  <c r="AE136" i="4"/>
  <c r="BG136" i="4"/>
  <c r="AB136" i="4"/>
  <c r="AD136" i="4"/>
  <c r="AC136" i="4"/>
  <c r="BG153" i="4"/>
  <c r="AB153" i="4"/>
  <c r="AD153" i="4"/>
  <c r="AE153" i="4"/>
  <c r="AC153" i="4"/>
  <c r="AC216" i="4"/>
  <c r="AD216" i="4"/>
  <c r="BG216" i="4"/>
  <c r="AE216" i="4"/>
  <c r="AB216" i="4"/>
  <c r="AB159" i="4"/>
  <c r="AC159" i="4"/>
  <c r="BG159" i="4"/>
  <c r="AE159" i="4"/>
  <c r="AD159" i="4"/>
  <c r="AC651" i="4"/>
  <c r="AD651" i="4"/>
  <c r="BG651" i="4"/>
  <c r="AE651" i="4"/>
  <c r="AB651" i="4"/>
  <c r="AB622" i="4"/>
  <c r="AE622" i="4"/>
  <c r="AG622" i="4"/>
  <c r="AD622" i="4"/>
  <c r="BG622" i="4"/>
  <c r="AC622" i="4"/>
  <c r="AB639" i="4"/>
  <c r="AD639" i="4"/>
  <c r="BG639" i="4"/>
  <c r="AC639" i="4"/>
  <c r="AE639" i="4"/>
  <c r="AB628" i="4"/>
  <c r="BG628" i="4"/>
  <c r="AE628" i="4"/>
  <c r="AD628" i="4"/>
  <c r="AC628" i="4"/>
  <c r="AE569" i="4"/>
  <c r="AD569" i="4"/>
  <c r="BG569" i="4"/>
  <c r="AC569" i="4"/>
  <c r="AB569" i="4"/>
  <c r="BG640" i="4"/>
  <c r="AB640" i="4"/>
  <c r="AD640" i="4"/>
  <c r="AC640" i="4"/>
  <c r="AE640" i="4"/>
  <c r="AB620" i="4"/>
  <c r="AE620" i="4"/>
  <c r="AC620" i="4"/>
  <c r="BG620" i="4"/>
  <c r="AD620" i="4"/>
  <c r="AB585" i="4"/>
  <c r="AE585" i="4"/>
  <c r="BG585" i="4"/>
  <c r="AD585" i="4"/>
  <c r="AC585" i="4"/>
  <c r="AB636" i="4"/>
  <c r="AC636" i="4"/>
  <c r="AD636" i="4"/>
  <c r="BG636" i="4"/>
  <c r="AE636" i="4"/>
  <c r="AB607" i="4"/>
  <c r="AC607" i="4"/>
  <c r="AE607" i="4"/>
  <c r="BG607" i="4"/>
  <c r="AD607" i="4"/>
  <c r="AD488" i="4"/>
  <c r="AB488" i="4"/>
  <c r="BG488" i="4"/>
  <c r="AC488" i="4"/>
  <c r="AE488" i="4"/>
  <c r="AB551" i="4"/>
  <c r="AC551" i="4"/>
  <c r="AE551" i="4"/>
  <c r="BG551" i="4"/>
  <c r="AD551" i="4"/>
  <c r="AC526" i="4"/>
  <c r="AD526" i="4"/>
  <c r="BG526" i="4"/>
  <c r="AE526" i="4"/>
  <c r="AB526" i="4"/>
  <c r="AD501" i="4"/>
  <c r="AC501" i="4"/>
  <c r="AB501" i="4"/>
  <c r="AE501" i="4"/>
  <c r="BG501" i="4"/>
  <c r="AC561" i="4"/>
  <c r="AB561" i="4"/>
  <c r="AE561" i="4"/>
  <c r="BG561" i="4"/>
  <c r="AD561" i="4"/>
  <c r="AE545" i="4"/>
  <c r="AB545" i="4"/>
  <c r="BG545" i="4"/>
  <c r="AC545" i="4"/>
  <c r="AD545" i="4"/>
  <c r="AC463" i="4"/>
  <c r="AE463" i="4"/>
  <c r="AB463" i="4"/>
  <c r="AD463" i="4"/>
  <c r="BG463" i="4"/>
  <c r="AD461" i="4"/>
  <c r="BG461" i="4"/>
  <c r="AC461" i="4"/>
  <c r="AB461" i="4"/>
  <c r="AE461" i="4"/>
  <c r="AE552" i="4"/>
  <c r="AD552" i="4"/>
  <c r="AC552" i="4"/>
  <c r="BG552" i="4"/>
  <c r="AB552" i="4"/>
  <c r="AD458" i="4"/>
  <c r="BG458" i="4"/>
  <c r="AE458" i="4"/>
  <c r="AB458" i="4"/>
  <c r="AC458" i="4"/>
  <c r="AE439" i="4"/>
  <c r="BG439" i="4"/>
  <c r="AB439" i="4"/>
  <c r="AC439" i="4"/>
  <c r="AD439" i="4"/>
  <c r="AC367" i="4"/>
  <c r="AB367" i="4"/>
  <c r="AE367" i="4"/>
  <c r="AD367" i="4"/>
  <c r="BG367" i="4"/>
  <c r="AC468" i="4"/>
  <c r="AE468" i="4"/>
  <c r="AB468" i="4"/>
  <c r="AD468" i="4"/>
  <c r="BG468" i="4"/>
  <c r="AB414" i="4"/>
  <c r="BG414" i="4"/>
  <c r="AE414" i="4"/>
  <c r="AD414" i="4"/>
  <c r="AC414" i="4"/>
  <c r="AB326" i="4"/>
  <c r="AC326" i="4"/>
  <c r="AE326" i="4"/>
  <c r="BG326" i="4"/>
  <c r="AD326" i="4"/>
  <c r="AD437" i="4"/>
  <c r="AC437" i="4"/>
  <c r="BG437" i="4"/>
  <c r="AB437" i="4"/>
  <c r="AE437" i="4"/>
  <c r="AB245" i="4"/>
  <c r="AC245" i="4"/>
  <c r="BG245" i="4"/>
  <c r="AE245" i="4"/>
  <c r="AD245" i="4"/>
  <c r="AE349" i="4"/>
  <c r="AB349" i="4"/>
  <c r="AC349" i="4"/>
  <c r="AD349" i="4"/>
  <c r="BG349" i="4"/>
  <c r="AB441" i="4"/>
  <c r="AC441" i="4"/>
  <c r="AE441" i="4"/>
  <c r="AD441" i="4"/>
  <c r="BG441" i="4"/>
  <c r="AB420" i="4"/>
  <c r="AD420" i="4"/>
  <c r="AC420" i="4"/>
  <c r="AE420" i="4"/>
  <c r="BG420" i="4"/>
  <c r="AD231" i="4"/>
  <c r="AE231" i="4"/>
  <c r="AB231" i="4"/>
  <c r="BG231" i="4"/>
  <c r="AC231" i="4"/>
  <c r="AE405" i="4"/>
  <c r="AB405" i="4"/>
  <c r="AC405" i="4"/>
  <c r="AD405" i="4"/>
  <c r="BG405" i="4"/>
  <c r="AC383" i="4"/>
  <c r="AE383" i="4"/>
  <c r="AB383" i="4"/>
  <c r="BG383" i="4"/>
  <c r="AD383" i="4"/>
  <c r="BG348" i="4"/>
  <c r="AB348" i="4"/>
  <c r="AC348" i="4"/>
  <c r="AE348" i="4"/>
  <c r="AD348" i="4"/>
  <c r="AC304" i="4"/>
  <c r="BG304" i="4"/>
  <c r="AE304" i="4"/>
  <c r="AD304" i="4"/>
  <c r="AB304" i="4"/>
  <c r="AE330" i="4"/>
  <c r="AD330" i="4"/>
  <c r="AC330" i="4"/>
  <c r="AB330" i="4"/>
  <c r="BG330" i="4"/>
  <c r="AB248" i="4"/>
  <c r="BG248" i="4"/>
  <c r="AD248" i="4"/>
  <c r="AC248" i="4"/>
  <c r="AE248" i="4"/>
  <c r="BG411" i="4"/>
  <c r="AD411" i="4"/>
  <c r="AB411" i="4"/>
  <c r="AC411" i="4"/>
  <c r="AE411" i="4"/>
  <c r="BG299" i="4"/>
  <c r="AB299" i="4"/>
  <c r="AC299" i="4"/>
  <c r="AD299" i="4"/>
  <c r="AE299" i="4"/>
  <c r="AE278" i="4"/>
  <c r="AD278" i="4"/>
  <c r="AC278" i="4"/>
  <c r="BG278" i="4"/>
  <c r="AB278" i="4"/>
  <c r="AC288" i="4"/>
  <c r="AE288" i="4"/>
  <c r="BG288" i="4"/>
  <c r="AD288" i="4"/>
  <c r="AB288" i="4"/>
  <c r="BG253" i="4"/>
  <c r="AB253" i="4"/>
  <c r="AC253" i="4"/>
  <c r="AE253" i="4"/>
  <c r="AD253" i="4"/>
  <c r="AC302" i="4"/>
  <c r="AE302" i="4"/>
  <c r="AD302" i="4"/>
  <c r="AB302" i="4"/>
  <c r="BG302" i="4"/>
  <c r="AD225" i="4"/>
  <c r="BG225" i="4"/>
  <c r="AE225" i="4"/>
  <c r="AC225" i="4"/>
  <c r="AB225" i="4"/>
  <c r="AB321" i="4"/>
  <c r="AE321" i="4"/>
  <c r="BG321" i="4"/>
  <c r="AD321" i="4"/>
  <c r="AC321" i="4"/>
  <c r="AE270" i="4"/>
  <c r="AB270" i="4"/>
  <c r="AD270" i="4"/>
  <c r="BG270" i="4"/>
  <c r="AC270" i="4"/>
  <c r="AB250" i="4"/>
  <c r="BG250" i="4"/>
  <c r="AC250" i="4"/>
  <c r="AE250" i="4"/>
  <c r="AD250" i="4"/>
  <c r="AB139" i="4"/>
  <c r="AE139" i="4"/>
  <c r="BG139" i="4"/>
  <c r="AC139" i="4"/>
  <c r="AD139" i="4"/>
  <c r="BG223" i="4"/>
  <c r="AC223" i="4"/>
  <c r="AD223" i="4"/>
  <c r="AB223" i="4"/>
  <c r="AE223" i="4"/>
  <c r="BG301" i="4"/>
  <c r="AE301" i="4"/>
  <c r="AB301" i="4"/>
  <c r="AD301" i="4"/>
  <c r="AC301" i="4"/>
  <c r="BG290" i="4"/>
  <c r="AC290" i="4"/>
  <c r="AE290" i="4"/>
  <c r="AD290" i="4"/>
  <c r="AB290" i="4"/>
  <c r="AC222" i="4"/>
  <c r="AB222" i="4"/>
  <c r="BG222" i="4"/>
  <c r="AE222" i="4"/>
  <c r="AD222" i="4"/>
  <c r="AB224" i="4"/>
  <c r="AD224" i="4"/>
  <c r="AC224" i="4"/>
  <c r="AE224" i="4"/>
  <c r="BG224" i="4"/>
  <c r="AC198" i="4"/>
  <c r="AD198" i="4"/>
  <c r="AB198" i="4"/>
  <c r="BG198" i="4"/>
  <c r="AE198" i="4"/>
  <c r="AE204" i="4"/>
  <c r="AD204" i="4"/>
  <c r="AC204" i="4"/>
  <c r="AB204" i="4"/>
  <c r="BG204" i="4"/>
  <c r="BG208" i="4"/>
  <c r="AB208" i="4"/>
  <c r="AC208" i="4"/>
  <c r="AE208" i="4"/>
  <c r="AD208" i="4"/>
  <c r="BG150" i="4"/>
  <c r="AD150" i="4"/>
  <c r="AC150" i="4"/>
  <c r="AE150" i="4"/>
  <c r="AB150" i="4"/>
  <c r="AE194" i="4"/>
  <c r="AD194" i="4"/>
  <c r="AC194" i="4"/>
  <c r="AB194" i="4"/>
  <c r="BG194" i="4"/>
  <c r="AD147" i="4"/>
  <c r="AB147" i="4"/>
  <c r="AC147" i="4"/>
  <c r="AE147" i="4"/>
  <c r="BG147" i="4"/>
  <c r="BG182" i="4"/>
  <c r="AE182" i="4"/>
  <c r="AD182" i="4"/>
  <c r="AB182" i="4"/>
  <c r="AC182" i="4"/>
  <c r="BG135" i="4"/>
  <c r="AB135" i="4"/>
  <c r="AC135" i="4"/>
  <c r="AE135" i="4"/>
  <c r="AD135" i="4"/>
  <c r="AC171" i="4"/>
  <c r="AB171" i="4"/>
  <c r="BG171" i="4"/>
  <c r="AD171" i="4"/>
  <c r="AE171" i="4"/>
  <c r="AE214" i="4"/>
  <c r="AB214" i="4"/>
  <c r="AC214" i="4"/>
  <c r="AD214" i="4"/>
  <c r="BG214" i="4"/>
  <c r="AC618" i="4"/>
  <c r="AD618" i="4"/>
  <c r="AF618" i="4"/>
  <c r="AB618" i="4"/>
  <c r="BG618" i="4"/>
  <c r="AE618" i="4"/>
  <c r="AG618" i="4"/>
  <c r="AB589" i="4"/>
  <c r="AC589" i="4"/>
  <c r="BG589" i="4"/>
  <c r="AD589" i="4"/>
  <c r="AE589" i="4"/>
  <c r="AE588" i="4"/>
  <c r="AD588" i="4"/>
  <c r="BG588" i="4"/>
  <c r="AB588" i="4"/>
  <c r="AC588" i="4"/>
  <c r="AB630" i="4"/>
  <c r="BG630" i="4"/>
  <c r="AE630" i="4"/>
  <c r="AC630" i="4"/>
  <c r="AD630" i="4"/>
  <c r="AC586" i="4"/>
  <c r="AE586" i="4"/>
  <c r="BG586" i="4"/>
  <c r="AB586" i="4"/>
  <c r="AD586" i="4"/>
  <c r="AE596" i="4"/>
  <c r="AD596" i="4"/>
  <c r="AB596" i="4"/>
  <c r="BG596" i="4"/>
  <c r="AC596" i="4"/>
  <c r="BG637" i="4"/>
  <c r="AB637" i="4"/>
  <c r="AC637" i="4"/>
  <c r="AE637" i="4"/>
  <c r="AD637" i="4"/>
  <c r="AD599" i="4"/>
  <c r="AB599" i="4"/>
  <c r="AE599" i="4"/>
  <c r="AC599" i="4"/>
  <c r="BG599" i="4"/>
  <c r="AB619" i="4"/>
  <c r="AC619" i="4"/>
  <c r="AE619" i="4"/>
  <c r="AD619" i="4"/>
  <c r="BG619" i="4"/>
  <c r="BG562" i="4"/>
  <c r="AC562" i="4"/>
  <c r="AB562" i="4"/>
  <c r="AD562" i="4"/>
  <c r="AE562" i="4"/>
  <c r="AC472" i="4"/>
  <c r="AE472" i="4"/>
  <c r="AD472" i="4"/>
  <c r="AF472" i="4"/>
  <c r="BG472" i="4"/>
  <c r="AB472" i="4"/>
  <c r="AD550" i="4"/>
  <c r="AC550" i="4"/>
  <c r="AE550" i="4"/>
  <c r="AG550" i="4"/>
  <c r="AB550" i="4"/>
  <c r="BG550" i="4"/>
  <c r="BG453" i="4"/>
  <c r="AB453" i="4"/>
  <c r="AE453" i="4"/>
  <c r="AD453" i="4"/>
  <c r="AC453" i="4"/>
  <c r="AC497" i="4"/>
  <c r="AB497" i="4"/>
  <c r="AE497" i="4"/>
  <c r="BG497" i="4"/>
  <c r="AD497" i="4"/>
  <c r="AF497" i="4"/>
  <c r="AB606" i="4"/>
  <c r="AD606" i="4"/>
  <c r="AC606" i="4"/>
  <c r="AH606" i="4"/>
  <c r="BG606" i="4"/>
  <c r="AE606" i="4"/>
  <c r="AC578" i="4"/>
  <c r="AB578" i="4"/>
  <c r="AD578" i="4"/>
  <c r="BG578" i="4"/>
  <c r="AE578" i="4"/>
  <c r="AC499" i="4"/>
  <c r="AD499" i="4"/>
  <c r="BG499" i="4"/>
  <c r="AE499" i="4"/>
  <c r="AB499" i="4"/>
  <c r="AC559" i="4"/>
  <c r="BG559" i="4"/>
  <c r="AE559" i="4"/>
  <c r="AD559" i="4"/>
  <c r="AB559" i="4"/>
  <c r="BG536" i="4"/>
  <c r="AE536" i="4"/>
  <c r="AB536" i="4"/>
  <c r="AC536" i="4"/>
  <c r="AD536" i="4"/>
  <c r="AE480" i="4"/>
  <c r="AB480" i="4"/>
  <c r="AD480" i="4"/>
  <c r="AC480" i="4"/>
  <c r="BG480" i="4"/>
  <c r="AB539" i="4"/>
  <c r="AD539" i="4"/>
  <c r="BG539" i="4"/>
  <c r="AC539" i="4"/>
  <c r="AE539" i="4"/>
  <c r="AD483" i="4"/>
  <c r="AF483" i="4"/>
  <c r="AB483" i="4"/>
  <c r="BG483" i="4"/>
  <c r="AC483" i="4"/>
  <c r="AE483" i="4"/>
  <c r="AG483" i="4"/>
  <c r="AE459" i="4"/>
  <c r="AG459" i="4"/>
  <c r="BG459" i="4"/>
  <c r="AC459" i="4"/>
  <c r="AD459" i="4"/>
  <c r="AF459" i="4"/>
  <c r="AB459" i="4"/>
  <c r="AC486" i="4"/>
  <c r="AD486" i="4"/>
  <c r="AF486" i="4"/>
  <c r="AE486" i="4"/>
  <c r="AB486" i="4"/>
  <c r="BG486" i="4"/>
  <c r="BG519" i="4"/>
  <c r="AE519" i="4"/>
  <c r="AC519" i="4"/>
  <c r="AD519" i="4"/>
  <c r="AB519" i="4"/>
  <c r="AE436" i="4"/>
  <c r="BG436" i="4"/>
  <c r="AD436" i="4"/>
  <c r="AC436" i="4"/>
  <c r="AB436" i="4"/>
  <c r="BG435" i="4"/>
  <c r="AC435" i="4"/>
  <c r="AD435" i="4"/>
  <c r="AF435" i="4"/>
  <c r="AE435" i="4"/>
  <c r="AG435" i="4"/>
  <c r="AB435" i="4"/>
  <c r="AC423" i="4"/>
  <c r="BG423" i="4"/>
  <c r="AB423" i="4"/>
  <c r="AD423" i="4"/>
  <c r="AE423" i="4"/>
  <c r="AB357" i="4"/>
  <c r="BG357" i="4"/>
  <c r="AC357" i="4"/>
  <c r="AE357" i="4"/>
  <c r="AD357" i="4"/>
  <c r="AE257" i="4"/>
  <c r="AD257" i="4"/>
  <c r="AB257" i="4"/>
  <c r="BG257" i="4"/>
  <c r="AC257" i="4"/>
  <c r="AC427" i="4"/>
  <c r="AD427" i="4"/>
  <c r="BG427" i="4"/>
  <c r="AB427" i="4"/>
  <c r="AE427" i="4"/>
  <c r="AC365" i="4"/>
  <c r="AE365" i="4"/>
  <c r="AB365" i="4"/>
  <c r="AD365" i="4"/>
  <c r="BG365" i="4"/>
  <c r="AC529" i="4"/>
  <c r="AH529" i="4"/>
  <c r="AE529" i="4"/>
  <c r="AB529" i="4"/>
  <c r="AD529" i="4"/>
  <c r="BG529" i="4"/>
  <c r="BG464" i="4"/>
  <c r="AD464" i="4"/>
  <c r="AC464" i="4"/>
  <c r="AB464" i="4"/>
  <c r="AE464" i="4"/>
  <c r="BG378" i="4"/>
  <c r="AD378" i="4"/>
  <c r="AC378" i="4"/>
  <c r="AE378" i="4"/>
  <c r="AB378" i="4"/>
  <c r="AB241" i="4"/>
  <c r="BG241" i="4"/>
  <c r="AD241" i="4"/>
  <c r="AC241" i="4"/>
  <c r="AE241" i="4"/>
  <c r="AB415" i="4"/>
  <c r="AC415" i="4"/>
  <c r="BG415" i="4"/>
  <c r="AE415" i="4"/>
  <c r="AD415" i="4"/>
  <c r="AD317" i="4"/>
  <c r="AE317" i="4"/>
  <c r="AC317" i="4"/>
  <c r="AB317" i="4"/>
  <c r="BG317" i="4"/>
  <c r="AC243" i="4"/>
  <c r="AE243" i="4"/>
  <c r="BG243" i="4"/>
  <c r="AB243" i="4"/>
  <c r="AD243" i="4"/>
  <c r="AE418" i="4"/>
  <c r="BG418" i="4"/>
  <c r="AD418" i="4"/>
  <c r="AB418" i="4"/>
  <c r="AC418" i="4"/>
  <c r="AC416" i="4"/>
  <c r="AB416" i="4"/>
  <c r="AE416" i="4"/>
  <c r="BG416" i="4"/>
  <c r="AD416" i="4"/>
  <c r="AE308" i="4"/>
  <c r="AD308" i="4"/>
  <c r="BG308" i="4"/>
  <c r="AC308" i="4"/>
  <c r="AB308" i="4"/>
  <c r="BG246" i="4"/>
  <c r="AE246" i="4"/>
  <c r="AC246" i="4"/>
  <c r="AD246" i="4"/>
  <c r="AB246" i="4"/>
  <c r="AD409" i="4"/>
  <c r="AB409" i="4"/>
  <c r="BG409" i="4"/>
  <c r="AC409" i="4"/>
  <c r="AE409" i="4"/>
  <c r="AC389" i="4"/>
  <c r="AD389" i="4"/>
  <c r="BG389" i="4"/>
  <c r="AB389" i="4"/>
  <c r="AE389" i="4"/>
  <c r="AE310" i="4"/>
  <c r="AD310" i="4"/>
  <c r="AC310" i="4"/>
  <c r="BG310" i="4"/>
  <c r="AB310" i="4"/>
  <c r="AC275" i="4"/>
  <c r="AD275" i="4"/>
  <c r="BG275" i="4"/>
  <c r="AB275" i="4"/>
  <c r="AE275" i="4"/>
  <c r="BG352" i="4"/>
  <c r="AC352" i="4"/>
  <c r="AB352" i="4"/>
  <c r="AE352" i="4"/>
  <c r="AD352" i="4"/>
  <c r="AB336" i="4"/>
  <c r="AC336" i="4"/>
  <c r="AE336" i="4"/>
  <c r="AD336" i="4"/>
  <c r="BG336" i="4"/>
  <c r="AB337" i="4"/>
  <c r="AE337" i="4"/>
  <c r="BG337" i="4"/>
  <c r="AC337" i="4"/>
  <c r="AD337" i="4"/>
  <c r="AB320" i="4"/>
  <c r="AE320" i="4"/>
  <c r="AC320" i="4"/>
  <c r="BG320" i="4"/>
  <c r="AD320" i="4"/>
  <c r="AF320" i="4"/>
  <c r="AE261" i="4"/>
  <c r="AB261" i="4"/>
  <c r="AD261" i="4"/>
  <c r="AC261" i="4"/>
  <c r="BG261" i="4"/>
  <c r="AB236" i="4"/>
  <c r="AE236" i="4"/>
  <c r="BG236" i="4"/>
  <c r="AC236" i="4"/>
  <c r="AD236" i="4"/>
  <c r="AE228" i="4"/>
  <c r="AC228" i="4"/>
  <c r="AB228" i="4"/>
  <c r="AD228" i="4"/>
  <c r="BG228" i="4"/>
  <c r="AD289" i="4"/>
  <c r="BG289" i="4"/>
  <c r="AE289" i="4"/>
  <c r="AB289" i="4"/>
  <c r="AC289" i="4"/>
  <c r="AB178" i="4"/>
  <c r="AE178" i="4"/>
  <c r="BG178" i="4"/>
  <c r="AC178" i="4"/>
  <c r="AD178" i="4"/>
  <c r="AD176" i="4"/>
  <c r="AE176" i="4"/>
  <c r="BG176" i="4"/>
  <c r="AC176" i="4"/>
  <c r="AB176" i="4"/>
  <c r="AC152" i="4"/>
  <c r="BG152" i="4"/>
  <c r="AE152" i="4"/>
  <c r="AB152" i="4"/>
  <c r="AD152" i="4"/>
  <c r="AC148" i="4"/>
  <c r="AB148" i="4"/>
  <c r="AE148" i="4"/>
  <c r="BG148" i="4"/>
  <c r="AD148" i="4"/>
  <c r="AD193" i="4"/>
  <c r="AC193" i="4"/>
  <c r="AE193" i="4"/>
  <c r="BG193" i="4"/>
  <c r="AB193" i="4"/>
  <c r="AB145" i="4"/>
  <c r="AC145" i="4"/>
  <c r="BG145" i="4"/>
  <c r="AD145" i="4"/>
  <c r="AE145" i="4"/>
  <c r="AB132" i="4"/>
  <c r="AD132" i="4"/>
  <c r="AE132" i="4"/>
  <c r="BG132" i="4"/>
  <c r="AC132" i="4"/>
  <c r="AE201" i="4"/>
  <c r="AD201" i="4"/>
  <c r="AC201" i="4"/>
  <c r="AB201" i="4"/>
  <c r="BG201" i="4"/>
  <c r="BG181" i="4"/>
  <c r="AD181" i="4"/>
  <c r="AE181" i="4"/>
  <c r="AC181" i="4"/>
  <c r="AB181" i="4"/>
  <c r="AE168" i="4"/>
  <c r="BG168" i="4"/>
  <c r="AC168" i="4"/>
  <c r="AB168" i="4"/>
  <c r="AD168" i="4"/>
  <c r="BG123" i="4"/>
  <c r="AD123" i="4"/>
  <c r="AC123" i="4"/>
  <c r="AB123" i="4"/>
  <c r="AE123" i="4"/>
  <c r="AD659" i="4"/>
  <c r="AE659" i="4"/>
  <c r="AC659" i="4"/>
  <c r="AB659" i="4"/>
  <c r="BG659" i="4"/>
  <c r="AD623" i="4"/>
  <c r="AB623" i="4"/>
  <c r="BG623" i="4"/>
  <c r="AE623" i="4"/>
  <c r="AC623" i="4"/>
  <c r="AC649" i="4"/>
  <c r="AE649" i="4"/>
  <c r="AB649" i="4"/>
  <c r="BG649" i="4"/>
  <c r="AD649" i="4"/>
  <c r="BG587" i="4"/>
  <c r="AC587" i="4"/>
  <c r="AD587" i="4"/>
  <c r="AB587" i="4"/>
  <c r="AE587" i="4"/>
  <c r="AB642" i="4"/>
  <c r="AC642" i="4"/>
  <c r="BG642" i="4"/>
  <c r="AE642" i="4"/>
  <c r="AD642" i="4"/>
  <c r="AC613" i="4"/>
  <c r="AD613" i="4"/>
  <c r="BG613" i="4"/>
  <c r="AE613" i="4"/>
  <c r="AB613" i="4"/>
  <c r="AC583" i="4"/>
  <c r="AB583" i="4"/>
  <c r="BG583" i="4"/>
  <c r="AD583" i="4"/>
  <c r="AE583" i="4"/>
  <c r="AE650" i="4"/>
  <c r="AB650" i="4"/>
  <c r="AD650" i="4"/>
  <c r="BG650" i="4"/>
  <c r="AC650" i="4"/>
  <c r="AC584" i="4"/>
  <c r="AE584" i="4"/>
  <c r="BG584" i="4"/>
  <c r="AD584" i="4"/>
  <c r="AB584" i="4"/>
  <c r="AE660" i="4"/>
  <c r="AD660" i="4"/>
  <c r="AB660" i="4"/>
  <c r="BG660" i="4"/>
  <c r="AC660" i="4"/>
  <c r="BG593" i="4"/>
  <c r="AB593" i="4"/>
  <c r="AC593" i="4"/>
  <c r="AD593" i="4"/>
  <c r="AE593" i="4"/>
  <c r="AC451" i="4"/>
  <c r="BG451" i="4"/>
  <c r="AD451" i="4"/>
  <c r="AE451" i="4"/>
  <c r="AB451" i="4"/>
  <c r="AB543" i="4"/>
  <c r="BG543" i="4"/>
  <c r="AC543" i="4"/>
  <c r="AE543" i="4"/>
  <c r="AD543" i="4"/>
  <c r="AC523" i="4"/>
  <c r="AE523" i="4"/>
  <c r="AD523" i="4"/>
  <c r="BG523" i="4"/>
  <c r="AB523" i="4"/>
  <c r="AD466" i="4"/>
  <c r="BG466" i="4"/>
  <c r="AC466" i="4"/>
  <c r="AB466" i="4"/>
  <c r="AE466" i="4"/>
  <c r="AE604" i="4"/>
  <c r="AC604" i="4"/>
  <c r="AD604" i="4"/>
  <c r="BG604" i="4"/>
  <c r="AB604" i="4"/>
  <c r="AC577" i="4"/>
  <c r="AB577" i="4"/>
  <c r="BG577" i="4"/>
  <c r="AE577" i="4"/>
  <c r="AD577" i="4"/>
  <c r="BG557" i="4"/>
  <c r="AB557" i="4"/>
  <c r="AD557" i="4"/>
  <c r="AC557" i="4"/>
  <c r="AE557" i="4"/>
  <c r="BG471" i="4"/>
  <c r="AC471" i="4"/>
  <c r="AH471" i="4"/>
  <c r="AB471" i="4"/>
  <c r="AE471" i="4"/>
  <c r="AD471" i="4"/>
  <c r="AF471" i="4"/>
  <c r="AC456" i="4"/>
  <c r="AE456" i="4"/>
  <c r="AD456" i="4"/>
  <c r="BG456" i="4"/>
  <c r="AB456" i="4"/>
  <c r="BG537" i="4"/>
  <c r="AC537" i="4"/>
  <c r="AE537" i="4"/>
  <c r="AB537" i="4"/>
  <c r="AD537" i="4"/>
  <c r="BG547" i="4"/>
  <c r="AE547" i="4"/>
  <c r="AD547" i="4"/>
  <c r="AC547" i="4"/>
  <c r="AB547" i="4"/>
  <c r="AB533" i="4"/>
  <c r="AC533" i="4"/>
  <c r="AE533" i="4"/>
  <c r="AD533" i="4"/>
  <c r="BG533" i="4"/>
  <c r="AC506" i="4"/>
  <c r="BG506" i="4"/>
  <c r="AE506" i="4"/>
  <c r="AB506" i="4"/>
  <c r="AD506" i="4"/>
  <c r="AC452" i="4"/>
  <c r="AB452" i="4"/>
  <c r="AE452" i="4"/>
  <c r="BG452" i="4"/>
  <c r="AD452" i="4"/>
  <c r="AD355" i="4"/>
  <c r="AF355" i="4"/>
  <c r="BG355" i="4"/>
  <c r="AE355" i="4"/>
  <c r="AG355" i="4"/>
  <c r="AB355" i="4"/>
  <c r="AC355" i="4"/>
  <c r="AH355" i="4"/>
  <c r="BG235" i="4"/>
  <c r="AD235" i="4"/>
  <c r="AC235" i="4"/>
  <c r="AB235" i="4"/>
  <c r="AE235" i="4"/>
  <c r="BG387" i="4"/>
  <c r="AB387" i="4"/>
  <c r="AC387" i="4"/>
  <c r="AH387" i="4"/>
  <c r="AE387" i="4"/>
  <c r="AG387" i="4"/>
  <c r="AD387" i="4"/>
  <c r="AF387" i="4"/>
  <c r="AC314" i="4"/>
  <c r="AE314" i="4"/>
  <c r="AB314" i="4"/>
  <c r="BG314" i="4"/>
  <c r="AD314" i="4"/>
  <c r="AC527" i="4"/>
  <c r="AE527" i="4"/>
  <c r="AG527" i="4"/>
  <c r="BG527" i="4"/>
  <c r="AB527" i="4"/>
  <c r="AD527" i="4"/>
  <c r="BG507" i="4"/>
  <c r="AE507" i="4"/>
  <c r="AD507" i="4"/>
  <c r="AB507" i="4"/>
  <c r="AC507" i="4"/>
  <c r="AE490" i="4"/>
  <c r="BG490" i="4"/>
  <c r="AC490" i="4"/>
  <c r="AB490" i="4"/>
  <c r="AD490" i="4"/>
  <c r="AB377" i="4"/>
  <c r="AD377" i="4"/>
  <c r="AF377" i="4"/>
  <c r="AE377" i="4"/>
  <c r="AG377" i="4"/>
  <c r="BG377" i="4"/>
  <c r="AC377" i="4"/>
  <c r="AE433" i="4"/>
  <c r="AB433" i="4"/>
  <c r="AC433" i="4"/>
  <c r="BG433" i="4"/>
  <c r="AD433" i="4"/>
  <c r="AC316" i="4"/>
  <c r="AE316" i="4"/>
  <c r="AD316" i="4"/>
  <c r="BG316" i="4"/>
  <c r="AB316" i="4"/>
  <c r="AE239" i="4"/>
  <c r="AG239" i="4"/>
  <c r="AB239" i="4"/>
  <c r="AD239" i="4"/>
  <c r="AF239" i="4"/>
  <c r="BG239" i="4"/>
  <c r="AC239" i="4"/>
  <c r="AH239" i="4"/>
  <c r="AD417" i="4"/>
  <c r="AB417" i="4"/>
  <c r="AC417" i="4"/>
  <c r="AE417" i="4"/>
  <c r="BG417" i="4"/>
  <c r="AC358" i="4"/>
  <c r="AB358" i="4"/>
  <c r="BG358" i="4"/>
  <c r="AD358" i="4"/>
  <c r="AE358" i="4"/>
  <c r="BG410" i="4"/>
  <c r="AE410" i="4"/>
  <c r="AB410" i="4"/>
  <c r="AD410" i="4"/>
  <c r="AF410" i="4"/>
  <c r="AC410" i="4"/>
  <c r="AD345" i="4"/>
  <c r="AE345" i="4"/>
  <c r="AC345" i="4"/>
  <c r="BG345" i="4"/>
  <c r="AB345" i="4"/>
  <c r="AE403" i="4"/>
  <c r="BG403" i="4"/>
  <c r="AB403" i="4"/>
  <c r="AC403" i="4"/>
  <c r="AD403" i="4"/>
  <c r="AB401" i="4"/>
  <c r="BG401" i="4"/>
  <c r="AD401" i="4"/>
  <c r="AC401" i="4"/>
  <c r="AE401" i="4"/>
  <c r="AD371" i="4"/>
  <c r="AF371" i="4"/>
  <c r="AC371" i="4"/>
  <c r="AB371" i="4"/>
  <c r="BG371" i="4"/>
  <c r="AE371" i="4"/>
  <c r="AG371" i="4"/>
  <c r="AE347" i="4"/>
  <c r="BG347" i="4"/>
  <c r="AB347" i="4"/>
  <c r="AC347" i="4"/>
  <c r="AD347" i="4"/>
  <c r="BG300" i="4"/>
  <c r="AB300" i="4"/>
  <c r="AC300" i="4"/>
  <c r="AE300" i="4"/>
  <c r="AD300" i="4"/>
  <c r="AB240" i="4"/>
  <c r="AE240" i="4"/>
  <c r="AC240" i="4"/>
  <c r="BG240" i="4"/>
  <c r="AD240" i="4"/>
  <c r="AD407" i="4"/>
  <c r="AC407" i="4"/>
  <c r="BG407" i="4"/>
  <c r="AB407" i="4"/>
  <c r="AE407" i="4"/>
  <c r="AE329" i="4"/>
  <c r="AB329" i="4"/>
  <c r="BG329" i="4"/>
  <c r="AD329" i="4"/>
  <c r="AF329" i="4"/>
  <c r="AC329" i="4"/>
  <c r="AD309" i="4"/>
  <c r="AE309" i="4"/>
  <c r="AB309" i="4"/>
  <c r="AC309" i="4"/>
  <c r="BG309" i="4"/>
  <c r="AD296" i="4"/>
  <c r="BG296" i="4"/>
  <c r="AC296" i="4"/>
  <c r="AE296" i="4"/>
  <c r="AB296" i="4"/>
  <c r="AC247" i="4"/>
  <c r="AE247" i="4"/>
  <c r="AB247" i="4"/>
  <c r="AD247" i="4"/>
  <c r="BG247" i="4"/>
  <c r="AC350" i="4"/>
  <c r="AB350" i="4"/>
  <c r="AD350" i="4"/>
  <c r="AE350" i="4"/>
  <c r="BG350" i="4"/>
  <c r="AC284" i="4"/>
  <c r="BG284" i="4"/>
  <c r="AB284" i="4"/>
  <c r="AD284" i="4"/>
  <c r="AE284" i="4"/>
  <c r="AD318" i="4"/>
  <c r="AE318" i="4"/>
  <c r="BG318" i="4"/>
  <c r="AC318" i="4"/>
  <c r="AB318" i="4"/>
  <c r="AB268" i="4"/>
  <c r="AD268" i="4"/>
  <c r="BG268" i="4"/>
  <c r="AE268" i="4"/>
  <c r="AC268" i="4"/>
  <c r="AB298" i="4"/>
  <c r="AD298" i="4"/>
  <c r="AC298" i="4"/>
  <c r="BG298" i="4"/>
  <c r="AE298" i="4"/>
  <c r="AE267" i="4"/>
  <c r="AB267" i="4"/>
  <c r="BG267" i="4"/>
  <c r="AD267" i="4"/>
  <c r="AC267" i="4"/>
  <c r="AC251" i="4"/>
  <c r="AD251" i="4"/>
  <c r="AE251" i="4"/>
  <c r="AB251" i="4"/>
  <c r="BG251" i="4"/>
  <c r="AC199" i="4"/>
  <c r="AB199" i="4"/>
  <c r="BG199" i="4"/>
  <c r="AE199" i="4"/>
  <c r="AD199" i="4"/>
  <c r="BG187" i="4"/>
  <c r="AE187" i="4"/>
  <c r="AC187" i="4"/>
  <c r="AD187" i="4"/>
  <c r="AB187" i="4"/>
  <c r="AC157" i="4"/>
  <c r="AB157" i="4"/>
  <c r="AE157" i="4"/>
  <c r="BG157" i="4"/>
  <c r="AD157" i="4"/>
  <c r="AB128" i="4"/>
  <c r="AC128" i="4"/>
  <c r="BG128" i="4"/>
  <c r="AE128" i="4"/>
  <c r="AD128" i="4"/>
  <c r="AD172" i="4"/>
  <c r="BG172" i="4"/>
  <c r="AB172" i="4"/>
  <c r="AE172" i="4"/>
  <c r="AC172" i="4"/>
  <c r="AD206" i="4"/>
  <c r="AC206" i="4"/>
  <c r="AE206" i="4"/>
  <c r="BG206" i="4"/>
  <c r="AB206" i="4"/>
  <c r="AD161" i="4"/>
  <c r="AB161" i="4"/>
  <c r="AC161" i="4"/>
  <c r="BG161" i="4"/>
  <c r="AE161" i="4"/>
  <c r="AE144" i="4"/>
  <c r="AD144" i="4"/>
  <c r="BG144" i="4"/>
  <c r="AC144" i="4"/>
  <c r="AB144" i="4"/>
  <c r="AD127" i="4"/>
  <c r="AB127" i="4"/>
  <c r="BG127" i="4"/>
  <c r="AE127" i="4"/>
  <c r="AC127" i="4"/>
  <c r="AE200" i="4"/>
  <c r="AC200" i="4"/>
  <c r="AD200" i="4"/>
  <c r="BG200" i="4"/>
  <c r="AB200" i="4"/>
  <c r="AC180" i="4"/>
  <c r="AD180" i="4"/>
  <c r="BG180" i="4"/>
  <c r="AB180" i="4"/>
  <c r="AE180" i="4"/>
  <c r="AD167" i="4"/>
  <c r="AE167" i="4"/>
  <c r="AC167" i="4"/>
  <c r="BG167" i="4"/>
  <c r="AB167" i="4"/>
  <c r="BG186" i="4"/>
  <c r="AC186" i="4"/>
  <c r="AE186" i="4"/>
  <c r="AD186" i="4"/>
  <c r="AB186" i="4"/>
  <c r="BG126" i="4"/>
  <c r="AD126" i="4"/>
  <c r="AC126" i="4"/>
  <c r="AB126" i="4"/>
  <c r="AE126" i="4"/>
  <c r="AB615" i="4"/>
  <c r="BG615" i="4"/>
  <c r="AC615" i="4"/>
  <c r="AH615" i="4"/>
  <c r="AE615" i="4"/>
  <c r="AG615" i="4"/>
  <c r="AD615" i="4"/>
  <c r="AF615" i="4"/>
  <c r="AD600" i="4"/>
  <c r="AB600" i="4"/>
  <c r="BG600" i="4"/>
  <c r="AC600" i="4"/>
  <c r="AE600" i="4"/>
  <c r="AB627" i="4"/>
  <c r="AC627" i="4"/>
  <c r="BG627" i="4"/>
  <c r="AD627" i="4"/>
  <c r="AE627" i="4"/>
  <c r="AB612" i="4"/>
  <c r="AD612" i="4"/>
  <c r="AE612" i="4"/>
  <c r="BG612" i="4"/>
  <c r="AC612" i="4"/>
  <c r="AC638" i="4"/>
  <c r="AD638" i="4"/>
  <c r="AB638" i="4"/>
  <c r="BG638" i="4"/>
  <c r="AE638" i="4"/>
  <c r="AB602" i="4"/>
  <c r="AD602" i="4"/>
  <c r="AC602" i="4"/>
  <c r="BG602" i="4"/>
  <c r="AE602" i="4"/>
  <c r="AC582" i="4"/>
  <c r="AD582" i="4"/>
  <c r="AF582" i="4"/>
  <c r="AB582" i="4"/>
  <c r="BG582" i="4"/>
  <c r="AE582" i="4"/>
  <c r="AG582" i="4"/>
  <c r="BG652" i="4"/>
  <c r="AE652" i="4"/>
  <c r="AB652" i="4"/>
  <c r="AC652" i="4"/>
  <c r="AD652" i="4"/>
  <c r="AE633" i="4"/>
  <c r="AC633" i="4"/>
  <c r="BG633" i="4"/>
  <c r="AB633" i="4"/>
  <c r="AD633" i="4"/>
  <c r="AE574" i="4"/>
  <c r="BG574" i="4"/>
  <c r="AB574" i="4"/>
  <c r="AC574" i="4"/>
  <c r="AD574" i="4"/>
  <c r="AE655" i="4"/>
  <c r="AB655" i="4"/>
  <c r="BG655" i="4"/>
  <c r="AC655" i="4"/>
  <c r="AD655" i="4"/>
  <c r="AC598" i="4"/>
  <c r="AD598" i="4"/>
  <c r="AB598" i="4"/>
  <c r="AE598" i="4"/>
  <c r="BG598" i="4"/>
  <c r="BG503" i="4"/>
  <c r="AD503" i="4"/>
  <c r="AB503" i="4"/>
  <c r="AC503" i="4"/>
  <c r="AE503" i="4"/>
  <c r="BG564" i="4"/>
  <c r="AC564" i="4"/>
  <c r="AB564" i="4"/>
  <c r="AD564" i="4"/>
  <c r="AE564" i="4"/>
  <c r="AC522" i="4"/>
  <c r="BG522" i="4"/>
  <c r="AD522" i="4"/>
  <c r="AE522" i="4"/>
  <c r="AB522" i="4"/>
  <c r="AE631" i="4"/>
  <c r="AG631" i="4"/>
  <c r="AB631" i="4"/>
  <c r="AD631" i="4"/>
  <c r="BG631" i="4"/>
  <c r="AC631" i="4"/>
  <c r="AB556" i="4"/>
  <c r="BG556" i="4"/>
  <c r="AE556" i="4"/>
  <c r="AG556" i="4"/>
  <c r="AD556" i="4"/>
  <c r="AF556" i="4"/>
  <c r="AC556" i="4"/>
  <c r="AH556" i="4"/>
  <c r="AE470" i="4"/>
  <c r="AG470" i="4"/>
  <c r="AC470" i="4"/>
  <c r="AH470" i="4"/>
  <c r="AD470" i="4"/>
  <c r="AF470" i="4"/>
  <c r="AB470" i="4"/>
  <c r="BG470" i="4"/>
  <c r="AC532" i="4"/>
  <c r="AE532" i="4"/>
  <c r="AD532" i="4"/>
  <c r="AB532" i="4"/>
  <c r="BG532" i="4"/>
  <c r="AE474" i="4"/>
  <c r="AG474" i="4"/>
  <c r="AB474" i="4"/>
  <c r="AD474" i="4"/>
  <c r="AF474" i="4"/>
  <c r="BG474" i="4"/>
  <c r="AC474" i="4"/>
  <c r="AH474" i="4"/>
  <c r="BG553" i="4"/>
  <c r="AC553" i="4"/>
  <c r="AB553" i="4"/>
  <c r="AD553" i="4"/>
  <c r="AE553" i="4"/>
  <c r="AC531" i="4"/>
  <c r="AE531" i="4"/>
  <c r="AD531" i="4"/>
  <c r="BG531" i="4"/>
  <c r="AB531" i="4"/>
  <c r="AB546" i="4"/>
  <c r="AD546" i="4"/>
  <c r="AE546" i="4"/>
  <c r="AC546" i="4"/>
  <c r="BG546" i="4"/>
  <c r="BG504" i="4"/>
  <c r="AD504" i="4"/>
  <c r="AE504" i="4"/>
  <c r="AB504" i="4"/>
  <c r="AC504" i="4"/>
  <c r="AC476" i="4"/>
  <c r="AE476" i="4"/>
  <c r="AD476" i="4"/>
  <c r="AF476" i="4"/>
  <c r="BG476" i="4"/>
  <c r="AB476" i="4"/>
  <c r="BG448" i="4"/>
  <c r="AC448" i="4"/>
  <c r="AD448" i="4"/>
  <c r="AF448" i="4"/>
  <c r="AB448" i="4"/>
  <c r="AE448" i="4"/>
  <c r="AG448" i="4"/>
  <c r="AC516" i="4"/>
  <c r="AB516" i="4"/>
  <c r="AE516" i="4"/>
  <c r="BG516" i="4"/>
  <c r="AD516" i="4"/>
  <c r="AD482" i="4"/>
  <c r="AE482" i="4"/>
  <c r="BG482" i="4"/>
  <c r="AB482" i="4"/>
  <c r="AC482" i="4"/>
  <c r="AB444" i="4"/>
  <c r="BG444" i="4"/>
  <c r="AC444" i="4"/>
  <c r="AH444" i="4"/>
  <c r="AE444" i="4"/>
  <c r="AD444" i="4"/>
  <c r="AB266" i="4"/>
  <c r="AC266" i="4"/>
  <c r="AD266" i="4"/>
  <c r="BG266" i="4"/>
  <c r="AE266" i="4"/>
  <c r="AC421" i="4"/>
  <c r="AB421" i="4"/>
  <c r="AD421" i="4"/>
  <c r="BG421" i="4"/>
  <c r="AE421" i="4"/>
  <c r="AD234" i="4"/>
  <c r="AC234" i="4"/>
  <c r="BG234" i="4"/>
  <c r="AE234" i="4"/>
  <c r="AB234" i="4"/>
  <c r="AE422" i="4"/>
  <c r="AD422" i="4"/>
  <c r="AB422" i="4"/>
  <c r="BG422" i="4"/>
  <c r="AC422" i="4"/>
  <c r="BG356" i="4"/>
  <c r="AD356" i="4"/>
  <c r="AB356" i="4"/>
  <c r="AE356" i="4"/>
  <c r="AC356" i="4"/>
  <c r="AD297" i="4"/>
  <c r="AB297" i="4"/>
  <c r="AC297" i="4"/>
  <c r="AE297" i="4"/>
  <c r="BG297" i="4"/>
  <c r="AB518" i="4"/>
  <c r="AE518" i="4"/>
  <c r="BG518" i="4"/>
  <c r="AC518" i="4"/>
  <c r="AD518" i="4"/>
  <c r="AD505" i="4"/>
  <c r="AC505" i="4"/>
  <c r="BG505" i="4"/>
  <c r="AB505" i="4"/>
  <c r="AE505" i="4"/>
  <c r="AC376" i="4"/>
  <c r="AB376" i="4"/>
  <c r="AD376" i="4"/>
  <c r="BG376" i="4"/>
  <c r="AE376" i="4"/>
  <c r="BG230" i="4"/>
  <c r="AB230" i="4"/>
  <c r="AC230" i="4"/>
  <c r="AE230" i="4"/>
  <c r="AD230" i="4"/>
  <c r="AD430" i="4"/>
  <c r="AC430" i="4"/>
  <c r="BG430" i="4"/>
  <c r="AE430" i="4"/>
  <c r="AB430" i="4"/>
  <c r="AE413" i="4"/>
  <c r="AC413" i="4"/>
  <c r="AD413" i="4"/>
  <c r="AB413" i="4"/>
  <c r="BG413" i="4"/>
  <c r="AE449" i="4"/>
  <c r="AC449" i="4"/>
  <c r="AD449" i="4"/>
  <c r="BG449" i="4"/>
  <c r="AB449" i="4"/>
  <c r="AC412" i="4"/>
  <c r="AD412" i="4"/>
  <c r="AB412" i="4"/>
  <c r="BG412" i="4"/>
  <c r="AE412" i="4"/>
  <c r="BG408" i="4"/>
  <c r="AC408" i="4"/>
  <c r="AD408" i="4"/>
  <c r="AB408" i="4"/>
  <c r="AE408" i="4"/>
  <c r="AB263" i="4"/>
  <c r="AC263" i="4"/>
  <c r="AE263" i="4"/>
  <c r="BG263" i="4"/>
  <c r="AD263" i="4"/>
  <c r="AB396" i="4"/>
  <c r="AC396" i="4"/>
  <c r="AD396" i="4"/>
  <c r="BG396" i="4"/>
  <c r="AE396" i="4"/>
  <c r="AE375" i="4"/>
  <c r="AC375" i="4"/>
  <c r="BG375" i="4"/>
  <c r="AB375" i="4"/>
  <c r="AD375" i="4"/>
  <c r="AC338" i="4"/>
  <c r="AB338" i="4"/>
  <c r="BG338" i="4"/>
  <c r="AE338" i="4"/>
  <c r="AD338" i="4"/>
  <c r="BG237" i="4"/>
  <c r="AD237" i="4"/>
  <c r="AB237" i="4"/>
  <c r="AC237" i="4"/>
  <c r="AE237" i="4"/>
  <c r="BG384" i="4"/>
  <c r="AC384" i="4"/>
  <c r="AB384" i="4"/>
  <c r="AD384" i="4"/>
  <c r="AE384" i="4"/>
  <c r="AB364" i="4"/>
  <c r="AD364" i="4"/>
  <c r="BG364" i="4"/>
  <c r="AE364" i="4"/>
  <c r="AC364" i="4"/>
  <c r="AD344" i="4"/>
  <c r="AB344" i="4"/>
  <c r="AE344" i="4"/>
  <c r="AC344" i="4"/>
  <c r="AH344" i="4"/>
  <c r="BG344" i="4"/>
  <c r="AC307" i="4"/>
  <c r="BG307" i="4"/>
  <c r="AB307" i="4"/>
  <c r="AD307" i="4"/>
  <c r="AE307" i="4"/>
  <c r="AE244" i="4"/>
  <c r="BG244" i="4"/>
  <c r="AC244" i="4"/>
  <c r="AB244" i="4"/>
  <c r="AD244" i="4"/>
  <c r="AB249" i="4"/>
  <c r="AD249" i="4"/>
  <c r="AC249" i="4"/>
  <c r="AE249" i="4"/>
  <c r="BG249" i="4"/>
  <c r="AE294" i="4"/>
  <c r="AD294" i="4"/>
  <c r="AC294" i="4"/>
  <c r="AB294" i="4"/>
  <c r="BG294" i="4"/>
  <c r="AE229" i="4"/>
  <c r="AB229" i="4"/>
  <c r="AD229" i="4"/>
  <c r="AC229" i="4"/>
  <c r="BG229" i="4"/>
  <c r="AC264" i="4"/>
  <c r="AB264" i="4"/>
  <c r="BG264" i="4"/>
  <c r="AD264" i="4"/>
  <c r="AE264" i="4"/>
  <c r="AB286" i="4"/>
  <c r="BG286" i="4"/>
  <c r="AC286" i="4"/>
  <c r="AD286" i="4"/>
  <c r="AE286" i="4"/>
  <c r="AB196" i="4"/>
  <c r="AC196" i="4"/>
  <c r="BG196" i="4"/>
  <c r="AE196" i="4"/>
  <c r="AD196" i="4"/>
  <c r="BG177" i="4"/>
  <c r="AD177" i="4"/>
  <c r="AE177" i="4"/>
  <c r="AB177" i="4"/>
  <c r="AC177" i="4"/>
  <c r="AB218" i="4"/>
  <c r="AC218" i="4"/>
  <c r="AD218" i="4"/>
  <c r="BG218" i="4"/>
  <c r="AE218" i="4"/>
  <c r="AE170" i="4"/>
  <c r="AD170" i="4"/>
  <c r="AC170" i="4"/>
  <c r="AB170" i="4"/>
  <c r="BG170" i="4"/>
  <c r="AB149" i="4"/>
  <c r="AE149" i="4"/>
  <c r="BG149" i="4"/>
  <c r="AC149" i="4"/>
  <c r="AD149" i="4"/>
  <c r="AD185" i="4"/>
  <c r="AE185" i="4"/>
  <c r="BG185" i="4"/>
  <c r="AB185" i="4"/>
  <c r="AC185" i="4"/>
  <c r="AC215" i="4"/>
  <c r="AE215" i="4"/>
  <c r="AD215" i="4"/>
  <c r="BG215" i="4"/>
  <c r="AB215" i="4"/>
  <c r="AB163" i="4"/>
  <c r="BG163" i="4"/>
  <c r="AD163" i="4"/>
  <c r="AE163" i="4"/>
  <c r="AC163" i="4"/>
  <c r="AD133" i="4"/>
  <c r="BG133" i="4"/>
  <c r="AC133" i="4"/>
  <c r="AB133" i="4"/>
  <c r="AE133" i="4"/>
  <c r="AC203" i="4"/>
  <c r="BG203" i="4"/>
  <c r="AE203" i="4"/>
  <c r="AD203" i="4"/>
  <c r="AB203" i="4"/>
  <c r="BG189" i="4"/>
  <c r="AC189" i="4"/>
  <c r="AE189" i="4"/>
  <c r="AD189" i="4"/>
  <c r="AB189" i="4"/>
  <c r="AD173" i="4"/>
  <c r="AE173" i="4"/>
  <c r="BG173" i="4"/>
  <c r="AC173" i="4"/>
  <c r="AB173" i="4"/>
  <c r="AB143" i="4"/>
  <c r="AC143" i="4"/>
  <c r="AE143" i="4"/>
  <c r="AD143" i="4"/>
  <c r="BG143" i="4"/>
  <c r="AB191" i="4"/>
  <c r="AD191" i="4"/>
  <c r="AE191" i="4"/>
  <c r="AG191" i="4"/>
  <c r="AC191" i="4"/>
  <c r="AH191" i="4"/>
  <c r="BG191" i="4"/>
  <c r="AE164" i="4"/>
  <c r="AD164" i="4"/>
  <c r="AB164" i="4"/>
  <c r="AC164" i="4"/>
  <c r="BG164" i="4"/>
  <c r="BG207" i="4"/>
  <c r="AD207" i="4"/>
  <c r="AC207" i="4"/>
  <c r="AB207" i="4"/>
  <c r="AE207" i="4"/>
  <c r="AG129" i="4"/>
  <c r="BF122" i="4"/>
  <c r="BO122" i="4"/>
  <c r="BP122" i="4"/>
  <c r="AK122" i="4"/>
  <c r="AM122" i="4"/>
  <c r="AL122" i="4"/>
  <c r="BT122" i="4"/>
  <c r="AG121" i="4"/>
  <c r="AF125" i="4"/>
  <c r="AH121" i="4"/>
  <c r="AL129" i="4"/>
  <c r="BF129" i="4"/>
  <c r="BO129" i="4"/>
  <c r="BP129" i="4"/>
  <c r="BT129" i="4"/>
  <c r="AK129" i="4"/>
  <c r="AM129" i="4"/>
  <c r="AM125" i="4"/>
  <c r="AL125" i="4"/>
  <c r="BF125" i="4"/>
  <c r="BO125" i="4"/>
  <c r="BP125" i="4"/>
  <c r="AK125" i="4"/>
  <c r="BT125" i="4"/>
  <c r="AH129" i="4"/>
  <c r="AD120" i="4"/>
  <c r="AC120" i="4"/>
  <c r="AB120" i="4"/>
  <c r="AE120" i="4"/>
  <c r="BG120" i="4"/>
  <c r="T96" i="4"/>
  <c r="T97" i="4"/>
  <c r="AG125" i="4"/>
  <c r="BF121" i="4"/>
  <c r="BO121" i="4"/>
  <c r="BP121" i="4"/>
  <c r="AM121" i="4"/>
  <c r="AL121" i="4"/>
  <c r="BT121" i="4"/>
  <c r="AK121" i="4"/>
  <c r="AH377" i="4"/>
  <c r="AF430" i="4"/>
  <c r="AF518" i="4"/>
  <c r="AF345" i="4"/>
  <c r="AG604" i="4"/>
  <c r="AH132" i="4"/>
  <c r="AG308" i="4"/>
  <c r="AH402" i="4"/>
  <c r="AG544" i="4"/>
  <c r="AG538" i="4"/>
  <c r="AH635" i="4"/>
  <c r="AF120" i="4"/>
  <c r="AG196" i="4"/>
  <c r="AF230" i="4"/>
  <c r="AH518" i="4"/>
  <c r="AI518" i="4"/>
  <c r="AG421" i="4"/>
  <c r="AG167" i="4"/>
  <c r="AG547" i="4"/>
  <c r="AG523" i="4"/>
  <c r="AF181" i="4"/>
  <c r="AF416" i="4"/>
  <c r="AG330" i="4"/>
  <c r="AF216" i="4"/>
  <c r="AF496" i="4"/>
  <c r="AG590" i="4"/>
  <c r="AG124" i="4"/>
  <c r="AG140" i="4"/>
  <c r="AH324" i="4"/>
  <c r="AG362" i="4"/>
  <c r="AF538" i="4"/>
  <c r="AH209" i="4"/>
  <c r="AG571" i="4"/>
  <c r="AG617" i="4"/>
  <c r="AG131" i="4"/>
  <c r="AF174" i="4"/>
  <c r="AF283" i="4"/>
  <c r="AG648" i="4"/>
  <c r="AG296" i="4"/>
  <c r="AH148" i="4"/>
  <c r="AF257" i="4"/>
  <c r="AF596" i="4"/>
  <c r="AH208" i="4"/>
  <c r="AF290" i="4"/>
  <c r="AF304" i="4"/>
  <c r="AF617" i="4"/>
  <c r="AG500" i="4"/>
  <c r="AH648" i="4"/>
  <c r="AG193" i="4"/>
  <c r="AG257" i="4"/>
  <c r="AG596" i="4"/>
  <c r="AG290" i="4"/>
  <c r="AG304" i="4"/>
  <c r="AG120" i="4"/>
  <c r="AI125" i="4"/>
  <c r="AR125" i="4"/>
  <c r="AF164" i="4"/>
  <c r="AG215" i="4"/>
  <c r="AG177" i="4"/>
  <c r="AG430" i="4"/>
  <c r="AF356" i="4"/>
  <c r="AG234" i="4"/>
  <c r="AF144" i="4"/>
  <c r="AG157" i="4"/>
  <c r="AH300" i="4"/>
  <c r="AH417" i="4"/>
  <c r="AG235" i="4"/>
  <c r="AG168" i="4"/>
  <c r="AF236" i="4"/>
  <c r="AH308" i="4"/>
  <c r="AF415" i="4"/>
  <c r="AF357" i="4"/>
  <c r="AG539" i="4"/>
  <c r="AH453" i="4"/>
  <c r="AF562" i="4"/>
  <c r="AH637" i="4"/>
  <c r="AF586" i="4"/>
  <c r="AF589" i="4"/>
  <c r="AH182" i="4"/>
  <c r="AF222" i="4"/>
  <c r="AF270" i="4"/>
  <c r="AI270" i="4"/>
  <c r="AR270" i="4"/>
  <c r="AG278" i="4"/>
  <c r="AH245" i="4"/>
  <c r="AG367" i="4"/>
  <c r="AH458" i="4"/>
  <c r="AF552" i="4"/>
  <c r="AF463" i="4"/>
  <c r="AF551" i="4"/>
  <c r="AF640" i="4"/>
  <c r="AH628" i="4"/>
  <c r="AF153" i="4"/>
  <c r="AF175" i="4"/>
  <c r="AG219" i="4"/>
  <c r="AF291" i="4"/>
  <c r="AH134" i="4"/>
  <c r="AG256" i="4"/>
  <c r="AG351" i="4"/>
  <c r="AF392" i="4"/>
  <c r="AF379" i="4"/>
  <c r="AG442" i="4"/>
  <c r="AF510" i="4"/>
  <c r="AF154" i="4"/>
  <c r="AF151" i="4"/>
  <c r="AG158" i="4"/>
  <c r="AF211" i="4"/>
  <c r="AF643" i="4"/>
  <c r="AF140" i="4"/>
  <c r="AF179" i="4"/>
  <c r="AG217" i="4"/>
  <c r="AG283" i="4"/>
  <c r="AH260" i="4"/>
  <c r="AH306" i="4"/>
  <c r="AF544" i="4"/>
  <c r="AG570" i="4"/>
  <c r="AI570" i="4"/>
  <c r="AF540" i="4"/>
  <c r="AI575" i="4"/>
  <c r="BR575" i="4"/>
  <c r="AG213" i="4"/>
  <c r="AG255" i="4"/>
  <c r="AF258" i="4"/>
  <c r="AH374" i="4"/>
  <c r="AG521" i="4"/>
  <c r="AF658" i="4"/>
  <c r="S106" i="4"/>
  <c r="R106" i="4"/>
  <c r="AF177" i="4"/>
  <c r="AG396" i="4"/>
  <c r="AG266" i="4"/>
  <c r="AG602" i="4"/>
  <c r="AF128" i="4"/>
  <c r="AF193" i="4"/>
  <c r="AF178" i="4"/>
  <c r="AF250" i="4"/>
  <c r="AF620" i="4"/>
  <c r="AG514" i="4"/>
  <c r="AF366" i="4"/>
  <c r="AG164" i="4"/>
  <c r="AH120" i="4"/>
  <c r="AG161" i="4"/>
  <c r="AG128" i="4"/>
  <c r="AH267" i="4"/>
  <c r="AF148" i="4"/>
  <c r="AF289" i="4"/>
  <c r="AG337" i="4"/>
  <c r="AG352" i="4"/>
  <c r="AF150" i="4"/>
  <c r="AG250" i="4"/>
  <c r="AF253" i="4"/>
  <c r="AF348" i="4"/>
  <c r="AH349" i="4"/>
  <c r="AG437" i="4"/>
  <c r="AF468" i="4"/>
  <c r="AG461" i="4"/>
  <c r="AG134" i="4"/>
  <c r="AF443" i="4"/>
  <c r="AF341" i="4"/>
  <c r="AF360" i="4"/>
  <c r="AG359" i="4"/>
  <c r="AG491" i="4"/>
  <c r="AH484" i="4"/>
  <c r="AF160" i="4"/>
  <c r="AH226" i="4"/>
  <c r="AF311" i="4"/>
  <c r="AH238" i="4"/>
  <c r="AG339" i="4"/>
  <c r="AF396" i="4"/>
  <c r="AF267" i="4"/>
  <c r="AG577" i="4"/>
  <c r="AH257" i="4"/>
  <c r="AH596" i="4"/>
  <c r="AG253" i="4"/>
  <c r="AG348" i="4"/>
  <c r="AF439" i="4"/>
  <c r="AF568" i="4"/>
  <c r="AG226" i="4"/>
  <c r="AH266" i="4"/>
  <c r="AG598" i="4"/>
  <c r="AF602" i="4"/>
  <c r="AH161" i="4"/>
  <c r="AH128" i="4"/>
  <c r="AI128" i="4"/>
  <c r="AG407" i="4"/>
  <c r="AG240" i="4"/>
  <c r="AH347" i="4"/>
  <c r="AH507" i="4"/>
  <c r="AG452" i="4"/>
  <c r="AG466" i="4"/>
  <c r="AF168" i="4"/>
  <c r="AG148" i="4"/>
  <c r="AG178" i="4"/>
  <c r="AG365" i="4"/>
  <c r="AH348" i="4"/>
  <c r="AG231" i="4"/>
  <c r="AG349" i="4"/>
  <c r="AG468" i="4"/>
  <c r="AG526" i="4"/>
  <c r="AG620" i="4"/>
  <c r="AF136" i="4"/>
  <c r="AF134" i="4"/>
  <c r="AH443" i="4"/>
  <c r="AG379" i="4"/>
  <c r="AG508" i="4"/>
  <c r="AF454" i="4"/>
  <c r="AH514" i="4"/>
  <c r="AG493" i="4"/>
  <c r="AF567" i="4"/>
  <c r="AF634" i="4"/>
  <c r="AF158" i="4"/>
  <c r="AF484" i="4"/>
  <c r="AG382" i="4"/>
  <c r="AF399" i="4"/>
  <c r="AH227" i="4"/>
  <c r="AH481" i="4"/>
  <c r="AF465" i="4"/>
  <c r="AF524" i="4"/>
  <c r="AF226" i="4"/>
  <c r="AG311" i="4"/>
  <c r="AG601" i="4"/>
  <c r="AG608" i="4"/>
  <c r="R107" i="4"/>
  <c r="T105" i="4"/>
  <c r="BS575" i="4"/>
  <c r="AF652" i="4"/>
  <c r="AG637" i="4"/>
  <c r="AG630" i="4"/>
  <c r="AF171" i="4"/>
  <c r="AF383" i="4"/>
  <c r="AF367" i="4"/>
  <c r="AF189" i="4"/>
  <c r="AF505" i="4"/>
  <c r="AG345" i="4"/>
  <c r="AG613" i="4"/>
  <c r="AH181" i="4"/>
  <c r="AF308" i="4"/>
  <c r="AH243" i="4"/>
  <c r="AF182" i="4"/>
  <c r="AG270" i="4"/>
  <c r="AG383" i="4"/>
  <c r="AG458" i="4"/>
  <c r="AG463" i="4"/>
  <c r="AG216" i="4"/>
  <c r="AG496" i="4"/>
  <c r="AG151" i="4"/>
  <c r="AF535" i="4"/>
  <c r="AF165" i="4"/>
  <c r="AI165" i="4"/>
  <c r="AH140" i="4"/>
  <c r="AI140" i="4"/>
  <c r="AF217" i="4"/>
  <c r="AF260" i="4"/>
  <c r="AF570" i="4"/>
  <c r="AF213" i="4"/>
  <c r="AH517" i="4"/>
  <c r="AH644" i="4"/>
  <c r="AG189" i="4"/>
  <c r="AG133" i="4"/>
  <c r="AG294" i="4"/>
  <c r="AF234" i="4"/>
  <c r="AF531" i="4"/>
  <c r="AG532" i="4"/>
  <c r="AF235" i="4"/>
  <c r="AF547" i="4"/>
  <c r="AF523" i="4"/>
  <c r="AG181" i="4"/>
  <c r="AF124" i="4"/>
  <c r="AH151" i="4"/>
  <c r="AF525" i="4"/>
  <c r="AF563" i="4"/>
  <c r="AG540" i="4"/>
  <c r="AF372" i="4"/>
  <c r="AF517" i="4"/>
  <c r="AI517" i="4"/>
  <c r="AF139" i="4"/>
  <c r="AF458" i="4"/>
  <c r="AF159" i="4"/>
  <c r="AF323" i="4"/>
  <c r="AG554" i="4"/>
  <c r="AH621" i="4"/>
  <c r="AG616" i="4"/>
  <c r="AG400" i="4"/>
  <c r="AH282" i="4"/>
  <c r="AG563" i="4"/>
  <c r="AG230" i="4"/>
  <c r="AH356" i="4"/>
  <c r="AG401" i="4"/>
  <c r="AG639" i="4"/>
  <c r="AG332" i="4"/>
  <c r="AG380" i="4"/>
  <c r="AG306" i="4"/>
  <c r="AG517" i="4"/>
  <c r="AF571" i="4"/>
  <c r="AH196" i="4"/>
  <c r="AF384" i="4"/>
  <c r="AH230" i="4"/>
  <c r="AG505" i="4"/>
  <c r="AG518" i="4"/>
  <c r="AG356" i="4"/>
  <c r="AF421" i="4"/>
  <c r="AG180" i="4"/>
  <c r="AF157" i="4"/>
  <c r="AF300" i="4"/>
  <c r="AF132" i="4"/>
  <c r="AG275" i="4"/>
  <c r="AG416" i="4"/>
  <c r="AF243" i="4"/>
  <c r="AG171" i="4"/>
  <c r="AF224" i="4"/>
  <c r="AH270" i="4"/>
  <c r="AG321" i="4"/>
  <c r="AG245" i="4"/>
  <c r="AG175" i="4"/>
  <c r="AF351" i="4"/>
  <c r="AH380" i="4"/>
  <c r="AH538" i="4"/>
  <c r="AF143" i="4"/>
  <c r="AF173" i="4"/>
  <c r="AH149" i="4"/>
  <c r="AF516" i="4"/>
  <c r="AF655" i="4"/>
  <c r="AG627" i="4"/>
  <c r="AH127" i="4"/>
  <c r="AF199" i="4"/>
  <c r="AF163" i="4"/>
  <c r="AF294" i="4"/>
  <c r="AG237" i="4"/>
  <c r="AH297" i="4"/>
  <c r="AF298" i="4"/>
  <c r="AF413" i="4"/>
  <c r="AF297" i="4"/>
  <c r="AF191" i="4"/>
  <c r="AI191" i="4"/>
  <c r="AG264" i="4"/>
  <c r="AF237" i="4"/>
  <c r="AH413" i="4"/>
  <c r="AG476" i="4"/>
  <c r="AG268" i="4"/>
  <c r="AF318" i="4"/>
  <c r="AF433" i="4"/>
  <c r="AF533" i="4"/>
  <c r="AG557" i="4"/>
  <c r="AH660" i="4"/>
  <c r="AG320" i="4"/>
  <c r="AF336" i="4"/>
  <c r="AG409" i="4"/>
  <c r="AH317" i="4"/>
  <c r="AF529" i="4"/>
  <c r="AF254" i="4"/>
  <c r="AG354" i="4"/>
  <c r="AG443" i="4"/>
  <c r="AG440" i="4"/>
  <c r="AH323" i="4"/>
  <c r="AF508" i="4"/>
  <c r="AF592" i="4"/>
  <c r="AF579" i="4"/>
  <c r="AF616" i="4"/>
  <c r="AF195" i="4"/>
  <c r="AF272" i="4"/>
  <c r="AG341" i="4"/>
  <c r="AF287" i="4"/>
  <c r="AG276" i="4"/>
  <c r="AG279" i="4"/>
  <c r="AH479" i="4"/>
  <c r="AF541" i="4"/>
  <c r="AF491" i="4"/>
  <c r="AH469" i="4"/>
  <c r="AG525" i="4"/>
  <c r="AF511" i="4"/>
  <c r="AG603" i="4"/>
  <c r="AG192" i="4"/>
  <c r="AG324" i="4"/>
  <c r="AF382" i="4"/>
  <c r="AG429" i="4"/>
  <c r="AG282" i="4"/>
  <c r="AG481" i="4"/>
  <c r="AG560" i="4"/>
  <c r="AF197" i="4"/>
  <c r="AG137" i="4"/>
  <c r="AH221" i="4"/>
  <c r="AF339" i="4"/>
  <c r="AF269" i="4"/>
  <c r="AH319" i="4"/>
  <c r="AG404" i="4"/>
  <c r="AG492" i="4"/>
  <c r="AF601" i="4"/>
  <c r="AG647" i="4"/>
  <c r="AG646" i="4"/>
  <c r="AF185" i="4"/>
  <c r="AH170" i="4"/>
  <c r="AF264" i="4"/>
  <c r="AG307" i="4"/>
  <c r="AG413" i="4"/>
  <c r="AH200" i="4"/>
  <c r="AF161" i="4"/>
  <c r="AG187" i="4"/>
  <c r="AG267" i="4"/>
  <c r="AG284" i="4"/>
  <c r="AF543" i="4"/>
  <c r="AH587" i="4"/>
  <c r="AG623" i="4"/>
  <c r="AG336" i="4"/>
  <c r="AF310" i="4"/>
  <c r="AH409" i="4"/>
  <c r="AG317" i="4"/>
  <c r="AG606" i="4"/>
  <c r="AG147" i="4"/>
  <c r="AG194" i="4"/>
  <c r="AG198" i="4"/>
  <c r="AH278" i="4"/>
  <c r="AG411" i="4"/>
  <c r="AF437" i="4"/>
  <c r="AG414" i="4"/>
  <c r="AF461" i="4"/>
  <c r="AF526" i="4"/>
  <c r="AG640" i="4"/>
  <c r="AF569" i="4"/>
  <c r="AH153" i="4"/>
  <c r="AI153" i="4"/>
  <c r="AH354" i="4"/>
  <c r="AF390" i="4"/>
  <c r="AH512" i="4"/>
  <c r="AG342" i="4"/>
  <c r="AG323" i="4"/>
  <c r="AG592" i="4"/>
  <c r="AH579" i="4"/>
  <c r="AG591" i="4"/>
  <c r="AG634" i="4"/>
  <c r="AH279" i="4"/>
  <c r="AF479" i="4"/>
  <c r="AH534" i="4"/>
  <c r="AH515" i="4"/>
  <c r="AF509" i="4"/>
  <c r="AF462" i="4"/>
  <c r="AF605" i="4"/>
  <c r="AG625" i="4"/>
  <c r="AF282" i="4"/>
  <c r="AH465" i="4"/>
  <c r="AF498" i="4"/>
  <c r="AG524" i="4"/>
  <c r="AG169" i="4"/>
  <c r="AF277" i="4"/>
  <c r="AG319" i="4"/>
  <c r="AF280" i="4"/>
  <c r="AG425" i="4"/>
  <c r="AG340" i="4"/>
  <c r="AH268" i="4"/>
  <c r="AG173" i="4"/>
  <c r="AF133" i="4"/>
  <c r="AF215" i="4"/>
  <c r="AF149" i="4"/>
  <c r="AF249" i="4"/>
  <c r="AF307" i="4"/>
  <c r="AH631" i="4"/>
  <c r="AH186" i="4"/>
  <c r="AG200" i="4"/>
  <c r="AG298" i="4"/>
  <c r="AF268" i="4"/>
  <c r="AF284" i="4"/>
  <c r="AH433" i="4"/>
  <c r="AF490" i="4"/>
  <c r="AG507" i="4"/>
  <c r="AI355" i="4"/>
  <c r="AF506" i="4"/>
  <c r="AH533" i="4"/>
  <c r="AF557" i="4"/>
  <c r="AG543" i="4"/>
  <c r="AG123" i="4"/>
  <c r="AF152" i="4"/>
  <c r="AF261" i="4"/>
  <c r="AH336" i="4"/>
  <c r="AG519" i="4"/>
  <c r="AF480" i="4"/>
  <c r="AF499" i="4"/>
  <c r="AG589" i="4"/>
  <c r="AH147" i="4"/>
  <c r="AG223" i="4"/>
  <c r="AG139" i="4"/>
  <c r="AF278" i="4"/>
  <c r="AG420" i="4"/>
  <c r="AF326" i="4"/>
  <c r="AG439" i="4"/>
  <c r="AG501" i="4"/>
  <c r="AG636" i="4"/>
  <c r="AG585" i="4"/>
  <c r="AH640" i="4"/>
  <c r="AG569" i="4"/>
  <c r="AG153" i="4"/>
  <c r="AH256" i="4"/>
  <c r="AF354" i="4"/>
  <c r="AF431" i="4"/>
  <c r="AF442" i="4"/>
  <c r="AG513" i="4"/>
  <c r="AH510" i="4"/>
  <c r="AH520" i="4"/>
  <c r="AG566" i="4"/>
  <c r="AG572" i="4"/>
  <c r="AH616" i="4"/>
  <c r="AH285" i="4"/>
  <c r="AG395" i="4"/>
  <c r="AF373" i="4"/>
  <c r="AF279" i="4"/>
  <c r="AG479" i="4"/>
  <c r="AF534" i="4"/>
  <c r="AF467" i="4"/>
  <c r="AG475" i="4"/>
  <c r="AG511" i="4"/>
  <c r="AF192" i="4"/>
  <c r="AG361" i="4"/>
  <c r="AH381" i="4"/>
  <c r="AG138" i="4"/>
  <c r="AG156" i="4"/>
  <c r="AG197" i="4"/>
  <c r="AH213" i="4"/>
  <c r="AF169" i="4"/>
  <c r="AF232" i="4"/>
  <c r="AG312" i="4"/>
  <c r="AG372" i="4"/>
  <c r="AG374" i="4"/>
  <c r="AG280" i="4"/>
  <c r="AF445" i="4"/>
  <c r="AG658" i="4"/>
  <c r="AH646" i="4"/>
  <c r="AG390" i="4"/>
  <c r="AG419" i="4"/>
  <c r="AH277" i="4"/>
  <c r="AG143" i="4"/>
  <c r="AH215" i="4"/>
  <c r="AG449" i="4"/>
  <c r="AG376" i="4"/>
  <c r="AG297" i="4"/>
  <c r="AI297" i="4"/>
  <c r="AF631" i="4"/>
  <c r="AF627" i="4"/>
  <c r="AG144" i="4"/>
  <c r="AF247" i="4"/>
  <c r="AF527" i="4"/>
  <c r="AG471" i="4"/>
  <c r="AI471" i="4"/>
  <c r="AJ471" i="4"/>
  <c r="AH236" i="4"/>
  <c r="AG261" i="4"/>
  <c r="AF352" i="4"/>
  <c r="AF275" i="4"/>
  <c r="AF409" i="4"/>
  <c r="AH418" i="4"/>
  <c r="AG243" i="4"/>
  <c r="AG415" i="4"/>
  <c r="AG357" i="4"/>
  <c r="AH539" i="4"/>
  <c r="AG578" i="4"/>
  <c r="AF606" i="4"/>
  <c r="AF453" i="4"/>
  <c r="AF550" i="4"/>
  <c r="AG222" i="4"/>
  <c r="AF349" i="4"/>
  <c r="AG326" i="4"/>
  <c r="AG552" i="4"/>
  <c r="AF636" i="4"/>
  <c r="AF628" i="4"/>
  <c r="AF256" i="4"/>
  <c r="AH392" i="4"/>
  <c r="AH379" i="4"/>
  <c r="AG520" i="4"/>
  <c r="AH567" i="4"/>
  <c r="AF621" i="4"/>
  <c r="AF572" i="4"/>
  <c r="AG373" i="4"/>
  <c r="AG515" i="4"/>
  <c r="AF597" i="4"/>
  <c r="AF610" i="4"/>
  <c r="AG643" i="4"/>
  <c r="AG629" i="4"/>
  <c r="AF190" i="4"/>
  <c r="AH217" i="4"/>
  <c r="AG260" i="4"/>
  <c r="AH361" i="4"/>
  <c r="AG381" i="4"/>
  <c r="AG632" i="4"/>
  <c r="AF141" i="4"/>
  <c r="AG238" i="4"/>
  <c r="AG269" i="4"/>
  <c r="AG258" i="4"/>
  <c r="AG273" i="4"/>
  <c r="AH654" i="4"/>
  <c r="AF123" i="4"/>
  <c r="AF464" i="4"/>
  <c r="AF214" i="4"/>
  <c r="AH198" i="4"/>
  <c r="AH301" i="4"/>
  <c r="AG225" i="4"/>
  <c r="AF299" i="4"/>
  <c r="AF501" i="4"/>
  <c r="AG551" i="4"/>
  <c r="AG628" i="4"/>
  <c r="AG327" i="4"/>
  <c r="AG392" i="4"/>
  <c r="AF285" i="4"/>
  <c r="AG534" i="4"/>
  <c r="AF515" i="4"/>
  <c r="AG190" i="4"/>
  <c r="AG221" i="4"/>
  <c r="AF130" i="4"/>
  <c r="AF608" i="4"/>
  <c r="AG316" i="4"/>
  <c r="AG490" i="4"/>
  <c r="AG587" i="4"/>
  <c r="AH145" i="4"/>
  <c r="AH152" i="4"/>
  <c r="AG236" i="4"/>
  <c r="AH415" i="4"/>
  <c r="AG486" i="4"/>
  <c r="AG285" i="4"/>
  <c r="AF385" i="4"/>
  <c r="AG467" i="4"/>
  <c r="AH511" i="4"/>
  <c r="AF381" i="4"/>
  <c r="AI538" i="4"/>
  <c r="AJ538" i="4"/>
  <c r="AF221" i="4"/>
  <c r="AF212" i="4"/>
  <c r="AG130" i="4"/>
  <c r="AG406" i="4"/>
  <c r="BF364" i="4"/>
  <c r="BO364" i="4"/>
  <c r="BP364" i="4"/>
  <c r="AK364" i="4"/>
  <c r="BT364" i="4"/>
  <c r="AM364" i="4"/>
  <c r="AL364" i="4"/>
  <c r="AL203" i="4"/>
  <c r="AM203" i="4"/>
  <c r="AK203" i="4"/>
  <c r="BF203" i="4"/>
  <c r="BO203" i="4"/>
  <c r="BP203" i="4"/>
  <c r="BT203" i="4"/>
  <c r="AK229" i="4"/>
  <c r="AM229" i="4"/>
  <c r="BF229" i="4"/>
  <c r="BO229" i="4"/>
  <c r="BP229" i="4"/>
  <c r="AL229" i="4"/>
  <c r="BT229" i="4"/>
  <c r="AF389" i="4"/>
  <c r="AH389" i="4"/>
  <c r="AM389" i="4"/>
  <c r="AL389" i="4"/>
  <c r="BF389" i="4"/>
  <c r="BO389" i="4"/>
  <c r="BP389" i="4"/>
  <c r="BT389" i="4"/>
  <c r="AK389" i="4"/>
  <c r="AK241" i="4"/>
  <c r="AM241" i="4"/>
  <c r="BT241" i="4"/>
  <c r="AL241" i="4"/>
  <c r="BF241" i="4"/>
  <c r="BO241" i="4"/>
  <c r="BP241" i="4"/>
  <c r="AL263" i="4"/>
  <c r="AK263" i="4"/>
  <c r="BF263" i="4"/>
  <c r="BO263" i="4"/>
  <c r="BP263" i="4"/>
  <c r="BT263" i="4"/>
  <c r="AM263" i="4"/>
  <c r="BF412" i="4"/>
  <c r="BO412" i="4"/>
  <c r="BP412" i="4"/>
  <c r="AL412" i="4"/>
  <c r="AM412" i="4"/>
  <c r="AK412" i="4"/>
  <c r="AH412" i="4"/>
  <c r="BT412" i="4"/>
  <c r="AG218" i="4"/>
  <c r="AG286" i="4"/>
  <c r="AK264" i="4"/>
  <c r="BT264" i="4"/>
  <c r="AM264" i="4"/>
  <c r="BF264" i="4"/>
  <c r="BO264" i="4"/>
  <c r="BP264" i="4"/>
  <c r="AL264" i="4"/>
  <c r="AF344" i="4"/>
  <c r="BF384" i="4"/>
  <c r="BO384" i="4"/>
  <c r="BP384" i="4"/>
  <c r="AK384" i="4"/>
  <c r="AL384" i="4"/>
  <c r="BT384" i="4"/>
  <c r="AM384" i="4"/>
  <c r="AF408" i="4"/>
  <c r="AH449" i="4"/>
  <c r="AL449" i="4"/>
  <c r="BF449" i="4"/>
  <c r="BO449" i="4"/>
  <c r="BP449" i="4"/>
  <c r="BT449" i="4"/>
  <c r="AK449" i="4"/>
  <c r="AM449" i="4"/>
  <c r="BF309" i="4"/>
  <c r="BO309" i="4"/>
  <c r="BP309" i="4"/>
  <c r="AK309" i="4"/>
  <c r="AM309" i="4"/>
  <c r="AL309" i="4"/>
  <c r="BT309" i="4"/>
  <c r="BF403" i="4"/>
  <c r="BO403" i="4"/>
  <c r="BP403" i="4"/>
  <c r="AM403" i="4"/>
  <c r="AL403" i="4"/>
  <c r="AK403" i="4"/>
  <c r="BT403" i="4"/>
  <c r="AM358" i="4"/>
  <c r="AK358" i="4"/>
  <c r="AL358" i="4"/>
  <c r="BT358" i="4"/>
  <c r="BF358" i="4"/>
  <c r="BO358" i="4"/>
  <c r="BP358" i="4"/>
  <c r="AG451" i="4"/>
  <c r="BF143" i="4"/>
  <c r="BO143" i="4"/>
  <c r="BP143" i="4"/>
  <c r="AL143" i="4"/>
  <c r="AK143" i="4"/>
  <c r="AM143" i="4"/>
  <c r="BT143" i="4"/>
  <c r="AH203" i="4"/>
  <c r="AH185" i="4"/>
  <c r="AG149" i="4"/>
  <c r="AF286" i="4"/>
  <c r="AH264" i="4"/>
  <c r="AI264" i="4"/>
  <c r="AF350" i="4"/>
  <c r="BT296" i="4"/>
  <c r="AM296" i="4"/>
  <c r="AL296" i="4"/>
  <c r="BF296" i="4"/>
  <c r="BO296" i="4"/>
  <c r="BP296" i="4"/>
  <c r="AK296" i="4"/>
  <c r="AG309" i="4"/>
  <c r="BF407" i="4"/>
  <c r="BO407" i="4"/>
  <c r="BP407" i="4"/>
  <c r="BT407" i="4"/>
  <c r="AL407" i="4"/>
  <c r="AM407" i="4"/>
  <c r="AH407" i="4"/>
  <c r="AK407" i="4"/>
  <c r="AK240" i="4"/>
  <c r="AL240" i="4"/>
  <c r="BT240" i="4"/>
  <c r="BF240" i="4"/>
  <c r="BO240" i="4"/>
  <c r="BP240" i="4"/>
  <c r="AM240" i="4"/>
  <c r="BT347" i="4"/>
  <c r="AK347" i="4"/>
  <c r="BF347" i="4"/>
  <c r="BO347" i="4"/>
  <c r="BP347" i="4"/>
  <c r="AM347" i="4"/>
  <c r="AL347" i="4"/>
  <c r="AH358" i="4"/>
  <c r="AK185" i="4"/>
  <c r="BF185" i="4"/>
  <c r="BO185" i="4"/>
  <c r="BP185" i="4"/>
  <c r="AM185" i="4"/>
  <c r="AL185" i="4"/>
  <c r="BT185" i="4"/>
  <c r="BT149" i="4"/>
  <c r="AK149" i="4"/>
  <c r="AL149" i="4"/>
  <c r="AM149" i="4"/>
  <c r="BF149" i="4"/>
  <c r="BO149" i="4"/>
  <c r="BP149" i="4"/>
  <c r="AK172" i="4"/>
  <c r="BT172" i="4"/>
  <c r="AM172" i="4"/>
  <c r="BF172" i="4"/>
  <c r="BO172" i="4"/>
  <c r="BP172" i="4"/>
  <c r="AL172" i="4"/>
  <c r="BF251" i="4"/>
  <c r="BO251" i="4"/>
  <c r="BP251" i="4"/>
  <c r="AM251" i="4"/>
  <c r="AL251" i="4"/>
  <c r="AK251" i="4"/>
  <c r="AH251" i="4"/>
  <c r="BT251" i="4"/>
  <c r="AH350" i="4"/>
  <c r="AM350" i="4"/>
  <c r="AK350" i="4"/>
  <c r="BF350" i="4"/>
  <c r="BO350" i="4"/>
  <c r="BP350" i="4"/>
  <c r="BT350" i="4"/>
  <c r="AL350" i="4"/>
  <c r="AH229" i="4"/>
  <c r="AM244" i="4"/>
  <c r="BF244" i="4"/>
  <c r="BO244" i="4"/>
  <c r="BP244" i="4"/>
  <c r="AH244" i="4"/>
  <c r="AK244" i="4"/>
  <c r="BT244" i="4"/>
  <c r="AL244" i="4"/>
  <c r="AG263" i="4"/>
  <c r="AG412" i="4"/>
  <c r="AF546" i="4"/>
  <c r="AF553" i="4"/>
  <c r="AH503" i="4"/>
  <c r="AK574" i="4"/>
  <c r="BF574" i="4"/>
  <c r="BO574" i="4"/>
  <c r="BP574" i="4"/>
  <c r="BT574" i="4"/>
  <c r="AM574" i="4"/>
  <c r="AL574" i="4"/>
  <c r="AH574" i="4"/>
  <c r="AK612" i="4"/>
  <c r="AM612" i="4"/>
  <c r="AL612" i="4"/>
  <c r="BT612" i="4"/>
  <c r="BF612" i="4"/>
  <c r="BO612" i="4"/>
  <c r="BP612" i="4"/>
  <c r="AG126" i="4"/>
  <c r="AM180" i="4"/>
  <c r="BT180" i="4"/>
  <c r="AL180" i="4"/>
  <c r="BF180" i="4"/>
  <c r="BO180" i="4"/>
  <c r="BP180" i="4"/>
  <c r="AK180" i="4"/>
  <c r="BT206" i="4"/>
  <c r="BF206" i="4"/>
  <c r="BO206" i="4"/>
  <c r="BP206" i="4"/>
  <c r="AL206" i="4"/>
  <c r="AK206" i="4"/>
  <c r="AM206" i="4"/>
  <c r="AG251" i="4"/>
  <c r="AH427" i="4"/>
  <c r="AM427" i="4"/>
  <c r="AK427" i="4"/>
  <c r="BT427" i="4"/>
  <c r="BF427" i="4"/>
  <c r="BO427" i="4"/>
  <c r="BP427" i="4"/>
  <c r="AL427" i="4"/>
  <c r="AM423" i="4"/>
  <c r="AL423" i="4"/>
  <c r="AK423" i="4"/>
  <c r="AH423" i="4"/>
  <c r="BF423" i="4"/>
  <c r="BO423" i="4"/>
  <c r="BP423" i="4"/>
  <c r="BT423" i="4"/>
  <c r="BT436" i="4"/>
  <c r="AM436" i="4"/>
  <c r="AL436" i="4"/>
  <c r="AK436" i="4"/>
  <c r="BF436" i="4"/>
  <c r="BO436" i="4"/>
  <c r="BP436" i="4"/>
  <c r="AH436" i="4"/>
  <c r="AK559" i="4"/>
  <c r="AM559" i="4"/>
  <c r="AL559" i="4"/>
  <c r="BT559" i="4"/>
  <c r="BF559" i="4"/>
  <c r="BO559" i="4"/>
  <c r="BP559" i="4"/>
  <c r="AK170" i="4"/>
  <c r="BT170" i="4"/>
  <c r="AM170" i="4"/>
  <c r="AL170" i="4"/>
  <c r="BF170" i="4"/>
  <c r="BO170" i="4"/>
  <c r="BP170" i="4"/>
  <c r="AH218" i="4"/>
  <c r="AM218" i="4"/>
  <c r="AL218" i="4"/>
  <c r="BF218" i="4"/>
  <c r="BO218" i="4"/>
  <c r="BP218" i="4"/>
  <c r="AK218" i="4"/>
  <c r="BT218" i="4"/>
  <c r="AM286" i="4"/>
  <c r="BF286" i="4"/>
  <c r="BO286" i="4"/>
  <c r="BP286" i="4"/>
  <c r="BT286" i="4"/>
  <c r="AK286" i="4"/>
  <c r="AL286" i="4"/>
  <c r="AF229" i="4"/>
  <c r="AF364" i="4"/>
  <c r="AK338" i="4"/>
  <c r="AH338" i="4"/>
  <c r="BT338" i="4"/>
  <c r="AL338" i="4"/>
  <c r="AM338" i="4"/>
  <c r="BF338" i="4"/>
  <c r="BO338" i="4"/>
  <c r="BP338" i="4"/>
  <c r="AH263" i="4"/>
  <c r="AH504" i="4"/>
  <c r="BF504" i="4"/>
  <c r="BO504" i="4"/>
  <c r="BP504" i="4"/>
  <c r="BT504" i="4"/>
  <c r="AK504" i="4"/>
  <c r="AM504" i="4"/>
  <c r="AL504" i="4"/>
  <c r="BF546" i="4"/>
  <c r="BO546" i="4"/>
  <c r="BP546" i="4"/>
  <c r="AL546" i="4"/>
  <c r="AK546" i="4"/>
  <c r="BT546" i="4"/>
  <c r="AM546" i="4"/>
  <c r="AK553" i="4"/>
  <c r="BT553" i="4"/>
  <c r="AH553" i="4"/>
  <c r="BF553" i="4"/>
  <c r="AM553" i="4"/>
  <c r="AL553" i="4"/>
  <c r="BT503" i="4"/>
  <c r="AM503" i="4"/>
  <c r="BF503" i="4"/>
  <c r="BO503" i="4"/>
  <c r="BP503" i="4"/>
  <c r="AK503" i="4"/>
  <c r="AL503" i="4"/>
  <c r="AL638" i="4"/>
  <c r="AM638" i="4"/>
  <c r="BF638" i="4"/>
  <c r="BO638" i="4"/>
  <c r="BP638" i="4"/>
  <c r="AK638" i="4"/>
  <c r="BT638" i="4"/>
  <c r="AL600" i="4"/>
  <c r="AH600" i="4"/>
  <c r="BT600" i="4"/>
  <c r="AK600" i="4"/>
  <c r="BF600" i="4"/>
  <c r="BO600" i="4"/>
  <c r="BP600" i="4"/>
  <c r="AM600" i="4"/>
  <c r="AK126" i="4"/>
  <c r="BT126" i="4"/>
  <c r="BF126" i="4"/>
  <c r="BO126" i="4"/>
  <c r="BP126" i="4"/>
  <c r="AM126" i="4"/>
  <c r="AH126" i="4"/>
  <c r="AL126" i="4"/>
  <c r="AG207" i="4"/>
  <c r="AF203" i="4"/>
  <c r="AF170" i="4"/>
  <c r="AK584" i="4"/>
  <c r="AM584" i="4"/>
  <c r="BF584" i="4"/>
  <c r="BO584" i="4"/>
  <c r="BP584" i="4"/>
  <c r="BT584" i="4"/>
  <c r="AL584" i="4"/>
  <c r="AH584" i="4"/>
  <c r="AG650" i="4"/>
  <c r="BF650" i="4"/>
  <c r="BO650" i="4"/>
  <c r="BP650" i="4"/>
  <c r="AK650" i="4"/>
  <c r="AH650" i="4"/>
  <c r="AM650" i="4"/>
  <c r="AL650" i="4"/>
  <c r="BT650" i="4"/>
  <c r="AK642" i="4"/>
  <c r="AL642" i="4"/>
  <c r="BF642" i="4"/>
  <c r="BO642" i="4"/>
  <c r="BP642" i="4"/>
  <c r="BT642" i="4"/>
  <c r="AH642" i="4"/>
  <c r="AM642" i="4"/>
  <c r="BF649" i="4"/>
  <c r="BO649" i="4"/>
  <c r="BP649" i="4"/>
  <c r="AM649" i="4"/>
  <c r="AL649" i="4"/>
  <c r="BT649" i="4"/>
  <c r="AK649" i="4"/>
  <c r="AK207" i="4"/>
  <c r="AH207" i="4"/>
  <c r="AL207" i="4"/>
  <c r="BT207" i="4"/>
  <c r="BF207" i="4"/>
  <c r="BO207" i="4"/>
  <c r="BP207" i="4"/>
  <c r="AM207" i="4"/>
  <c r="AG203" i="4"/>
  <c r="BF344" i="4"/>
  <c r="BO344" i="4"/>
  <c r="BP344" i="4"/>
  <c r="AK344" i="4"/>
  <c r="BT344" i="4"/>
  <c r="AM344" i="4"/>
  <c r="AL344" i="4"/>
  <c r="AL375" i="4"/>
  <c r="BF375" i="4"/>
  <c r="BO375" i="4"/>
  <c r="BP375" i="4"/>
  <c r="AK375" i="4"/>
  <c r="AM375" i="4"/>
  <c r="BT375" i="4"/>
  <c r="AH375" i="4"/>
  <c r="BF396" i="4"/>
  <c r="BO396" i="4"/>
  <c r="BP396" i="4"/>
  <c r="BT396" i="4"/>
  <c r="AL396" i="4"/>
  <c r="AK396" i="4"/>
  <c r="AM396" i="4"/>
  <c r="AL408" i="4"/>
  <c r="AK408" i="4"/>
  <c r="BF408" i="4"/>
  <c r="BO408" i="4"/>
  <c r="BP408" i="4"/>
  <c r="BT408" i="4"/>
  <c r="AM408" i="4"/>
  <c r="BF376" i="4"/>
  <c r="BO376" i="4"/>
  <c r="BP376" i="4"/>
  <c r="AM376" i="4"/>
  <c r="AL376" i="4"/>
  <c r="BT376" i="4"/>
  <c r="AK376" i="4"/>
  <c r="AH422" i="4"/>
  <c r="AM422" i="4"/>
  <c r="BT422" i="4"/>
  <c r="AL422" i="4"/>
  <c r="BF422" i="4"/>
  <c r="BO422" i="4"/>
  <c r="BP422" i="4"/>
  <c r="AK422" i="4"/>
  <c r="AG482" i="4"/>
  <c r="AH482" i="4"/>
  <c r="AL482" i="4"/>
  <c r="AM482" i="4"/>
  <c r="BT482" i="4"/>
  <c r="BF482" i="4"/>
  <c r="BO482" i="4"/>
  <c r="BP482" i="4"/>
  <c r="AK482" i="4"/>
  <c r="AL516" i="4"/>
  <c r="BF516" i="4"/>
  <c r="BO516" i="4"/>
  <c r="BP516" i="4"/>
  <c r="AK516" i="4"/>
  <c r="AM516" i="4"/>
  <c r="BT516" i="4"/>
  <c r="AI239" i="4"/>
  <c r="AQ239" i="4"/>
  <c r="AM456" i="4"/>
  <c r="BF456" i="4"/>
  <c r="BO456" i="4"/>
  <c r="BP456" i="4"/>
  <c r="AK456" i="4"/>
  <c r="AL456" i="4"/>
  <c r="BT456" i="4"/>
  <c r="AH456" i="4"/>
  <c r="AH451" i="4"/>
  <c r="BF451" i="4"/>
  <c r="BO451" i="4"/>
  <c r="BP451" i="4"/>
  <c r="BT451" i="4"/>
  <c r="AL451" i="4"/>
  <c r="AM451" i="4"/>
  <c r="AK451" i="4"/>
  <c r="BF593" i="4"/>
  <c r="BO593" i="4"/>
  <c r="BP593" i="4"/>
  <c r="AK593" i="4"/>
  <c r="AL593" i="4"/>
  <c r="AM593" i="4"/>
  <c r="BT593" i="4"/>
  <c r="AH593" i="4"/>
  <c r="AF584" i="4"/>
  <c r="AG649" i="4"/>
  <c r="AK659" i="4"/>
  <c r="AM659" i="4"/>
  <c r="AL659" i="4"/>
  <c r="BF659" i="4"/>
  <c r="BO659" i="4"/>
  <c r="BP659" i="4"/>
  <c r="BT659" i="4"/>
  <c r="AG588" i="4"/>
  <c r="AH618" i="4"/>
  <c r="BF618" i="4"/>
  <c r="BO618" i="4"/>
  <c r="BP618" i="4"/>
  <c r="AM618" i="4"/>
  <c r="AK618" i="4"/>
  <c r="AL618" i="4"/>
  <c r="BT618" i="4"/>
  <c r="AG214" i="4"/>
  <c r="AH135" i="4"/>
  <c r="AF194" i="4"/>
  <c r="AG208" i="4"/>
  <c r="AG204" i="4"/>
  <c r="AH224" i="4"/>
  <c r="BF290" i="4"/>
  <c r="BO290" i="4"/>
  <c r="BP290" i="4"/>
  <c r="AM290" i="4"/>
  <c r="BT290" i="4"/>
  <c r="AL290" i="4"/>
  <c r="AK290" i="4"/>
  <c r="AH290" i="4"/>
  <c r="AI290" i="4"/>
  <c r="AJ290" i="4"/>
  <c r="AG301" i="4"/>
  <c r="AH139" i="4"/>
  <c r="AM250" i="4"/>
  <c r="BT250" i="4"/>
  <c r="AL250" i="4"/>
  <c r="AH250" i="4"/>
  <c r="BF250" i="4"/>
  <c r="BO250" i="4"/>
  <c r="BP250" i="4"/>
  <c r="AK250" i="4"/>
  <c r="AH253" i="4"/>
  <c r="AL253" i="4"/>
  <c r="AM253" i="4"/>
  <c r="BT253" i="4"/>
  <c r="BF253" i="4"/>
  <c r="BO253" i="4"/>
  <c r="BP253" i="4"/>
  <c r="AK253" i="4"/>
  <c r="AF248" i="4"/>
  <c r="BT304" i="4"/>
  <c r="AL304" i="4"/>
  <c r="AK304" i="4"/>
  <c r="BF304" i="4"/>
  <c r="BO304" i="4"/>
  <c r="BP304" i="4"/>
  <c r="AM304" i="4"/>
  <c r="AH304" i="4"/>
  <c r="AI304" i="4"/>
  <c r="AJ304" i="4"/>
  <c r="BT348" i="4"/>
  <c r="AL348" i="4"/>
  <c r="AM348" i="4"/>
  <c r="AK348" i="4"/>
  <c r="BF348" i="4"/>
  <c r="BO348" i="4"/>
  <c r="BP348" i="4"/>
  <c r="AF405" i="4"/>
  <c r="AF231" i="4"/>
  <c r="AG441" i="4"/>
  <c r="AF245" i="4"/>
  <c r="AI245" i="4"/>
  <c r="AH437" i="4"/>
  <c r="AF414" i="4"/>
  <c r="AH439" i="4"/>
  <c r="AL439" i="4"/>
  <c r="AM439" i="4"/>
  <c r="BT439" i="4"/>
  <c r="BF439" i="4"/>
  <c r="BO439" i="4"/>
  <c r="BP439" i="4"/>
  <c r="AK439" i="4"/>
  <c r="AM552" i="4"/>
  <c r="AH552" i="4"/>
  <c r="BT552" i="4"/>
  <c r="AK552" i="4"/>
  <c r="BF552" i="4"/>
  <c r="BO552" i="4"/>
  <c r="BP552" i="4"/>
  <c r="AL552" i="4"/>
  <c r="AH545" i="4"/>
  <c r="AH561" i="4"/>
  <c r="AG488" i="4"/>
  <c r="AH607" i="4"/>
  <c r="AF585" i="4"/>
  <c r="BF620" i="4"/>
  <c r="BO620" i="4"/>
  <c r="BP620" i="4"/>
  <c r="AL620" i="4"/>
  <c r="AH620" i="4"/>
  <c r="AM620" i="4"/>
  <c r="AK620" i="4"/>
  <c r="BT620" i="4"/>
  <c r="AL628" i="4"/>
  <c r="AK628" i="4"/>
  <c r="BT628" i="4"/>
  <c r="AM628" i="4"/>
  <c r="BF628" i="4"/>
  <c r="BO628" i="4"/>
  <c r="BP628" i="4"/>
  <c r="AF622" i="4"/>
  <c r="AG183" i="4"/>
  <c r="AG166" i="4"/>
  <c r="AG303" i="4"/>
  <c r="BF134" i="4"/>
  <c r="BO134" i="4"/>
  <c r="BP134" i="4"/>
  <c r="BT134" i="4"/>
  <c r="AM134" i="4"/>
  <c r="AK134" i="4"/>
  <c r="AL134" i="4"/>
  <c r="AF327" i="4"/>
  <c r="AM256" i="4"/>
  <c r="AK256" i="4"/>
  <c r="BF256" i="4"/>
  <c r="BO256" i="4"/>
  <c r="BP256" i="4"/>
  <c r="AL256" i="4"/>
  <c r="BT256" i="4"/>
  <c r="AF332" i="4"/>
  <c r="AG393" i="4"/>
  <c r="AH313" i="4"/>
  <c r="AM443" i="4"/>
  <c r="AL443" i="4"/>
  <c r="BT443" i="4"/>
  <c r="BF443" i="4"/>
  <c r="BO443" i="4"/>
  <c r="BP443" i="4"/>
  <c r="AK443" i="4"/>
  <c r="AF440" i="4"/>
  <c r="BT379" i="4"/>
  <c r="AL379" i="4"/>
  <c r="AK379" i="4"/>
  <c r="AM379" i="4"/>
  <c r="BF379" i="4"/>
  <c r="BO379" i="4"/>
  <c r="BP379" i="4"/>
  <c r="AG271" i="4"/>
  <c r="AG388" i="4"/>
  <c r="AF342" i="4"/>
  <c r="AH442" i="4"/>
  <c r="AH454" i="4"/>
  <c r="AG510" i="4"/>
  <c r="AM520" i="4"/>
  <c r="AK520" i="4"/>
  <c r="BT520" i="4"/>
  <c r="AL520" i="4"/>
  <c r="BF520" i="4"/>
  <c r="BO520" i="4"/>
  <c r="BP520" i="4"/>
  <c r="AG567" i="4"/>
  <c r="AG579" i="4"/>
  <c r="AF657" i="4"/>
  <c r="AK124" i="4"/>
  <c r="AL124" i="4"/>
  <c r="AH124" i="4"/>
  <c r="AI124" i="4"/>
  <c r="AJ124" i="4"/>
  <c r="BT124" i="4"/>
  <c r="AM124" i="4"/>
  <c r="BF124" i="4"/>
  <c r="BO124" i="4"/>
  <c r="BP124" i="4"/>
  <c r="AG154" i="4"/>
  <c r="AK151" i="4"/>
  <c r="BT151" i="4"/>
  <c r="BF151" i="4"/>
  <c r="BO151" i="4"/>
  <c r="BP151" i="4"/>
  <c r="AL151" i="4"/>
  <c r="AM151" i="4"/>
  <c r="AG195" i="4"/>
  <c r="AF220" i="4"/>
  <c r="AM285" i="4"/>
  <c r="AL285" i="4"/>
  <c r="AK285" i="4"/>
  <c r="BF285" i="4"/>
  <c r="BO285" i="4"/>
  <c r="BP285" i="4"/>
  <c r="BT285" i="4"/>
  <c r="AF233" i="4"/>
  <c r="AF380" i="4"/>
  <c r="AG335" i="4"/>
  <c r="AF395" i="4"/>
  <c r="AM373" i="4"/>
  <c r="BT373" i="4"/>
  <c r="BF373" i="4"/>
  <c r="BO373" i="4"/>
  <c r="BP373" i="4"/>
  <c r="AL373" i="4"/>
  <c r="AK373" i="4"/>
  <c r="AH373" i="4"/>
  <c r="AL279" i="4"/>
  <c r="AK279" i="4"/>
  <c r="AM279" i="4"/>
  <c r="BT279" i="4"/>
  <c r="BF279" i="4"/>
  <c r="BO279" i="4"/>
  <c r="BP279" i="4"/>
  <c r="AF450" i="4"/>
  <c r="AK479" i="4"/>
  <c r="BT479" i="4"/>
  <c r="AM479" i="4"/>
  <c r="AL479" i="4"/>
  <c r="BF479" i="4"/>
  <c r="BO479" i="4"/>
  <c r="BP479" i="4"/>
  <c r="AG322" i="4"/>
  <c r="AH424" i="4"/>
  <c r="AM534" i="4"/>
  <c r="BT534" i="4"/>
  <c r="AK534" i="4"/>
  <c r="AL534" i="4"/>
  <c r="BF534" i="4"/>
  <c r="BO534" i="4"/>
  <c r="BP534" i="4"/>
  <c r="AH549" i="4"/>
  <c r="AF555" i="4"/>
  <c r="AF469" i="4"/>
  <c r="AL515" i="4"/>
  <c r="BF515" i="4"/>
  <c r="BT515" i="4"/>
  <c r="AM515" i="4"/>
  <c r="AK515" i="4"/>
  <c r="AG509" i="4"/>
  <c r="AG597" i="4"/>
  <c r="AH475" i="4"/>
  <c r="AK511" i="4"/>
  <c r="BF511" i="4"/>
  <c r="BO511" i="4"/>
  <c r="BP511" i="4"/>
  <c r="AM511" i="4"/>
  <c r="BT511" i="4"/>
  <c r="AL511" i="4"/>
  <c r="AG605" i="4"/>
  <c r="AF576" i="4"/>
  <c r="AH603" i="4"/>
  <c r="AF581" i="4"/>
  <c r="AF625" i="4"/>
  <c r="AI625" i="4"/>
  <c r="AG165" i="4"/>
  <c r="AH192" i="4"/>
  <c r="AF146" i="4"/>
  <c r="AH174" i="4"/>
  <c r="BT217" i="4"/>
  <c r="BF217" i="4"/>
  <c r="BO217" i="4"/>
  <c r="BP217" i="4"/>
  <c r="AM217" i="4"/>
  <c r="AK217" i="4"/>
  <c r="AL217" i="4"/>
  <c r="AK260" i="4"/>
  <c r="AM260" i="4"/>
  <c r="BF260" i="4"/>
  <c r="BO260" i="4"/>
  <c r="BP260" i="4"/>
  <c r="BT260" i="4"/>
  <c r="AL260" i="4"/>
  <c r="AF324" i="4"/>
  <c r="AI324" i="4"/>
  <c r="AF361" i="4"/>
  <c r="AF400" i="4"/>
  <c r="AF259" i="4"/>
  <c r="BF429" i="4"/>
  <c r="BO429" i="4"/>
  <c r="BP429" i="4"/>
  <c r="AM429" i="4"/>
  <c r="AL429" i="4"/>
  <c r="AK429" i="4"/>
  <c r="BT429" i="4"/>
  <c r="AG446" i="4"/>
  <c r="AF481" i="4"/>
  <c r="AI481" i="4"/>
  <c r="AG465" i="4"/>
  <c r="AF560" i="4"/>
  <c r="AH570" i="4"/>
  <c r="AK563" i="4"/>
  <c r="BF563" i="4"/>
  <c r="BO563" i="4"/>
  <c r="BP563" i="4"/>
  <c r="BT563" i="4"/>
  <c r="AL563" i="4"/>
  <c r="AM563" i="4"/>
  <c r="AH563" i="4"/>
  <c r="AI563" i="4"/>
  <c r="BF528" i="4"/>
  <c r="BO528" i="4"/>
  <c r="BP528" i="4"/>
  <c r="BT528" i="4"/>
  <c r="AM528" i="4"/>
  <c r="AK528" i="4"/>
  <c r="AL528" i="4"/>
  <c r="AM575" i="4"/>
  <c r="AK575" i="4"/>
  <c r="BF575" i="4"/>
  <c r="BO575" i="4"/>
  <c r="BP575" i="4"/>
  <c r="AL575" i="4"/>
  <c r="BT575" i="4"/>
  <c r="AF594" i="4"/>
  <c r="AH141" i="4"/>
  <c r="AH212" i="4"/>
  <c r="AF137" i="4"/>
  <c r="AK213" i="4"/>
  <c r="BF213" i="4"/>
  <c r="BO213" i="4"/>
  <c r="BP213" i="4"/>
  <c r="AM213" i="4"/>
  <c r="AL213" i="4"/>
  <c r="BT213" i="4"/>
  <c r="AK130" i="4"/>
  <c r="BT130" i="4"/>
  <c r="AL130" i="4"/>
  <c r="BF130" i="4"/>
  <c r="BO130" i="4"/>
  <c r="BP130" i="4"/>
  <c r="AM130" i="4"/>
  <c r="AH331" i="4"/>
  <c r="AK331" i="4"/>
  <c r="AL331" i="4"/>
  <c r="BF331" i="4"/>
  <c r="BO331" i="4"/>
  <c r="BP331" i="4"/>
  <c r="AM331" i="4"/>
  <c r="BT331" i="4"/>
  <c r="AH273" i="4"/>
  <c r="AK273" i="4"/>
  <c r="AM273" i="4"/>
  <c r="BF273" i="4"/>
  <c r="BO273" i="4"/>
  <c r="BP273" i="4"/>
  <c r="BT273" i="4"/>
  <c r="AL273" i="4"/>
  <c r="AF500" i="4"/>
  <c r="AM340" i="4"/>
  <c r="BT340" i="4"/>
  <c r="AL340" i="4"/>
  <c r="BF340" i="4"/>
  <c r="BO340" i="4"/>
  <c r="BP340" i="4"/>
  <c r="AK340" i="4"/>
  <c r="AF252" i="4"/>
  <c r="AH333" i="4"/>
  <c r="AF404" i="4"/>
  <c r="AH404" i="4"/>
  <c r="BF404" i="4"/>
  <c r="BO404" i="4"/>
  <c r="BP404" i="4"/>
  <c r="AM404" i="4"/>
  <c r="BT404" i="4"/>
  <c r="AK404" i="4"/>
  <c r="AL404" i="4"/>
  <c r="AG426" i="4"/>
  <c r="AF477" i="4"/>
  <c r="AG494" i="4"/>
  <c r="AH626" i="4"/>
  <c r="BT626" i="4"/>
  <c r="BF626" i="4"/>
  <c r="BO626" i="4"/>
  <c r="BP626" i="4"/>
  <c r="AK626" i="4"/>
  <c r="AL626" i="4"/>
  <c r="AM626" i="4"/>
  <c r="AH565" i="4"/>
  <c r="BT565" i="4"/>
  <c r="AM565" i="4"/>
  <c r="AK565" i="4"/>
  <c r="AL565" i="4"/>
  <c r="BF565" i="4"/>
  <c r="BO565" i="4"/>
  <c r="BP565" i="4"/>
  <c r="AG611" i="4"/>
  <c r="AK595" i="4"/>
  <c r="BT595" i="4"/>
  <c r="BF595" i="4"/>
  <c r="BO595" i="4"/>
  <c r="BP595" i="4"/>
  <c r="AL595" i="4"/>
  <c r="AM595" i="4"/>
  <c r="AI181" i="4"/>
  <c r="AJ181" i="4"/>
  <c r="BT246" i="4"/>
  <c r="AL246" i="4"/>
  <c r="BF246" i="4"/>
  <c r="BO246" i="4"/>
  <c r="BP246" i="4"/>
  <c r="AK246" i="4"/>
  <c r="AM246" i="4"/>
  <c r="AL418" i="4"/>
  <c r="BT418" i="4"/>
  <c r="AK418" i="4"/>
  <c r="AM418" i="4"/>
  <c r="BF418" i="4"/>
  <c r="BO418" i="4"/>
  <c r="BP418" i="4"/>
  <c r="AI243" i="4"/>
  <c r="AF378" i="4"/>
  <c r="AL378" i="4"/>
  <c r="AM378" i="4"/>
  <c r="BT378" i="4"/>
  <c r="BF378" i="4"/>
  <c r="BO378" i="4"/>
  <c r="BP378" i="4"/>
  <c r="AK378" i="4"/>
  <c r="BF480" i="4"/>
  <c r="AL480" i="4"/>
  <c r="AK480" i="4"/>
  <c r="BT480" i="4"/>
  <c r="AM480" i="4"/>
  <c r="AF559" i="4"/>
  <c r="AH619" i="4"/>
  <c r="AK619" i="4"/>
  <c r="AL619" i="4"/>
  <c r="AM619" i="4"/>
  <c r="BF619" i="4"/>
  <c r="BO619" i="4"/>
  <c r="BP619" i="4"/>
  <c r="BT619" i="4"/>
  <c r="AK135" i="4"/>
  <c r="AM135" i="4"/>
  <c r="AL135" i="4"/>
  <c r="BF135" i="4"/>
  <c r="BO135" i="4"/>
  <c r="BP135" i="4"/>
  <c r="BT135" i="4"/>
  <c r="AH302" i="4"/>
  <c r="BT302" i="4"/>
  <c r="BF302" i="4"/>
  <c r="BO302" i="4"/>
  <c r="BP302" i="4"/>
  <c r="AL302" i="4"/>
  <c r="AM302" i="4"/>
  <c r="AK302" i="4"/>
  <c r="BT607" i="4"/>
  <c r="AK607" i="4"/>
  <c r="AM607" i="4"/>
  <c r="AL607" i="4"/>
  <c r="BF607" i="4"/>
  <c r="BO607" i="4"/>
  <c r="BP607" i="4"/>
  <c r="AF303" i="4"/>
  <c r="AM327" i="4"/>
  <c r="AL327" i="4"/>
  <c r="AK327" i="4"/>
  <c r="BF327" i="4"/>
  <c r="BO327" i="4"/>
  <c r="BP327" i="4"/>
  <c r="AH327" i="4"/>
  <c r="AI327" i="4"/>
  <c r="BT327" i="4"/>
  <c r="AG281" i="4"/>
  <c r="AM354" i="4"/>
  <c r="AL354" i="4"/>
  <c r="BF354" i="4"/>
  <c r="BO354" i="4"/>
  <c r="BP354" i="4"/>
  <c r="AK354" i="4"/>
  <c r="BT354" i="4"/>
  <c r="AK392" i="4"/>
  <c r="AM392" i="4"/>
  <c r="BT392" i="4"/>
  <c r="BF392" i="4"/>
  <c r="BO392" i="4"/>
  <c r="BP392" i="4"/>
  <c r="AL392" i="4"/>
  <c r="AH393" i="4"/>
  <c r="AH390" i="4"/>
  <c r="BT390" i="4"/>
  <c r="AM390" i="4"/>
  <c r="AL390" i="4"/>
  <c r="BF390" i="4"/>
  <c r="BO390" i="4"/>
  <c r="BP390" i="4"/>
  <c r="AK390" i="4"/>
  <c r="BT440" i="4"/>
  <c r="AL440" i="4"/>
  <c r="BF440" i="4"/>
  <c r="BO440" i="4"/>
  <c r="BP440" i="4"/>
  <c r="AK440" i="4"/>
  <c r="AH440" i="4"/>
  <c r="AM440" i="4"/>
  <c r="AH271" i="4"/>
  <c r="AF419" i="4"/>
  <c r="AL419" i="4"/>
  <c r="BT419" i="4"/>
  <c r="AK419" i="4"/>
  <c r="AM419" i="4"/>
  <c r="AH419" i="4"/>
  <c r="BF419" i="4"/>
  <c r="BO419" i="4"/>
  <c r="BP419" i="4"/>
  <c r="AH342" i="4"/>
  <c r="AI342" i="4"/>
  <c r="AF368" i="4"/>
  <c r="AF295" i="4"/>
  <c r="AK442" i="4"/>
  <c r="BT442" i="4"/>
  <c r="AM442" i="4"/>
  <c r="AL442" i="4"/>
  <c r="BF442" i="4"/>
  <c r="BO442" i="4"/>
  <c r="BP442" i="4"/>
  <c r="AF391" i="4"/>
  <c r="AK508" i="4"/>
  <c r="AM508" i="4"/>
  <c r="BF508" i="4"/>
  <c r="BO508" i="4"/>
  <c r="BP508" i="4"/>
  <c r="BT508" i="4"/>
  <c r="AL508" i="4"/>
  <c r="AH508" i="4"/>
  <c r="AG530" i="4"/>
  <c r="AG454" i="4"/>
  <c r="AM510" i="4"/>
  <c r="AK510" i="4"/>
  <c r="BF510" i="4"/>
  <c r="BO510" i="4"/>
  <c r="BP510" i="4"/>
  <c r="AL510" i="4"/>
  <c r="BT510" i="4"/>
  <c r="AF514" i="4"/>
  <c r="AF609" i="4"/>
  <c r="AF554" i="4"/>
  <c r="AL567" i="4"/>
  <c r="AM567" i="4"/>
  <c r="BT567" i="4"/>
  <c r="BF567" i="4"/>
  <c r="BO567" i="4"/>
  <c r="BP567" i="4"/>
  <c r="AK567" i="4"/>
  <c r="AG621" i="4"/>
  <c r="BF579" i="4"/>
  <c r="BO579" i="4"/>
  <c r="BP579" i="4"/>
  <c r="AK579" i="4"/>
  <c r="BT579" i="4"/>
  <c r="AM579" i="4"/>
  <c r="AL579" i="4"/>
  <c r="AH657" i="4"/>
  <c r="AG184" i="4"/>
  <c r="AK195" i="4"/>
  <c r="BF195" i="4"/>
  <c r="BO195" i="4"/>
  <c r="BP195" i="4"/>
  <c r="AM195" i="4"/>
  <c r="AL195" i="4"/>
  <c r="BT195" i="4"/>
  <c r="AH195" i="4"/>
  <c r="AH220" i="4"/>
  <c r="BT220" i="4"/>
  <c r="AL220" i="4"/>
  <c r="AM220" i="4"/>
  <c r="AK220" i="4"/>
  <c r="BF220" i="4"/>
  <c r="BO220" i="4"/>
  <c r="BP220" i="4"/>
  <c r="AH341" i="4"/>
  <c r="AH360" i="4"/>
  <c r="AL380" i="4"/>
  <c r="BF380" i="4"/>
  <c r="BO380" i="4"/>
  <c r="BP380" i="4"/>
  <c r="BT380" i="4"/>
  <c r="AM380" i="4"/>
  <c r="AK380" i="4"/>
  <c r="AF276" i="4"/>
  <c r="AG385" i="4"/>
  <c r="AG541" i="4"/>
  <c r="AG346" i="4"/>
  <c r="AH322" i="4"/>
  <c r="AF424" i="4"/>
  <c r="AH491" i="4"/>
  <c r="AF549" i="4"/>
  <c r="AF457" i="4"/>
  <c r="AG555" i="4"/>
  <c r="AK525" i="4"/>
  <c r="BF525" i="4"/>
  <c r="BO525" i="4"/>
  <c r="BP525" i="4"/>
  <c r="AM525" i="4"/>
  <c r="AL525" i="4"/>
  <c r="BT525" i="4"/>
  <c r="AH525" i="4"/>
  <c r="AI525" i="4"/>
  <c r="AG484" i="4"/>
  <c r="AL597" i="4"/>
  <c r="AH597" i="4"/>
  <c r="BT597" i="4"/>
  <c r="AM597" i="4"/>
  <c r="BF597" i="4"/>
  <c r="BO597" i="4"/>
  <c r="BP597" i="4"/>
  <c r="AK597" i="4"/>
  <c r="AH643" i="4"/>
  <c r="BT643" i="4"/>
  <c r="BF643" i="4"/>
  <c r="BO643" i="4"/>
  <c r="BP643" i="4"/>
  <c r="AK643" i="4"/>
  <c r="AL643" i="4"/>
  <c r="AM643" i="4"/>
  <c r="AG576" i="4"/>
  <c r="AF603" i="4"/>
  <c r="AG573" i="4"/>
  <c r="AH625" i="4"/>
  <c r="AM625" i="4"/>
  <c r="BT625" i="4"/>
  <c r="AL625" i="4"/>
  <c r="BF625" i="4"/>
  <c r="BO625" i="4"/>
  <c r="BP625" i="4"/>
  <c r="AK625" i="4"/>
  <c r="AH165" i="4"/>
  <c r="BT192" i="4"/>
  <c r="BF192" i="4"/>
  <c r="BO192" i="4"/>
  <c r="BP192" i="4"/>
  <c r="AK192" i="4"/>
  <c r="AM192" i="4"/>
  <c r="AL192" i="4"/>
  <c r="AF131" i="4"/>
  <c r="BT190" i="4"/>
  <c r="BF190" i="4"/>
  <c r="BO190" i="4"/>
  <c r="BP190" i="4"/>
  <c r="AL190" i="4"/>
  <c r="AM190" i="4"/>
  <c r="AH190" i="4"/>
  <c r="AK190" i="4"/>
  <c r="AG174" i="4"/>
  <c r="AF306" i="4"/>
  <c r="AI306" i="4"/>
  <c r="AH382" i="4"/>
  <c r="AI382" i="4"/>
  <c r="AR382" i="4"/>
  <c r="AK382" i="4"/>
  <c r="BT382" i="4"/>
  <c r="BF382" i="4"/>
  <c r="BO382" i="4"/>
  <c r="BP382" i="4"/>
  <c r="AL382" i="4"/>
  <c r="AM382" i="4"/>
  <c r="AF363" i="4"/>
  <c r="AG227" i="4"/>
  <c r="AF362" i="4"/>
  <c r="AH259" i="4"/>
  <c r="AI429" i="4"/>
  <c r="AM481" i="4"/>
  <c r="BF481" i="4"/>
  <c r="BO481" i="4"/>
  <c r="BP481" i="4"/>
  <c r="BT481" i="4"/>
  <c r="AK481" i="4"/>
  <c r="AL481" i="4"/>
  <c r="AG432" i="4"/>
  <c r="AG265" i="4"/>
  <c r="AM465" i="4"/>
  <c r="AK465" i="4"/>
  <c r="BT465" i="4"/>
  <c r="AL465" i="4"/>
  <c r="BF465" i="4"/>
  <c r="BO465" i="4"/>
  <c r="BP465" i="4"/>
  <c r="BF560" i="4"/>
  <c r="BO560" i="4"/>
  <c r="BP560" i="4"/>
  <c r="AK560" i="4"/>
  <c r="AL560" i="4"/>
  <c r="AM560" i="4"/>
  <c r="BT560" i="4"/>
  <c r="AI528" i="4"/>
  <c r="AF632" i="4"/>
  <c r="AF138" i="4"/>
  <c r="AG141" i="4"/>
  <c r="AK141" i="4"/>
  <c r="AM141" i="4"/>
  <c r="BT141" i="4"/>
  <c r="BF141" i="4"/>
  <c r="BO141" i="4"/>
  <c r="BP141" i="4"/>
  <c r="AL141" i="4"/>
  <c r="AM197" i="4"/>
  <c r="BT197" i="4"/>
  <c r="AK197" i="4"/>
  <c r="BF197" i="4"/>
  <c r="BO197" i="4"/>
  <c r="BP197" i="4"/>
  <c r="AL197" i="4"/>
  <c r="AH197" i="4"/>
  <c r="AG212" i="4"/>
  <c r="AG210" i="4"/>
  <c r="AG160" i="4"/>
  <c r="AH130" i="4"/>
  <c r="AF262" i="4"/>
  <c r="AH343" i="4"/>
  <c r="AF305" i="4"/>
  <c r="AF312" i="4"/>
  <c r="BT372" i="4"/>
  <c r="AM372" i="4"/>
  <c r="AK372" i="4"/>
  <c r="BF372" i="4"/>
  <c r="BO372" i="4"/>
  <c r="BP372" i="4"/>
  <c r="AL372" i="4"/>
  <c r="AH372" i="4"/>
  <c r="AI372" i="4"/>
  <c r="AF374" i="4"/>
  <c r="AI374" i="4"/>
  <c r="AH280" i="4"/>
  <c r="BT280" i="4"/>
  <c r="AM280" i="4"/>
  <c r="BF280" i="4"/>
  <c r="BO280" i="4"/>
  <c r="BP280" i="4"/>
  <c r="AK280" i="4"/>
  <c r="AL280" i="4"/>
  <c r="AF273" i="4"/>
  <c r="AG445" i="4"/>
  <c r="AH252" i="4"/>
  <c r="AF333" i="4"/>
  <c r="AG477" i="4"/>
  <c r="AH601" i="4"/>
  <c r="BT601" i="4"/>
  <c r="AM601" i="4"/>
  <c r="BF601" i="4"/>
  <c r="BO601" i="4"/>
  <c r="BP601" i="4"/>
  <c r="AK601" i="4"/>
  <c r="AL601" i="4"/>
  <c r="AF626" i="4"/>
  <c r="AF644" i="4"/>
  <c r="AG565" i="4"/>
  <c r="AF611" i="4"/>
  <c r="BT654" i="4"/>
  <c r="AM654" i="4"/>
  <c r="BF654" i="4"/>
  <c r="BO654" i="4"/>
  <c r="BP654" i="4"/>
  <c r="AL654" i="4"/>
  <c r="AK654" i="4"/>
  <c r="AF580" i="4"/>
  <c r="AL444" i="4"/>
  <c r="AM444" i="4"/>
  <c r="BT444" i="4"/>
  <c r="BF444" i="4"/>
  <c r="BO444" i="4"/>
  <c r="BP444" i="4"/>
  <c r="AK444" i="4"/>
  <c r="AG504" i="4"/>
  <c r="BT531" i="4"/>
  <c r="AM531" i="4"/>
  <c r="BF531" i="4"/>
  <c r="BO531" i="4"/>
  <c r="BP531" i="4"/>
  <c r="AK531" i="4"/>
  <c r="AH531" i="4"/>
  <c r="AL531" i="4"/>
  <c r="AL532" i="4"/>
  <c r="BT532" i="4"/>
  <c r="AM532" i="4"/>
  <c r="BF532" i="4"/>
  <c r="BO532" i="4"/>
  <c r="BP532" i="4"/>
  <c r="AK532" i="4"/>
  <c r="AH532" i="4"/>
  <c r="AI470" i="4"/>
  <c r="AI631" i="4"/>
  <c r="AG564" i="4"/>
  <c r="AF503" i="4"/>
  <c r="AH655" i="4"/>
  <c r="AG574" i="4"/>
  <c r="AH652" i="4"/>
  <c r="BF652" i="4"/>
  <c r="BO652" i="4"/>
  <c r="BP652" i="4"/>
  <c r="AM652" i="4"/>
  <c r="AK652" i="4"/>
  <c r="BT652" i="4"/>
  <c r="AL652" i="4"/>
  <c r="AF638" i="4"/>
  <c r="AF600" i="4"/>
  <c r="AF172" i="4"/>
  <c r="AF251" i="4"/>
  <c r="AH296" i="4"/>
  <c r="AF309" i="4"/>
  <c r="AG403" i="4"/>
  <c r="BF410" i="4"/>
  <c r="BO410" i="4"/>
  <c r="BP410" i="4"/>
  <c r="BT410" i="4"/>
  <c r="AK410" i="4"/>
  <c r="AM410" i="4"/>
  <c r="AL410" i="4"/>
  <c r="AH410" i="4"/>
  <c r="AM507" i="4"/>
  <c r="AL507" i="4"/>
  <c r="BT507" i="4"/>
  <c r="BF507" i="4"/>
  <c r="BO507" i="4"/>
  <c r="BP507" i="4"/>
  <c r="AK507" i="4"/>
  <c r="AI387" i="4"/>
  <c r="BF452" i="4"/>
  <c r="BO452" i="4"/>
  <c r="BP452" i="4"/>
  <c r="AK452" i="4"/>
  <c r="AL452" i="4"/>
  <c r="BT452" i="4"/>
  <c r="AH452" i="4"/>
  <c r="AM452" i="4"/>
  <c r="AF456" i="4"/>
  <c r="AM577" i="4"/>
  <c r="BT577" i="4"/>
  <c r="AL577" i="4"/>
  <c r="BF577" i="4"/>
  <c r="BO577" i="4"/>
  <c r="BP577" i="4"/>
  <c r="AK577" i="4"/>
  <c r="AH577" i="4"/>
  <c r="AM466" i="4"/>
  <c r="AK466" i="4"/>
  <c r="BF466" i="4"/>
  <c r="BO466" i="4"/>
  <c r="BP466" i="4"/>
  <c r="AL466" i="4"/>
  <c r="BT466" i="4"/>
  <c r="AF451" i="4"/>
  <c r="AG583" i="4"/>
  <c r="AM587" i="4"/>
  <c r="BT587" i="4"/>
  <c r="BF587" i="4"/>
  <c r="BO587" i="4"/>
  <c r="BP587" i="4"/>
  <c r="AK587" i="4"/>
  <c r="AL587" i="4"/>
  <c r="AH649" i="4"/>
  <c r="AH659" i="4"/>
  <c r="BT145" i="4"/>
  <c r="BF145" i="4"/>
  <c r="BO145" i="4"/>
  <c r="BP145" i="4"/>
  <c r="AL145" i="4"/>
  <c r="AK145" i="4"/>
  <c r="AM145" i="4"/>
  <c r="AH176" i="4"/>
  <c r="BF176" i="4"/>
  <c r="BO176" i="4"/>
  <c r="BP176" i="4"/>
  <c r="AL176" i="4"/>
  <c r="AK176" i="4"/>
  <c r="BT176" i="4"/>
  <c r="AM176" i="4"/>
  <c r="AL337" i="4"/>
  <c r="BF337" i="4"/>
  <c r="BO337" i="4"/>
  <c r="BP337" i="4"/>
  <c r="BT337" i="4"/>
  <c r="AK337" i="4"/>
  <c r="AM337" i="4"/>
  <c r="AK352" i="4"/>
  <c r="AL352" i="4"/>
  <c r="AM352" i="4"/>
  <c r="AH352" i="4"/>
  <c r="BT352" i="4"/>
  <c r="BF352" i="4"/>
  <c r="BO352" i="4"/>
  <c r="BP352" i="4"/>
  <c r="BT310" i="4"/>
  <c r="AL310" i="4"/>
  <c r="AK310" i="4"/>
  <c r="BF310" i="4"/>
  <c r="BO310" i="4"/>
  <c r="BP310" i="4"/>
  <c r="AM310" i="4"/>
  <c r="AF246" i="4"/>
  <c r="AF418" i="4"/>
  <c r="AG378" i="4"/>
  <c r="AF427" i="4"/>
  <c r="AF436" i="4"/>
  <c r="AG480" i="4"/>
  <c r="AG559" i="4"/>
  <c r="AI606" i="4"/>
  <c r="AG562" i="4"/>
  <c r="AL562" i="4"/>
  <c r="AK562" i="4"/>
  <c r="BT562" i="4"/>
  <c r="BF562" i="4"/>
  <c r="BO562" i="4"/>
  <c r="BP562" i="4"/>
  <c r="AM562" i="4"/>
  <c r="AL637" i="4"/>
  <c r="AK637" i="4"/>
  <c r="AM637" i="4"/>
  <c r="BF637" i="4"/>
  <c r="BO637" i="4"/>
  <c r="BP637" i="4"/>
  <c r="BT637" i="4"/>
  <c r="AH586" i="4"/>
  <c r="AL586" i="4"/>
  <c r="AK586" i="4"/>
  <c r="AM586" i="4"/>
  <c r="BT586" i="4"/>
  <c r="BF586" i="4"/>
  <c r="BO586" i="4"/>
  <c r="BP586" i="4"/>
  <c r="AL630" i="4"/>
  <c r="BF630" i="4"/>
  <c r="BO630" i="4"/>
  <c r="BP630" i="4"/>
  <c r="BT630" i="4"/>
  <c r="AM630" i="4"/>
  <c r="AK630" i="4"/>
  <c r="BT150" i="4"/>
  <c r="AL150" i="4"/>
  <c r="AK150" i="4"/>
  <c r="BF150" i="4"/>
  <c r="BO150" i="4"/>
  <c r="BP150" i="4"/>
  <c r="AM150" i="4"/>
  <c r="AH150" i="4"/>
  <c r="AM208" i="4"/>
  <c r="AL208" i="4"/>
  <c r="BT208" i="4"/>
  <c r="BF208" i="4"/>
  <c r="BO208" i="4"/>
  <c r="BP208" i="4"/>
  <c r="AK208" i="4"/>
  <c r="BF224" i="4"/>
  <c r="AM224" i="4"/>
  <c r="AL224" i="4"/>
  <c r="AK224" i="4"/>
  <c r="BT224" i="4"/>
  <c r="AK321" i="4"/>
  <c r="AM321" i="4"/>
  <c r="AL321" i="4"/>
  <c r="BF321" i="4"/>
  <c r="BO321" i="4"/>
  <c r="BP321" i="4"/>
  <c r="BT321" i="4"/>
  <c r="AF302" i="4"/>
  <c r="AG288" i="4"/>
  <c r="BF288" i="4"/>
  <c r="BO288" i="4"/>
  <c r="BP288" i="4"/>
  <c r="AL288" i="4"/>
  <c r="AK288" i="4"/>
  <c r="BT288" i="4"/>
  <c r="AM288" i="4"/>
  <c r="AH288" i="4"/>
  <c r="AM248" i="4"/>
  <c r="AK248" i="4"/>
  <c r="AL248" i="4"/>
  <c r="BT248" i="4"/>
  <c r="BF248" i="4"/>
  <c r="BO248" i="4"/>
  <c r="BP248" i="4"/>
  <c r="BT405" i="4"/>
  <c r="AM405" i="4"/>
  <c r="BF405" i="4"/>
  <c r="BO405" i="4"/>
  <c r="BP405" i="4"/>
  <c r="AH405" i="4"/>
  <c r="AK405" i="4"/>
  <c r="AL405" i="4"/>
  <c r="AL441" i="4"/>
  <c r="BT441" i="4"/>
  <c r="BF441" i="4"/>
  <c r="BO441" i="4"/>
  <c r="BP441" i="4"/>
  <c r="AH441" i="4"/>
  <c r="AK441" i="4"/>
  <c r="AM441" i="4"/>
  <c r="BT545" i="4"/>
  <c r="AL545" i="4"/>
  <c r="AM545" i="4"/>
  <c r="BF545" i="4"/>
  <c r="BO545" i="4"/>
  <c r="BP545" i="4"/>
  <c r="AK545" i="4"/>
  <c r="AI640" i="4"/>
  <c r="AL622" i="4"/>
  <c r="BT622" i="4"/>
  <c r="AK622" i="4"/>
  <c r="AM622" i="4"/>
  <c r="BF622" i="4"/>
  <c r="BO622" i="4"/>
  <c r="BP622" i="4"/>
  <c r="AG159" i="4"/>
  <c r="AH136" i="4"/>
  <c r="AL136" i="4"/>
  <c r="BF136" i="4"/>
  <c r="BO136" i="4"/>
  <c r="BP136" i="4"/>
  <c r="AM136" i="4"/>
  <c r="BT136" i="4"/>
  <c r="AK136" i="4"/>
  <c r="AM219" i="4"/>
  <c r="AH219" i="4"/>
  <c r="AL219" i="4"/>
  <c r="BT219" i="4"/>
  <c r="AK219" i="4"/>
  <c r="BF219" i="4"/>
  <c r="BO219" i="4"/>
  <c r="BP219" i="4"/>
  <c r="BF281" i="4"/>
  <c r="BO281" i="4"/>
  <c r="BP281" i="4"/>
  <c r="AK281" i="4"/>
  <c r="AM281" i="4"/>
  <c r="BT281" i="4"/>
  <c r="AH281" i="4"/>
  <c r="AL281" i="4"/>
  <c r="BT271" i="4"/>
  <c r="AK271" i="4"/>
  <c r="BF271" i="4"/>
  <c r="BO271" i="4"/>
  <c r="BP271" i="4"/>
  <c r="AL271" i="4"/>
  <c r="AM271" i="4"/>
  <c r="AK391" i="4"/>
  <c r="AM391" i="4"/>
  <c r="BT391" i="4"/>
  <c r="AL391" i="4"/>
  <c r="BF391" i="4"/>
  <c r="BO391" i="4"/>
  <c r="BP391" i="4"/>
  <c r="AH391" i="4"/>
  <c r="AL530" i="4"/>
  <c r="BT530" i="4"/>
  <c r="BF530" i="4"/>
  <c r="BO530" i="4"/>
  <c r="BP530" i="4"/>
  <c r="AH530" i="4"/>
  <c r="AM530" i="4"/>
  <c r="AK530" i="4"/>
  <c r="AK657" i="4"/>
  <c r="AM657" i="4"/>
  <c r="BF657" i="4"/>
  <c r="BO657" i="4"/>
  <c r="BP657" i="4"/>
  <c r="AL657" i="4"/>
  <c r="BT657" i="4"/>
  <c r="AM162" i="4"/>
  <c r="AL162" i="4"/>
  <c r="BF162" i="4"/>
  <c r="BO162" i="4"/>
  <c r="BP162" i="4"/>
  <c r="AK162" i="4"/>
  <c r="BT162" i="4"/>
  <c r="AH162" i="4"/>
  <c r="AM394" i="4"/>
  <c r="AL394" i="4"/>
  <c r="BT394" i="4"/>
  <c r="AK394" i="4"/>
  <c r="BF394" i="4"/>
  <c r="BO394" i="4"/>
  <c r="BP394" i="4"/>
  <c r="AH394" i="4"/>
  <c r="AG386" i="4"/>
  <c r="AH386" i="4"/>
  <c r="BF386" i="4"/>
  <c r="BO386" i="4"/>
  <c r="BP386" i="4"/>
  <c r="AM386" i="4"/>
  <c r="BT386" i="4"/>
  <c r="AL386" i="4"/>
  <c r="AK386" i="4"/>
  <c r="AM322" i="4"/>
  <c r="AL322" i="4"/>
  <c r="BF322" i="4"/>
  <c r="BO322" i="4"/>
  <c r="BP322" i="4"/>
  <c r="AK322" i="4"/>
  <c r="BT322" i="4"/>
  <c r="AL424" i="4"/>
  <c r="AK424" i="4"/>
  <c r="BF424" i="4"/>
  <c r="BO424" i="4"/>
  <c r="BP424" i="4"/>
  <c r="BT424" i="4"/>
  <c r="AM424" i="4"/>
  <c r="AK549" i="4"/>
  <c r="AM549" i="4"/>
  <c r="AL549" i="4"/>
  <c r="BT549" i="4"/>
  <c r="BF549" i="4"/>
  <c r="BO549" i="4"/>
  <c r="BP549" i="4"/>
  <c r="AL576" i="4"/>
  <c r="AM576" i="4"/>
  <c r="BT576" i="4"/>
  <c r="AK576" i="4"/>
  <c r="BF576" i="4"/>
  <c r="AL581" i="4"/>
  <c r="BF581" i="4"/>
  <c r="BO581" i="4"/>
  <c r="BP581" i="4"/>
  <c r="BT581" i="4"/>
  <c r="AM581" i="4"/>
  <c r="AK581" i="4"/>
  <c r="AH641" i="4"/>
  <c r="BF146" i="4"/>
  <c r="BO146" i="4"/>
  <c r="BP146" i="4"/>
  <c r="AK146" i="4"/>
  <c r="AL146" i="4"/>
  <c r="BT146" i="4"/>
  <c r="AM146" i="4"/>
  <c r="AK315" i="4"/>
  <c r="AL315" i="4"/>
  <c r="BF315" i="4"/>
  <c r="BO315" i="4"/>
  <c r="BP315" i="4"/>
  <c r="AM315" i="4"/>
  <c r="BT315" i="4"/>
  <c r="AH315" i="4"/>
  <c r="AL363" i="4"/>
  <c r="BT363" i="4"/>
  <c r="BF363" i="4"/>
  <c r="BO363" i="4"/>
  <c r="BP363" i="4"/>
  <c r="AK363" i="4"/>
  <c r="AM363" i="4"/>
  <c r="BF259" i="4"/>
  <c r="BT259" i="4"/>
  <c r="AM259" i="4"/>
  <c r="AL259" i="4"/>
  <c r="AK259" i="4"/>
  <c r="AK432" i="4"/>
  <c r="AM432" i="4"/>
  <c r="BF432" i="4"/>
  <c r="BO432" i="4"/>
  <c r="BP432" i="4"/>
  <c r="BT432" i="4"/>
  <c r="AL432" i="4"/>
  <c r="AI465" i="4"/>
  <c r="AJ528" i="4"/>
  <c r="AM653" i="4"/>
  <c r="BT653" i="4"/>
  <c r="AL653" i="4"/>
  <c r="AK653" i="4"/>
  <c r="BF653" i="4"/>
  <c r="BO653" i="4"/>
  <c r="BP653" i="4"/>
  <c r="AK262" i="4"/>
  <c r="AL262" i="4"/>
  <c r="AM262" i="4"/>
  <c r="BT262" i="4"/>
  <c r="BF262" i="4"/>
  <c r="BO262" i="4"/>
  <c r="BP262" i="4"/>
  <c r="AK343" i="4"/>
  <c r="AL343" i="4"/>
  <c r="BF343" i="4"/>
  <c r="BO343" i="4"/>
  <c r="BP343" i="4"/>
  <c r="AM343" i="4"/>
  <c r="BT343" i="4"/>
  <c r="BT305" i="4"/>
  <c r="AM305" i="4"/>
  <c r="BF305" i="4"/>
  <c r="BO305" i="4"/>
  <c r="BP305" i="4"/>
  <c r="AK305" i="4"/>
  <c r="AL305" i="4"/>
  <c r="BT398" i="4"/>
  <c r="AL398" i="4"/>
  <c r="AM398" i="4"/>
  <c r="AK398" i="4"/>
  <c r="BF398" i="4"/>
  <c r="BO398" i="4"/>
  <c r="BP398" i="4"/>
  <c r="AK333" i="4"/>
  <c r="BF333" i="4"/>
  <c r="BO333" i="4"/>
  <c r="BP333" i="4"/>
  <c r="AM333" i="4"/>
  <c r="AL333" i="4"/>
  <c r="BT333" i="4"/>
  <c r="AK477" i="4"/>
  <c r="AL477" i="4"/>
  <c r="BT477" i="4"/>
  <c r="AM477" i="4"/>
  <c r="BF477" i="4"/>
  <c r="BO477" i="4"/>
  <c r="BP477" i="4"/>
  <c r="AM495" i="4"/>
  <c r="AK495" i="4"/>
  <c r="BT495" i="4"/>
  <c r="AL495" i="4"/>
  <c r="AH495" i="4"/>
  <c r="BF495" i="4"/>
  <c r="BO495" i="4"/>
  <c r="BP495" i="4"/>
  <c r="AK580" i="4"/>
  <c r="AL580" i="4"/>
  <c r="BT580" i="4"/>
  <c r="BF580" i="4"/>
  <c r="BO580" i="4"/>
  <c r="BP580" i="4"/>
  <c r="AH580" i="4"/>
  <c r="AM580" i="4"/>
  <c r="AF207" i="4"/>
  <c r="AH143" i="4"/>
  <c r="AK189" i="4"/>
  <c r="AL189" i="4"/>
  <c r="AM189" i="4"/>
  <c r="BT189" i="4"/>
  <c r="AH189" i="4"/>
  <c r="BF189" i="4"/>
  <c r="BO189" i="4"/>
  <c r="BP189" i="4"/>
  <c r="AG163" i="4"/>
  <c r="AG170" i="4"/>
  <c r="AK177" i="4"/>
  <c r="BF177" i="4"/>
  <c r="BO177" i="4"/>
  <c r="BP177" i="4"/>
  <c r="AM177" i="4"/>
  <c r="BT177" i="4"/>
  <c r="AL177" i="4"/>
  <c r="AH177" i="4"/>
  <c r="AI177" i="4"/>
  <c r="BT196" i="4"/>
  <c r="AL196" i="4"/>
  <c r="AM196" i="4"/>
  <c r="BF196" i="4"/>
  <c r="BO196" i="4"/>
  <c r="BP196" i="4"/>
  <c r="AK196" i="4"/>
  <c r="AG229" i="4"/>
  <c r="AG249" i="4"/>
  <c r="AG244" i="4"/>
  <c r="AG344" i="4"/>
  <c r="AG384" i="4"/>
  <c r="AH237" i="4"/>
  <c r="BF237" i="4"/>
  <c r="BO237" i="4"/>
  <c r="BP237" i="4"/>
  <c r="BT237" i="4"/>
  <c r="AM237" i="4"/>
  <c r="AK237" i="4"/>
  <c r="AL237" i="4"/>
  <c r="AF375" i="4"/>
  <c r="AH396" i="4"/>
  <c r="AG408" i="4"/>
  <c r="AF412" i="4"/>
  <c r="AL413" i="4"/>
  <c r="AK413" i="4"/>
  <c r="BT413" i="4"/>
  <c r="AM413" i="4"/>
  <c r="BF413" i="4"/>
  <c r="BO413" i="4"/>
  <c r="BP413" i="4"/>
  <c r="AF376" i="4"/>
  <c r="AM297" i="4"/>
  <c r="AL297" i="4"/>
  <c r="AK297" i="4"/>
  <c r="BT297" i="4"/>
  <c r="BF297" i="4"/>
  <c r="BO297" i="4"/>
  <c r="BP297" i="4"/>
  <c r="AF266" i="4"/>
  <c r="AI266" i="4"/>
  <c r="AG516" i="4"/>
  <c r="BT476" i="4"/>
  <c r="AK476" i="4"/>
  <c r="AM476" i="4"/>
  <c r="AL476" i="4"/>
  <c r="BF476" i="4"/>
  <c r="BO476" i="4"/>
  <c r="BP476" i="4"/>
  <c r="AH476" i="4"/>
  <c r="AF504" i="4"/>
  <c r="BO553" i="4"/>
  <c r="BP553" i="4"/>
  <c r="AF532" i="4"/>
  <c r="AI556" i="4"/>
  <c r="BF631" i="4"/>
  <c r="BO631" i="4"/>
  <c r="BP631" i="4"/>
  <c r="AL631" i="4"/>
  <c r="BT631" i="4"/>
  <c r="AK631" i="4"/>
  <c r="AM631" i="4"/>
  <c r="AF564" i="4"/>
  <c r="AF633" i="4"/>
  <c r="AG652" i="4"/>
  <c r="AH638" i="4"/>
  <c r="AI615" i="4"/>
  <c r="AJ615" i="4"/>
  <c r="AF126" i="4"/>
  <c r="AM167" i="4"/>
  <c r="AH167" i="4"/>
  <c r="AL167" i="4"/>
  <c r="BF167" i="4"/>
  <c r="BO167" i="4"/>
  <c r="BP167" i="4"/>
  <c r="AK167" i="4"/>
  <c r="BT167" i="4"/>
  <c r="AF180" i="4"/>
  <c r="AG127" i="4"/>
  <c r="AG206" i="4"/>
  <c r="AK157" i="4"/>
  <c r="BF157" i="4"/>
  <c r="BO157" i="4"/>
  <c r="BP157" i="4"/>
  <c r="BT157" i="4"/>
  <c r="AH157" i="4"/>
  <c r="AL157" i="4"/>
  <c r="AM157" i="4"/>
  <c r="AG199" i="4"/>
  <c r="BT268" i="4"/>
  <c r="AK268" i="4"/>
  <c r="BF268" i="4"/>
  <c r="BO268" i="4"/>
  <c r="BP268" i="4"/>
  <c r="AL268" i="4"/>
  <c r="AM268" i="4"/>
  <c r="AL284" i="4"/>
  <c r="AM284" i="4"/>
  <c r="BT284" i="4"/>
  <c r="BF284" i="4"/>
  <c r="BO284" i="4"/>
  <c r="BP284" i="4"/>
  <c r="AH284" i="4"/>
  <c r="AK284" i="4"/>
  <c r="AG300" i="4"/>
  <c r="AI300" i="4"/>
  <c r="AG347" i="4"/>
  <c r="AF401" i="4"/>
  <c r="BF345" i="4"/>
  <c r="BO345" i="4"/>
  <c r="BP345" i="4"/>
  <c r="AM345" i="4"/>
  <c r="AK345" i="4"/>
  <c r="AL345" i="4"/>
  <c r="BT345" i="4"/>
  <c r="AH345" i="4"/>
  <c r="AG410" i="4"/>
  <c r="AG417" i="4"/>
  <c r="AK239" i="4"/>
  <c r="BF239" i="4"/>
  <c r="BO239" i="4"/>
  <c r="BP239" i="4"/>
  <c r="AL239" i="4"/>
  <c r="BT239" i="4"/>
  <c r="AM239" i="4"/>
  <c r="BF377" i="4"/>
  <c r="BO377" i="4"/>
  <c r="BP377" i="4"/>
  <c r="BT377" i="4"/>
  <c r="AM377" i="4"/>
  <c r="AK377" i="4"/>
  <c r="AL377" i="4"/>
  <c r="AF507" i="4"/>
  <c r="AI507" i="4"/>
  <c r="AF314" i="4"/>
  <c r="AL387" i="4"/>
  <c r="AM387" i="4"/>
  <c r="BT387" i="4"/>
  <c r="BF387" i="4"/>
  <c r="BO387" i="4"/>
  <c r="BP387" i="4"/>
  <c r="AK387" i="4"/>
  <c r="AK355" i="4"/>
  <c r="BF355" i="4"/>
  <c r="BO355" i="4"/>
  <c r="BP355" i="4"/>
  <c r="AL355" i="4"/>
  <c r="BT355" i="4"/>
  <c r="AM355" i="4"/>
  <c r="AG533" i="4"/>
  <c r="AF537" i="4"/>
  <c r="AG456" i="4"/>
  <c r="AH557" i="4"/>
  <c r="AI557" i="4"/>
  <c r="AR557" i="4"/>
  <c r="AH466" i="4"/>
  <c r="AG584" i="4"/>
  <c r="AF583" i="4"/>
  <c r="AF587" i="4"/>
  <c r="AI587" i="4"/>
  <c r="AJ587" i="4"/>
  <c r="AH623" i="4"/>
  <c r="AG659" i="4"/>
  <c r="AM168" i="4"/>
  <c r="BT168" i="4"/>
  <c r="BF168" i="4"/>
  <c r="BO168" i="4"/>
  <c r="BP168" i="4"/>
  <c r="AL168" i="4"/>
  <c r="AH168" i="4"/>
  <c r="AI168" i="4"/>
  <c r="AK168" i="4"/>
  <c r="AG132" i="4"/>
  <c r="AI132" i="4"/>
  <c r="BT193" i="4"/>
  <c r="AL193" i="4"/>
  <c r="BF193" i="4"/>
  <c r="BO193" i="4"/>
  <c r="BP193" i="4"/>
  <c r="AK193" i="4"/>
  <c r="AM193" i="4"/>
  <c r="AH193" i="4"/>
  <c r="AI193" i="4"/>
  <c r="AJ193" i="4"/>
  <c r="BT148" i="4"/>
  <c r="AL148" i="4"/>
  <c r="AK148" i="4"/>
  <c r="AM148" i="4"/>
  <c r="BF148" i="4"/>
  <c r="BO148" i="4"/>
  <c r="BP148" i="4"/>
  <c r="AK178" i="4"/>
  <c r="BF178" i="4"/>
  <c r="BO178" i="4"/>
  <c r="BP178" i="4"/>
  <c r="AM178" i="4"/>
  <c r="BT178" i="4"/>
  <c r="AH178" i="4"/>
  <c r="AL178" i="4"/>
  <c r="AF228" i="4"/>
  <c r="AK236" i="4"/>
  <c r="AM236" i="4"/>
  <c r="AL236" i="4"/>
  <c r="BT236" i="4"/>
  <c r="BF236" i="4"/>
  <c r="BO236" i="4"/>
  <c r="BP236" i="4"/>
  <c r="AH320" i="4"/>
  <c r="AI320" i="4"/>
  <c r="AH246" i="4"/>
  <c r="BF317" i="4"/>
  <c r="BO317" i="4"/>
  <c r="BP317" i="4"/>
  <c r="AL317" i="4"/>
  <c r="AK317" i="4"/>
  <c r="BT317" i="4"/>
  <c r="AM317" i="4"/>
  <c r="AL415" i="4"/>
  <c r="AM415" i="4"/>
  <c r="AK415" i="4"/>
  <c r="BF415" i="4"/>
  <c r="BO415" i="4"/>
  <c r="BP415" i="4"/>
  <c r="BT415" i="4"/>
  <c r="AH378" i="4"/>
  <c r="AF365" i="4"/>
  <c r="BT435" i="4"/>
  <c r="AK435" i="4"/>
  <c r="AH435" i="4"/>
  <c r="AM435" i="4"/>
  <c r="AL435" i="4"/>
  <c r="BF435" i="4"/>
  <c r="BO435" i="4"/>
  <c r="BP435" i="4"/>
  <c r="AL486" i="4"/>
  <c r="AM486" i="4"/>
  <c r="AK486" i="4"/>
  <c r="BT486" i="4"/>
  <c r="BF486" i="4"/>
  <c r="BO486" i="4"/>
  <c r="BP486" i="4"/>
  <c r="AH486" i="4"/>
  <c r="AF536" i="4"/>
  <c r="BT606" i="4"/>
  <c r="BF606" i="4"/>
  <c r="BO606" i="4"/>
  <c r="BP606" i="4"/>
  <c r="AK606" i="4"/>
  <c r="AM606" i="4"/>
  <c r="AL606" i="4"/>
  <c r="AG453" i="4"/>
  <c r="AK472" i="4"/>
  <c r="AM472" i="4"/>
  <c r="BF472" i="4"/>
  <c r="BO472" i="4"/>
  <c r="BP472" i="4"/>
  <c r="BT472" i="4"/>
  <c r="AL472" i="4"/>
  <c r="AH472" i="4"/>
  <c r="AH562" i="4"/>
  <c r="AI562" i="4"/>
  <c r="AQ562" i="4"/>
  <c r="AH599" i="4"/>
  <c r="AM147" i="4"/>
  <c r="AK147" i="4"/>
  <c r="BF147" i="4"/>
  <c r="BO147" i="4"/>
  <c r="BP147" i="4"/>
  <c r="BT147" i="4"/>
  <c r="AL147" i="4"/>
  <c r="AG150" i="4"/>
  <c r="BF198" i="4"/>
  <c r="BO198" i="4"/>
  <c r="BP198" i="4"/>
  <c r="AL198" i="4"/>
  <c r="AM198" i="4"/>
  <c r="BT198" i="4"/>
  <c r="AK198" i="4"/>
  <c r="AH223" i="4"/>
  <c r="BF223" i="4"/>
  <c r="BO223" i="4"/>
  <c r="BP223" i="4"/>
  <c r="AL223" i="4"/>
  <c r="BT223" i="4"/>
  <c r="AK223" i="4"/>
  <c r="AM223" i="4"/>
  <c r="AM139" i="4"/>
  <c r="BT139" i="4"/>
  <c r="AK139" i="4"/>
  <c r="BF139" i="4"/>
  <c r="BO139" i="4"/>
  <c r="BP139" i="4"/>
  <c r="AL139" i="4"/>
  <c r="AL225" i="4"/>
  <c r="AK225" i="4"/>
  <c r="BF225" i="4"/>
  <c r="BO225" i="4"/>
  <c r="BP225" i="4"/>
  <c r="AM225" i="4"/>
  <c r="BT225" i="4"/>
  <c r="AH225" i="4"/>
  <c r="AG302" i="4"/>
  <c r="AF288" i="4"/>
  <c r="AH411" i="4"/>
  <c r="BF411" i="4"/>
  <c r="BO411" i="4"/>
  <c r="BP411" i="4"/>
  <c r="AM411" i="4"/>
  <c r="AK411" i="4"/>
  <c r="BT411" i="4"/>
  <c r="AL411" i="4"/>
  <c r="AG405" i="4"/>
  <c r="AH420" i="4"/>
  <c r="AJ245" i="4"/>
  <c r="AL414" i="4"/>
  <c r="BT414" i="4"/>
  <c r="AM414" i="4"/>
  <c r="AK414" i="4"/>
  <c r="BF414" i="4"/>
  <c r="BO414" i="4"/>
  <c r="BP414" i="4"/>
  <c r="AG545" i="4"/>
  <c r="BF501" i="4"/>
  <c r="BO501" i="4"/>
  <c r="BP501" i="4"/>
  <c r="BT501" i="4"/>
  <c r="AK501" i="4"/>
  <c r="AL501" i="4"/>
  <c r="AM501" i="4"/>
  <c r="AM488" i="4"/>
  <c r="BF488" i="4"/>
  <c r="BO488" i="4"/>
  <c r="BP488" i="4"/>
  <c r="AL488" i="4"/>
  <c r="AK488" i="4"/>
  <c r="AH488" i="4"/>
  <c r="BT488" i="4"/>
  <c r="AH585" i="4"/>
  <c r="AI585" i="4"/>
  <c r="AR585" i="4"/>
  <c r="BT585" i="4"/>
  <c r="AL585" i="4"/>
  <c r="BF585" i="4"/>
  <c r="BO585" i="4"/>
  <c r="BP585" i="4"/>
  <c r="AK585" i="4"/>
  <c r="AM585" i="4"/>
  <c r="AK651" i="4"/>
  <c r="AM651" i="4"/>
  <c r="BF651" i="4"/>
  <c r="BO651" i="4"/>
  <c r="BP651" i="4"/>
  <c r="AL651" i="4"/>
  <c r="BT651" i="4"/>
  <c r="AK166" i="4"/>
  <c r="BT166" i="4"/>
  <c r="AH166" i="4"/>
  <c r="AM166" i="4"/>
  <c r="AL166" i="4"/>
  <c r="BF166" i="4"/>
  <c r="BO166" i="4"/>
  <c r="BP166" i="4"/>
  <c r="BT303" i="4"/>
  <c r="AL303" i="4"/>
  <c r="AK303" i="4"/>
  <c r="BF303" i="4"/>
  <c r="BO303" i="4"/>
  <c r="BP303" i="4"/>
  <c r="AM303" i="4"/>
  <c r="AL142" i="4"/>
  <c r="BT142" i="4"/>
  <c r="AK142" i="4"/>
  <c r="BF142" i="4"/>
  <c r="BO142" i="4"/>
  <c r="BP142" i="4"/>
  <c r="AH142" i="4"/>
  <c r="AM142" i="4"/>
  <c r="AH292" i="4"/>
  <c r="AM292" i="4"/>
  <c r="BT292" i="4"/>
  <c r="AK292" i="4"/>
  <c r="BF292" i="4"/>
  <c r="BO292" i="4"/>
  <c r="BP292" i="4"/>
  <c r="AL292" i="4"/>
  <c r="AK393" i="4"/>
  <c r="BF393" i="4"/>
  <c r="BO393" i="4"/>
  <c r="BP393" i="4"/>
  <c r="AL393" i="4"/>
  <c r="BT393" i="4"/>
  <c r="AM393" i="4"/>
  <c r="AF370" i="4"/>
  <c r="BT370" i="4"/>
  <c r="AH370" i="4"/>
  <c r="AL370" i="4"/>
  <c r="AM370" i="4"/>
  <c r="BF370" i="4"/>
  <c r="BO370" i="4"/>
  <c r="BP370" i="4"/>
  <c r="AK370" i="4"/>
  <c r="AG438" i="4"/>
  <c r="AK431" i="4"/>
  <c r="AL431" i="4"/>
  <c r="BT431" i="4"/>
  <c r="BF431" i="4"/>
  <c r="BO431" i="4"/>
  <c r="BP431" i="4"/>
  <c r="AM431" i="4"/>
  <c r="AH431" i="4"/>
  <c r="AI295" i="4"/>
  <c r="AQ295" i="4"/>
  <c r="AL513" i="4"/>
  <c r="AK513" i="4"/>
  <c r="BT513" i="4"/>
  <c r="BF513" i="4"/>
  <c r="BO513" i="4"/>
  <c r="BP513" i="4"/>
  <c r="AM513" i="4"/>
  <c r="AL454" i="4"/>
  <c r="AM454" i="4"/>
  <c r="BT454" i="4"/>
  <c r="AK454" i="4"/>
  <c r="BF454" i="4"/>
  <c r="BO454" i="4"/>
  <c r="BP454" i="4"/>
  <c r="AL514" i="4"/>
  <c r="AM514" i="4"/>
  <c r="BT514" i="4"/>
  <c r="AK514" i="4"/>
  <c r="BF514" i="4"/>
  <c r="BO514" i="4"/>
  <c r="BP514" i="4"/>
  <c r="AM493" i="4"/>
  <c r="BF493" i="4"/>
  <c r="BO493" i="4"/>
  <c r="BP493" i="4"/>
  <c r="AL493" i="4"/>
  <c r="AK493" i="4"/>
  <c r="BT493" i="4"/>
  <c r="AH493" i="4"/>
  <c r="AF590" i="4"/>
  <c r="AI579" i="4"/>
  <c r="AR579" i="4"/>
  <c r="AI616" i="4"/>
  <c r="AL272" i="4"/>
  <c r="AM272" i="4"/>
  <c r="BF272" i="4"/>
  <c r="BO272" i="4"/>
  <c r="BP272" i="4"/>
  <c r="BT272" i="4"/>
  <c r="AK272" i="4"/>
  <c r="AH272" i="4"/>
  <c r="AL341" i="4"/>
  <c r="BT341" i="4"/>
  <c r="BF341" i="4"/>
  <c r="BO341" i="4"/>
  <c r="BP341" i="4"/>
  <c r="AK341" i="4"/>
  <c r="AM341" i="4"/>
  <c r="AL360" i="4"/>
  <c r="AM360" i="4"/>
  <c r="AK360" i="4"/>
  <c r="BF360" i="4"/>
  <c r="BO360" i="4"/>
  <c r="BP360" i="4"/>
  <c r="BT360" i="4"/>
  <c r="AF394" i="4"/>
  <c r="AM541" i="4"/>
  <c r="BF541" i="4"/>
  <c r="BO541" i="4"/>
  <c r="BP541" i="4"/>
  <c r="AL541" i="4"/>
  <c r="BT541" i="4"/>
  <c r="AK541" i="4"/>
  <c r="AF322" i="4"/>
  <c r="AM491" i="4"/>
  <c r="BF491" i="4"/>
  <c r="BO491" i="4"/>
  <c r="BP491" i="4"/>
  <c r="AK491" i="4"/>
  <c r="BT491" i="4"/>
  <c r="AL491" i="4"/>
  <c r="AG549" i="4"/>
  <c r="AH485" i="4"/>
  <c r="BF555" i="4"/>
  <c r="BO555" i="4"/>
  <c r="BP555" i="4"/>
  <c r="AK555" i="4"/>
  <c r="BT555" i="4"/>
  <c r="AM555" i="4"/>
  <c r="AL555" i="4"/>
  <c r="AI484" i="4"/>
  <c r="AG548" i="4"/>
  <c r="AL475" i="4"/>
  <c r="BF475" i="4"/>
  <c r="BO475" i="4"/>
  <c r="BP475" i="4"/>
  <c r="AM475" i="4"/>
  <c r="BT475" i="4"/>
  <c r="AK475" i="4"/>
  <c r="AG462" i="4"/>
  <c r="AH576" i="4"/>
  <c r="BF645" i="4"/>
  <c r="BO645" i="4"/>
  <c r="BP645" i="4"/>
  <c r="AK645" i="4"/>
  <c r="AH645" i="4"/>
  <c r="AL645" i="4"/>
  <c r="BT645" i="4"/>
  <c r="AM645" i="4"/>
  <c r="AG581" i="4"/>
  <c r="AG641" i="4"/>
  <c r="AF205" i="4"/>
  <c r="BF202" i="4"/>
  <c r="BO202" i="4"/>
  <c r="BP202" i="4"/>
  <c r="AK202" i="4"/>
  <c r="AL202" i="4"/>
  <c r="AM202" i="4"/>
  <c r="AH202" i="4"/>
  <c r="AI202" i="4"/>
  <c r="AJ202" i="4"/>
  <c r="BT202" i="4"/>
  <c r="AG146" i="4"/>
  <c r="AF188" i="4"/>
  <c r="AF315" i="4"/>
  <c r="AH363" i="4"/>
  <c r="AG399" i="4"/>
  <c r="AH399" i="4"/>
  <c r="AK399" i="4"/>
  <c r="AL399" i="4"/>
  <c r="BF399" i="4"/>
  <c r="BO399" i="4"/>
  <c r="BP399" i="4"/>
  <c r="AM399" i="4"/>
  <c r="BT399" i="4"/>
  <c r="AK227" i="4"/>
  <c r="AM227" i="4"/>
  <c r="BF227" i="4"/>
  <c r="BO227" i="4"/>
  <c r="BP227" i="4"/>
  <c r="AL227" i="4"/>
  <c r="BT227" i="4"/>
  <c r="AM428" i="4"/>
  <c r="AK428" i="4"/>
  <c r="BF428" i="4"/>
  <c r="BO428" i="4"/>
  <c r="BP428" i="4"/>
  <c r="AL428" i="4"/>
  <c r="BT428" i="4"/>
  <c r="AH428" i="4"/>
  <c r="AH432" i="4"/>
  <c r="AG334" i="4"/>
  <c r="BF540" i="4"/>
  <c r="BO540" i="4"/>
  <c r="BP540" i="4"/>
  <c r="BT540" i="4"/>
  <c r="AL540" i="4"/>
  <c r="AM540" i="4"/>
  <c r="AK540" i="4"/>
  <c r="AG614" i="4"/>
  <c r="AF209" i="4"/>
  <c r="AI221" i="4"/>
  <c r="AJ221" i="4"/>
  <c r="BF242" i="4"/>
  <c r="BO242" i="4"/>
  <c r="BP242" i="4"/>
  <c r="AM242" i="4"/>
  <c r="BT242" i="4"/>
  <c r="AL242" i="4"/>
  <c r="AK242" i="4"/>
  <c r="AH255" i="4"/>
  <c r="AH305" i="4"/>
  <c r="AH398" i="4"/>
  <c r="AH312" i="4"/>
  <c r="BF312" i="4"/>
  <c r="BO312" i="4"/>
  <c r="BP312" i="4"/>
  <c r="BT312" i="4"/>
  <c r="AK312" i="4"/>
  <c r="AM312" i="4"/>
  <c r="AL312" i="4"/>
  <c r="AH434" i="4"/>
  <c r="AF425" i="4"/>
  <c r="BF500" i="4"/>
  <c r="BO500" i="4"/>
  <c r="BP500" i="4"/>
  <c r="AM500" i="4"/>
  <c r="AL500" i="4"/>
  <c r="BT500" i="4"/>
  <c r="AK500" i="4"/>
  <c r="AH500" i="4"/>
  <c r="BF366" i="4"/>
  <c r="BO366" i="4"/>
  <c r="BP366" i="4"/>
  <c r="AK366" i="4"/>
  <c r="AH366" i="4"/>
  <c r="BT366" i="4"/>
  <c r="AM366" i="4"/>
  <c r="AL366" i="4"/>
  <c r="BT252" i="4"/>
  <c r="BF252" i="4"/>
  <c r="BO252" i="4"/>
  <c r="BP252" i="4"/>
  <c r="AM252" i="4"/>
  <c r="AK252" i="4"/>
  <c r="AL252" i="4"/>
  <c r="AG478" i="4"/>
  <c r="AH478" i="4"/>
  <c r="AL478" i="4"/>
  <c r="BF478" i="4"/>
  <c r="BO478" i="4"/>
  <c r="BP478" i="4"/>
  <c r="BT478" i="4"/>
  <c r="AK478" i="4"/>
  <c r="AM478" i="4"/>
  <c r="AF558" i="4"/>
  <c r="AH477" i="4"/>
  <c r="AF495" i="4"/>
  <c r="AL611" i="4"/>
  <c r="BT611" i="4"/>
  <c r="BF611" i="4"/>
  <c r="BO611" i="4"/>
  <c r="BP611" i="4"/>
  <c r="AM611" i="4"/>
  <c r="AH611" i="4"/>
  <c r="AK611" i="4"/>
  <c r="AI474" i="4"/>
  <c r="AL564" i="4"/>
  <c r="AM564" i="4"/>
  <c r="BT564" i="4"/>
  <c r="AH564" i="4"/>
  <c r="BF564" i="4"/>
  <c r="BO564" i="4"/>
  <c r="BP564" i="4"/>
  <c r="AK564" i="4"/>
  <c r="AM655" i="4"/>
  <c r="BF655" i="4"/>
  <c r="BO655" i="4"/>
  <c r="BP655" i="4"/>
  <c r="AK655" i="4"/>
  <c r="BT655" i="4"/>
  <c r="AL655" i="4"/>
  <c r="AG633" i="4"/>
  <c r="AL633" i="4"/>
  <c r="BF633" i="4"/>
  <c r="BO633" i="4"/>
  <c r="BP633" i="4"/>
  <c r="AK633" i="4"/>
  <c r="AM633" i="4"/>
  <c r="BT633" i="4"/>
  <c r="AH612" i="4"/>
  <c r="AH180" i="4"/>
  <c r="AI161" i="4"/>
  <c r="AH206" i="4"/>
  <c r="AI267" i="4"/>
  <c r="BF318" i="4"/>
  <c r="BO318" i="4"/>
  <c r="BP318" i="4"/>
  <c r="AK318" i="4"/>
  <c r="BT318" i="4"/>
  <c r="AM318" i="4"/>
  <c r="AH318" i="4"/>
  <c r="AL318" i="4"/>
  <c r="AF296" i="4"/>
  <c r="AF407" i="4"/>
  <c r="AI533" i="4"/>
  <c r="AJ533" i="4"/>
  <c r="AP533" i="4"/>
  <c r="AH537" i="4"/>
  <c r="AM537" i="4"/>
  <c r="BF537" i="4"/>
  <c r="BO537" i="4"/>
  <c r="BP537" i="4"/>
  <c r="BT537" i="4"/>
  <c r="AK537" i="4"/>
  <c r="AL537" i="4"/>
  <c r="AM604" i="4"/>
  <c r="AK604" i="4"/>
  <c r="BT604" i="4"/>
  <c r="AL604" i="4"/>
  <c r="AH604" i="4"/>
  <c r="BF604" i="4"/>
  <c r="BO604" i="4"/>
  <c r="BP604" i="4"/>
  <c r="AF642" i="4"/>
  <c r="AF659" i="4"/>
  <c r="AI148" i="4"/>
  <c r="AR148" i="4"/>
  <c r="AL228" i="4"/>
  <c r="AK228" i="4"/>
  <c r="BT228" i="4"/>
  <c r="AM228" i="4"/>
  <c r="BF228" i="4"/>
  <c r="BO228" i="4"/>
  <c r="BP228" i="4"/>
  <c r="AH310" i="4"/>
  <c r="AG246" i="4"/>
  <c r="AG418" i="4"/>
  <c r="AI418" i="4"/>
  <c r="AG241" i="4"/>
  <c r="AL365" i="4"/>
  <c r="BF365" i="4"/>
  <c r="BO365" i="4"/>
  <c r="BP365" i="4"/>
  <c r="AH365" i="4"/>
  <c r="AM365" i="4"/>
  <c r="BT365" i="4"/>
  <c r="AK365" i="4"/>
  <c r="AG436" i="4"/>
  <c r="AF539" i="4"/>
  <c r="AH536" i="4"/>
  <c r="AH559" i="4"/>
  <c r="AF578" i="4"/>
  <c r="AK453" i="4"/>
  <c r="AL453" i="4"/>
  <c r="BF453" i="4"/>
  <c r="BO453" i="4"/>
  <c r="BP453" i="4"/>
  <c r="AM453" i="4"/>
  <c r="BT453" i="4"/>
  <c r="AG599" i="4"/>
  <c r="AG586" i="4"/>
  <c r="AK171" i="4"/>
  <c r="AM171" i="4"/>
  <c r="AH171" i="4"/>
  <c r="BF171" i="4"/>
  <c r="BO171" i="4"/>
  <c r="BP171" i="4"/>
  <c r="BT171" i="4"/>
  <c r="AL171" i="4"/>
  <c r="AL182" i="4"/>
  <c r="BT182" i="4"/>
  <c r="AM182" i="4"/>
  <c r="BF182" i="4"/>
  <c r="BO182" i="4"/>
  <c r="BP182" i="4"/>
  <c r="AK182" i="4"/>
  <c r="AF147" i="4"/>
  <c r="AI147" i="4"/>
  <c r="AF198" i="4"/>
  <c r="AF223" i="4"/>
  <c r="BT270" i="4"/>
  <c r="BF270" i="4"/>
  <c r="BO270" i="4"/>
  <c r="BP270" i="4"/>
  <c r="AL270" i="4"/>
  <c r="AM270" i="4"/>
  <c r="AK270" i="4"/>
  <c r="AG299" i="4"/>
  <c r="AF411" i="4"/>
  <c r="AH330" i="4"/>
  <c r="AM330" i="4"/>
  <c r="BF330" i="4"/>
  <c r="BO330" i="4"/>
  <c r="BP330" i="4"/>
  <c r="BT330" i="4"/>
  <c r="AL330" i="4"/>
  <c r="AK330" i="4"/>
  <c r="AM383" i="4"/>
  <c r="AL383" i="4"/>
  <c r="AK383" i="4"/>
  <c r="BT383" i="4"/>
  <c r="AH383" i="4"/>
  <c r="AI383" i="4"/>
  <c r="AR383" i="4"/>
  <c r="BF383" i="4"/>
  <c r="BO383" i="4"/>
  <c r="BP383" i="4"/>
  <c r="AF420" i="4"/>
  <c r="AL245" i="4"/>
  <c r="AK245" i="4"/>
  <c r="AM245" i="4"/>
  <c r="BT245" i="4"/>
  <c r="BF245" i="4"/>
  <c r="BO245" i="4"/>
  <c r="BP245" i="4"/>
  <c r="AQ245" i="4"/>
  <c r="AR245" i="4"/>
  <c r="AH367" i="4"/>
  <c r="AI367" i="4"/>
  <c r="AL367" i="4"/>
  <c r="BT367" i="4"/>
  <c r="BF367" i="4"/>
  <c r="BO367" i="4"/>
  <c r="BP367" i="4"/>
  <c r="AM367" i="4"/>
  <c r="AK367" i="4"/>
  <c r="BT458" i="4"/>
  <c r="AK458" i="4"/>
  <c r="AM458" i="4"/>
  <c r="AL458" i="4"/>
  <c r="BF458" i="4"/>
  <c r="BO458" i="4"/>
  <c r="BP458" i="4"/>
  <c r="AH463" i="4"/>
  <c r="AI463" i="4"/>
  <c r="BF463" i="4"/>
  <c r="BO463" i="4"/>
  <c r="BP463" i="4"/>
  <c r="AM463" i="4"/>
  <c r="AK463" i="4"/>
  <c r="BT463" i="4"/>
  <c r="AL463" i="4"/>
  <c r="AF561" i="4"/>
  <c r="AH501" i="4"/>
  <c r="AF488" i="4"/>
  <c r="BT640" i="4"/>
  <c r="AL640" i="4"/>
  <c r="AR640" i="4"/>
  <c r="AM640" i="4"/>
  <c r="AK640" i="4"/>
  <c r="BF640" i="4"/>
  <c r="BO640" i="4"/>
  <c r="BP640" i="4"/>
  <c r="AF639" i="4"/>
  <c r="AG651" i="4"/>
  <c r="AH159" i="4"/>
  <c r="AG136" i="4"/>
  <c r="AH175" i="4"/>
  <c r="AM175" i="4"/>
  <c r="BF175" i="4"/>
  <c r="BO175" i="4"/>
  <c r="BP175" i="4"/>
  <c r="AL175" i="4"/>
  <c r="AK175" i="4"/>
  <c r="BT175" i="4"/>
  <c r="AG155" i="4"/>
  <c r="AF219" i="4"/>
  <c r="AM291" i="4"/>
  <c r="AL291" i="4"/>
  <c r="BT291" i="4"/>
  <c r="AH291" i="4"/>
  <c r="AK291" i="4"/>
  <c r="BF291" i="4"/>
  <c r="BO291" i="4"/>
  <c r="BP291" i="4"/>
  <c r="AH303" i="4"/>
  <c r="AF142" i="4"/>
  <c r="AL351" i="4"/>
  <c r="AH351" i="4"/>
  <c r="BF351" i="4"/>
  <c r="BO351" i="4"/>
  <c r="BP351" i="4"/>
  <c r="AM351" i="4"/>
  <c r="AK351" i="4"/>
  <c r="BT351" i="4"/>
  <c r="AI354" i="4"/>
  <c r="AG292" i="4"/>
  <c r="AG313" i="4"/>
  <c r="AF438" i="4"/>
  <c r="AF388" i="4"/>
  <c r="BT342" i="4"/>
  <c r="AL342" i="4"/>
  <c r="AK342" i="4"/>
  <c r="BF342" i="4"/>
  <c r="BO342" i="4"/>
  <c r="BP342" i="4"/>
  <c r="AM342" i="4"/>
  <c r="BT295" i="4"/>
  <c r="AK295" i="4"/>
  <c r="BF295" i="4"/>
  <c r="BO295" i="4"/>
  <c r="BP295" i="4"/>
  <c r="AM295" i="4"/>
  <c r="AL295" i="4"/>
  <c r="AG489" i="4"/>
  <c r="AM489" i="4"/>
  <c r="AK489" i="4"/>
  <c r="AL489" i="4"/>
  <c r="BF489" i="4"/>
  <c r="BO489" i="4"/>
  <c r="BP489" i="4"/>
  <c r="BT489" i="4"/>
  <c r="AH489" i="4"/>
  <c r="AM487" i="4"/>
  <c r="BT487" i="4"/>
  <c r="BF487" i="4"/>
  <c r="BO487" i="4"/>
  <c r="BP487" i="4"/>
  <c r="AK487" i="4"/>
  <c r="AL487" i="4"/>
  <c r="AL542" i="4"/>
  <c r="AK542" i="4"/>
  <c r="BT542" i="4"/>
  <c r="BF542" i="4"/>
  <c r="BO542" i="4"/>
  <c r="BP542" i="4"/>
  <c r="AH542" i="4"/>
  <c r="AM542" i="4"/>
  <c r="BF609" i="4"/>
  <c r="BO609" i="4"/>
  <c r="BP609" i="4"/>
  <c r="AL609" i="4"/>
  <c r="AK609" i="4"/>
  <c r="BT609" i="4"/>
  <c r="AM609" i="4"/>
  <c r="AH609" i="4"/>
  <c r="AH502" i="4"/>
  <c r="AM502" i="4"/>
  <c r="AK502" i="4"/>
  <c r="BT502" i="4"/>
  <c r="AL502" i="4"/>
  <c r="BF502" i="4"/>
  <c r="BO502" i="4"/>
  <c r="BP502" i="4"/>
  <c r="AF493" i="4"/>
  <c r="AM624" i="4"/>
  <c r="AK624" i="4"/>
  <c r="BT624" i="4"/>
  <c r="BF624" i="4"/>
  <c r="BO624" i="4"/>
  <c r="BP624" i="4"/>
  <c r="AH624" i="4"/>
  <c r="AL624" i="4"/>
  <c r="BF634" i="4"/>
  <c r="BO634" i="4"/>
  <c r="BP634" i="4"/>
  <c r="BT634" i="4"/>
  <c r="AL634" i="4"/>
  <c r="AM634" i="4"/>
  <c r="AK634" i="4"/>
  <c r="AH634" i="4"/>
  <c r="AI634" i="4"/>
  <c r="AJ634" i="4"/>
  <c r="AX634" i="4"/>
  <c r="AL154" i="4"/>
  <c r="AM154" i="4"/>
  <c r="BT154" i="4"/>
  <c r="BF154" i="4"/>
  <c r="BO154" i="4"/>
  <c r="BP154" i="4"/>
  <c r="AH154" i="4"/>
  <c r="AI154" i="4"/>
  <c r="AK154" i="4"/>
  <c r="AF184" i="4"/>
  <c r="AI184" i="4"/>
  <c r="AK158" i="4"/>
  <c r="BF158" i="4"/>
  <c r="BO158" i="4"/>
  <c r="BP158" i="4"/>
  <c r="AH158" i="4"/>
  <c r="AI158" i="4"/>
  <c r="AJ158" i="4"/>
  <c r="AM158" i="4"/>
  <c r="AL158" i="4"/>
  <c r="BT158" i="4"/>
  <c r="AF162" i="4"/>
  <c r="AF293" i="4"/>
  <c r="AG272" i="4"/>
  <c r="AM287" i="4"/>
  <c r="BF287" i="4"/>
  <c r="BO287" i="4"/>
  <c r="BP287" i="4"/>
  <c r="BT287" i="4"/>
  <c r="AH287" i="4"/>
  <c r="AL287" i="4"/>
  <c r="AK287" i="4"/>
  <c r="AG360" i="4"/>
  <c r="AH395" i="4"/>
  <c r="BF395" i="4"/>
  <c r="BO395" i="4"/>
  <c r="BP395" i="4"/>
  <c r="AM395" i="4"/>
  <c r="BT395" i="4"/>
  <c r="AL395" i="4"/>
  <c r="AK395" i="4"/>
  <c r="AM276" i="4"/>
  <c r="BF276" i="4"/>
  <c r="BO276" i="4"/>
  <c r="BP276" i="4"/>
  <c r="AH276" i="4"/>
  <c r="AL276" i="4"/>
  <c r="BT276" i="4"/>
  <c r="AK276" i="4"/>
  <c r="AI397" i="4"/>
  <c r="AH385" i="4"/>
  <c r="BT385" i="4"/>
  <c r="AM385" i="4"/>
  <c r="AL385" i="4"/>
  <c r="BF385" i="4"/>
  <c r="BO385" i="4"/>
  <c r="BP385" i="4"/>
  <c r="AK385" i="4"/>
  <c r="AH541" i="4"/>
  <c r="AF402" i="4"/>
  <c r="AG455" i="4"/>
  <c r="AH467" i="4"/>
  <c r="AK467" i="4"/>
  <c r="AL467" i="4"/>
  <c r="AM467" i="4"/>
  <c r="BT467" i="4"/>
  <c r="BF467" i="4"/>
  <c r="BO467" i="4"/>
  <c r="BP467" i="4"/>
  <c r="AG485" i="4"/>
  <c r="BF469" i="4"/>
  <c r="BO469" i="4"/>
  <c r="BP469" i="4"/>
  <c r="BT469" i="4"/>
  <c r="AL469" i="4"/>
  <c r="AK469" i="4"/>
  <c r="AM469" i="4"/>
  <c r="AM484" i="4"/>
  <c r="BT484" i="4"/>
  <c r="BF484" i="4"/>
  <c r="BO484" i="4"/>
  <c r="BP484" i="4"/>
  <c r="AK484" i="4"/>
  <c r="AL484" i="4"/>
  <c r="AF548" i="4"/>
  <c r="AK535" i="4"/>
  <c r="BF535" i="4"/>
  <c r="BO535" i="4"/>
  <c r="BP535" i="4"/>
  <c r="AM535" i="4"/>
  <c r="AL535" i="4"/>
  <c r="BT535" i="4"/>
  <c r="AH535" i="4"/>
  <c r="AF629" i="4"/>
  <c r="BO576" i="4"/>
  <c r="BP576" i="4"/>
  <c r="AF645" i="4"/>
  <c r="AH581" i="4"/>
  <c r="AL617" i="4"/>
  <c r="AM617" i="4"/>
  <c r="BT617" i="4"/>
  <c r="AK617" i="4"/>
  <c r="BF617" i="4"/>
  <c r="BO617" i="4"/>
  <c r="BP617" i="4"/>
  <c r="AH617" i="4"/>
  <c r="AI617" i="4"/>
  <c r="AJ617" i="4"/>
  <c r="AW617" i="4"/>
  <c r="AH656" i="4"/>
  <c r="AF641" i="4"/>
  <c r="AI192" i="4"/>
  <c r="AK179" i="4"/>
  <c r="AH179" i="4"/>
  <c r="BT179" i="4"/>
  <c r="BF179" i="4"/>
  <c r="BO179" i="4"/>
  <c r="BP179" i="4"/>
  <c r="AL179" i="4"/>
  <c r="AM179" i="4"/>
  <c r="BT131" i="4"/>
  <c r="AM131" i="4"/>
  <c r="BF131" i="4"/>
  <c r="BO131" i="4"/>
  <c r="BP131" i="4"/>
  <c r="AK131" i="4"/>
  <c r="AL131" i="4"/>
  <c r="AH131" i="4"/>
  <c r="AG188" i="4"/>
  <c r="BT174" i="4"/>
  <c r="AK174" i="4"/>
  <c r="AL174" i="4"/>
  <c r="AM174" i="4"/>
  <c r="BF174" i="4"/>
  <c r="BO174" i="4"/>
  <c r="BP174" i="4"/>
  <c r="AH283" i="4"/>
  <c r="BF283" i="4"/>
  <c r="BO283" i="4"/>
  <c r="BP283" i="4"/>
  <c r="AM283" i="4"/>
  <c r="AK283" i="4"/>
  <c r="BT283" i="4"/>
  <c r="AL283" i="4"/>
  <c r="AL306" i="4"/>
  <c r="AM306" i="4"/>
  <c r="BF306" i="4"/>
  <c r="BO306" i="4"/>
  <c r="BP306" i="4"/>
  <c r="AK306" i="4"/>
  <c r="BT306" i="4"/>
  <c r="AR306" i="4"/>
  <c r="AQ306" i="4"/>
  <c r="BF274" i="4"/>
  <c r="BO274" i="4"/>
  <c r="BP274" i="4"/>
  <c r="AL274" i="4"/>
  <c r="AM274" i="4"/>
  <c r="AK274" i="4"/>
  <c r="AH274" i="4"/>
  <c r="BT274" i="4"/>
  <c r="AG363" i="4"/>
  <c r="AF428" i="4"/>
  <c r="AF353" i="4"/>
  <c r="AH353" i="4"/>
  <c r="BT353" i="4"/>
  <c r="AL353" i="4"/>
  <c r="BF353" i="4"/>
  <c r="BO353" i="4"/>
  <c r="BP353" i="4"/>
  <c r="AK353" i="4"/>
  <c r="AM353" i="4"/>
  <c r="AH498" i="4"/>
  <c r="BF498" i="4"/>
  <c r="BO498" i="4"/>
  <c r="BP498" i="4"/>
  <c r="AL498" i="4"/>
  <c r="BT498" i="4"/>
  <c r="AK498" i="4"/>
  <c r="AM498" i="4"/>
  <c r="AH540" i="4"/>
  <c r="AF614" i="4"/>
  <c r="AL632" i="4"/>
  <c r="AK632" i="4"/>
  <c r="AH632" i="4"/>
  <c r="AM632" i="4"/>
  <c r="BT632" i="4"/>
  <c r="BF632" i="4"/>
  <c r="BO632" i="4"/>
  <c r="BP632" i="4"/>
  <c r="AG653" i="4"/>
  <c r="BT594" i="4"/>
  <c r="AL594" i="4"/>
  <c r="AM594" i="4"/>
  <c r="BF594" i="4"/>
  <c r="BO594" i="4"/>
  <c r="BP594" i="4"/>
  <c r="AK594" i="4"/>
  <c r="AH210" i="4"/>
  <c r="AM221" i="4"/>
  <c r="BF221" i="4"/>
  <c r="BO221" i="4"/>
  <c r="BP221" i="4"/>
  <c r="AL221" i="4"/>
  <c r="AK221" i="4"/>
  <c r="BT221" i="4"/>
  <c r="AQ221" i="4"/>
  <c r="AR221" i="4"/>
  <c r="AH242" i="4"/>
  <c r="AI226" i="4"/>
  <c r="AF255" i="4"/>
  <c r="AF331" i="4"/>
  <c r="AG305" i="4"/>
  <c r="BF374" i="4"/>
  <c r="BO374" i="4"/>
  <c r="BP374" i="4"/>
  <c r="AK374" i="4"/>
  <c r="AL374" i="4"/>
  <c r="BT374" i="4"/>
  <c r="AM374" i="4"/>
  <c r="AF434" i="4"/>
  <c r="AM406" i="4"/>
  <c r="AL406" i="4"/>
  <c r="BF406" i="4"/>
  <c r="BO406" i="4"/>
  <c r="BP406" i="4"/>
  <c r="BT406" i="4"/>
  <c r="AH406" i="4"/>
  <c r="AK406" i="4"/>
  <c r="AM445" i="4"/>
  <c r="AL445" i="4"/>
  <c r="BT445" i="4"/>
  <c r="AH445" i="4"/>
  <c r="BF445" i="4"/>
  <c r="BO445" i="4"/>
  <c r="BP445" i="4"/>
  <c r="AK445" i="4"/>
  <c r="AG252" i="4"/>
  <c r="AF478" i="4"/>
  <c r="BF521" i="4"/>
  <c r="BO521" i="4"/>
  <c r="BP521" i="4"/>
  <c r="AM521" i="4"/>
  <c r="BT521" i="4"/>
  <c r="AK521" i="4"/>
  <c r="AL521" i="4"/>
  <c r="AG558" i="4"/>
  <c r="AI571" i="4"/>
  <c r="AG644" i="4"/>
  <c r="AL647" i="4"/>
  <c r="BF647" i="4"/>
  <c r="BO647" i="4"/>
  <c r="BP647" i="4"/>
  <c r="BT647" i="4"/>
  <c r="AK647" i="4"/>
  <c r="AM647" i="4"/>
  <c r="AH647" i="4"/>
  <c r="AH608" i="4"/>
  <c r="AM608" i="4"/>
  <c r="BT608" i="4"/>
  <c r="AK608" i="4"/>
  <c r="AL608" i="4"/>
  <c r="BF608" i="4"/>
  <c r="BO608" i="4"/>
  <c r="BP608" i="4"/>
  <c r="AG580" i="4"/>
  <c r="AM635" i="4"/>
  <c r="AK635" i="4"/>
  <c r="AL635" i="4"/>
  <c r="BF635" i="4"/>
  <c r="BO635" i="4"/>
  <c r="BP635" i="4"/>
  <c r="BT635" i="4"/>
  <c r="BF658" i="4"/>
  <c r="BO658" i="4"/>
  <c r="BP658" i="4"/>
  <c r="AH658" i="4"/>
  <c r="AM658" i="4"/>
  <c r="AK658" i="4"/>
  <c r="AL658" i="4"/>
  <c r="BT658" i="4"/>
  <c r="AH376" i="4"/>
  <c r="AI356" i="4"/>
  <c r="AF422" i="4"/>
  <c r="AK266" i="4"/>
  <c r="BT266" i="4"/>
  <c r="AL266" i="4"/>
  <c r="BF266" i="4"/>
  <c r="BO266" i="4"/>
  <c r="BP266" i="4"/>
  <c r="AM266" i="4"/>
  <c r="AH516" i="4"/>
  <c r="AG531" i="4"/>
  <c r="BT522" i="4"/>
  <c r="BF522" i="4"/>
  <c r="BO522" i="4"/>
  <c r="BP522" i="4"/>
  <c r="AK522" i="4"/>
  <c r="AH522" i="4"/>
  <c r="AM522" i="4"/>
  <c r="AL522" i="4"/>
  <c r="AG655" i="4"/>
  <c r="AL627" i="4"/>
  <c r="BF627" i="4"/>
  <c r="BO627" i="4"/>
  <c r="BP627" i="4"/>
  <c r="AK627" i="4"/>
  <c r="BT627" i="4"/>
  <c r="AH627" i="4"/>
  <c r="AM627" i="4"/>
  <c r="AM186" i="4"/>
  <c r="BF186" i="4"/>
  <c r="BO186" i="4"/>
  <c r="BP186" i="4"/>
  <c r="AK186" i="4"/>
  <c r="BT186" i="4"/>
  <c r="AL186" i="4"/>
  <c r="AL200" i="4"/>
  <c r="AK200" i="4"/>
  <c r="AM200" i="4"/>
  <c r="BF200" i="4"/>
  <c r="BO200" i="4"/>
  <c r="BP200" i="4"/>
  <c r="BT200" i="4"/>
  <c r="BT127" i="4"/>
  <c r="AL127" i="4"/>
  <c r="AM127" i="4"/>
  <c r="BF127" i="4"/>
  <c r="BO127" i="4"/>
  <c r="BP127" i="4"/>
  <c r="AK127" i="4"/>
  <c r="AF206" i="4"/>
  <c r="AL187" i="4"/>
  <c r="BF187" i="4"/>
  <c r="BO187" i="4"/>
  <c r="BP187" i="4"/>
  <c r="AM187" i="4"/>
  <c r="AK187" i="4"/>
  <c r="BT187" i="4"/>
  <c r="AH187" i="4"/>
  <c r="BT199" i="4"/>
  <c r="BF199" i="4"/>
  <c r="BO199" i="4"/>
  <c r="BP199" i="4"/>
  <c r="AM199" i="4"/>
  <c r="AK199" i="4"/>
  <c r="AL199" i="4"/>
  <c r="AM298" i="4"/>
  <c r="BF298" i="4"/>
  <c r="BO298" i="4"/>
  <c r="BP298" i="4"/>
  <c r="BT298" i="4"/>
  <c r="AL298" i="4"/>
  <c r="AK298" i="4"/>
  <c r="AH298" i="4"/>
  <c r="AI298" i="4"/>
  <c r="AM247" i="4"/>
  <c r="AH247" i="4"/>
  <c r="AL247" i="4"/>
  <c r="AK247" i="4"/>
  <c r="BF247" i="4"/>
  <c r="BO247" i="4"/>
  <c r="BP247" i="4"/>
  <c r="BT247" i="4"/>
  <c r="AF240" i="4"/>
  <c r="AL300" i="4"/>
  <c r="AK300" i="4"/>
  <c r="BF300" i="4"/>
  <c r="BO300" i="4"/>
  <c r="BP300" i="4"/>
  <c r="BT300" i="4"/>
  <c r="AM300" i="4"/>
  <c r="AM401" i="4"/>
  <c r="AL401" i="4"/>
  <c r="BF401" i="4"/>
  <c r="BO401" i="4"/>
  <c r="BP401" i="4"/>
  <c r="BT401" i="4"/>
  <c r="AK401" i="4"/>
  <c r="AH401" i="4"/>
  <c r="AG358" i="4"/>
  <c r="AM417" i="4"/>
  <c r="BT417" i="4"/>
  <c r="BF417" i="4"/>
  <c r="BO417" i="4"/>
  <c r="BP417" i="4"/>
  <c r="AK417" i="4"/>
  <c r="AL417" i="4"/>
  <c r="AH316" i="4"/>
  <c r="BF316" i="4"/>
  <c r="BO316" i="4"/>
  <c r="BP316" i="4"/>
  <c r="AL316" i="4"/>
  <c r="AM316" i="4"/>
  <c r="AK316" i="4"/>
  <c r="BT316" i="4"/>
  <c r="AM433" i="4"/>
  <c r="BF433" i="4"/>
  <c r="BO433" i="4"/>
  <c r="BP433" i="4"/>
  <c r="AL433" i="4"/>
  <c r="BT433" i="4"/>
  <c r="AK433" i="4"/>
  <c r="AM490" i="4"/>
  <c r="AK490" i="4"/>
  <c r="BF490" i="4"/>
  <c r="BO490" i="4"/>
  <c r="BP490" i="4"/>
  <c r="BT490" i="4"/>
  <c r="AL490" i="4"/>
  <c r="BT314" i="4"/>
  <c r="AM314" i="4"/>
  <c r="AK314" i="4"/>
  <c r="AL314" i="4"/>
  <c r="AH314" i="4"/>
  <c r="BF314" i="4"/>
  <c r="BO314" i="4"/>
  <c r="BP314" i="4"/>
  <c r="AK506" i="4"/>
  <c r="BF506" i="4"/>
  <c r="BO506" i="4"/>
  <c r="BP506" i="4"/>
  <c r="BT506" i="4"/>
  <c r="AM506" i="4"/>
  <c r="AL506" i="4"/>
  <c r="AH506" i="4"/>
  <c r="AL533" i="4"/>
  <c r="BT533" i="4"/>
  <c r="AK533" i="4"/>
  <c r="AM533" i="4"/>
  <c r="BF533" i="4"/>
  <c r="BO533" i="4"/>
  <c r="BP533" i="4"/>
  <c r="AQ533" i="4"/>
  <c r="AG537" i="4"/>
  <c r="BF557" i="4"/>
  <c r="AK557" i="4"/>
  <c r="AM557" i="4"/>
  <c r="AL557" i="4"/>
  <c r="BT557" i="4"/>
  <c r="AF466" i="4"/>
  <c r="AG593" i="4"/>
  <c r="AM660" i="4"/>
  <c r="AK660" i="4"/>
  <c r="BF660" i="4"/>
  <c r="BO660" i="4"/>
  <c r="BP660" i="4"/>
  <c r="AL660" i="4"/>
  <c r="BT660" i="4"/>
  <c r="AK583" i="4"/>
  <c r="BF583" i="4"/>
  <c r="BO583" i="4"/>
  <c r="BP583" i="4"/>
  <c r="AL583" i="4"/>
  <c r="BT583" i="4"/>
  <c r="AM583" i="4"/>
  <c r="AH583" i="4"/>
  <c r="AG642" i="4"/>
  <c r="AG201" i="4"/>
  <c r="BT201" i="4"/>
  <c r="AL201" i="4"/>
  <c r="BF201" i="4"/>
  <c r="BO201" i="4"/>
  <c r="BP201" i="4"/>
  <c r="AH201" i="4"/>
  <c r="AM201" i="4"/>
  <c r="AK201" i="4"/>
  <c r="AM132" i="4"/>
  <c r="AL132" i="4"/>
  <c r="BT132" i="4"/>
  <c r="AK132" i="4"/>
  <c r="BF132" i="4"/>
  <c r="BO132" i="4"/>
  <c r="BP132" i="4"/>
  <c r="AG176" i="4"/>
  <c r="AH228" i="4"/>
  <c r="AL320" i="4"/>
  <c r="AM320" i="4"/>
  <c r="BT320" i="4"/>
  <c r="AK320" i="4"/>
  <c r="BF320" i="4"/>
  <c r="BO320" i="4"/>
  <c r="BP320" i="4"/>
  <c r="AI409" i="4"/>
  <c r="AH241" i="4"/>
  <c r="BF357" i="4"/>
  <c r="BO357" i="4"/>
  <c r="BP357" i="4"/>
  <c r="AH357" i="4"/>
  <c r="AK357" i="4"/>
  <c r="AM357" i="4"/>
  <c r="BT357" i="4"/>
  <c r="AL357" i="4"/>
  <c r="AK519" i="4"/>
  <c r="BT519" i="4"/>
  <c r="AL519" i="4"/>
  <c r="BF519" i="4"/>
  <c r="BO519" i="4"/>
  <c r="BP519" i="4"/>
  <c r="AM519" i="4"/>
  <c r="AL539" i="4"/>
  <c r="BT539" i="4"/>
  <c r="AK539" i="4"/>
  <c r="BF539" i="4"/>
  <c r="BO539" i="4"/>
  <c r="BP539" i="4"/>
  <c r="AM539" i="4"/>
  <c r="AL536" i="4"/>
  <c r="AM536" i="4"/>
  <c r="BT536" i="4"/>
  <c r="AK536" i="4"/>
  <c r="BF536" i="4"/>
  <c r="BO536" i="4"/>
  <c r="BP536" i="4"/>
  <c r="AH499" i="4"/>
  <c r="BT499" i="4"/>
  <c r="AL499" i="4"/>
  <c r="BF499" i="4"/>
  <c r="BO499" i="4"/>
  <c r="BP499" i="4"/>
  <c r="AM499" i="4"/>
  <c r="AK499" i="4"/>
  <c r="BF578" i="4"/>
  <c r="BO578" i="4"/>
  <c r="BP578" i="4"/>
  <c r="AK578" i="4"/>
  <c r="AM578" i="4"/>
  <c r="BT578" i="4"/>
  <c r="AL578" i="4"/>
  <c r="BT599" i="4"/>
  <c r="AL599" i="4"/>
  <c r="BF599" i="4"/>
  <c r="BO599" i="4"/>
  <c r="BP599" i="4"/>
  <c r="AK599" i="4"/>
  <c r="AM599" i="4"/>
  <c r="AK588" i="4"/>
  <c r="AM588" i="4"/>
  <c r="BF588" i="4"/>
  <c r="BO588" i="4"/>
  <c r="BP588" i="4"/>
  <c r="BT588" i="4"/>
  <c r="AH588" i="4"/>
  <c r="AL588" i="4"/>
  <c r="AH589" i="4"/>
  <c r="BT589" i="4"/>
  <c r="BF589" i="4"/>
  <c r="BO589" i="4"/>
  <c r="BP589" i="4"/>
  <c r="AM589" i="4"/>
  <c r="AL589" i="4"/>
  <c r="AK589" i="4"/>
  <c r="AH204" i="4"/>
  <c r="AL204" i="4"/>
  <c r="BF204" i="4"/>
  <c r="BO204" i="4"/>
  <c r="BP204" i="4"/>
  <c r="BT204" i="4"/>
  <c r="AM204" i="4"/>
  <c r="AK204" i="4"/>
  <c r="AL420" i="4"/>
  <c r="AM420" i="4"/>
  <c r="AK420" i="4"/>
  <c r="BF420" i="4"/>
  <c r="BO420" i="4"/>
  <c r="BP420" i="4"/>
  <c r="BT420" i="4"/>
  <c r="AI437" i="4"/>
  <c r="AF607" i="4"/>
  <c r="AM639" i="4"/>
  <c r="AL639" i="4"/>
  <c r="BT639" i="4"/>
  <c r="AH639" i="4"/>
  <c r="AK639" i="4"/>
  <c r="BF639" i="4"/>
  <c r="BO639" i="4"/>
  <c r="BP639" i="4"/>
  <c r="AL159" i="4"/>
  <c r="AK159" i="4"/>
  <c r="BF159" i="4"/>
  <c r="BO159" i="4"/>
  <c r="BP159" i="4"/>
  <c r="AM159" i="4"/>
  <c r="BT159" i="4"/>
  <c r="AF183" i="4"/>
  <c r="AH183" i="4"/>
  <c r="BF183" i="4"/>
  <c r="BO183" i="4"/>
  <c r="BP183" i="4"/>
  <c r="AK183" i="4"/>
  <c r="AL183" i="4"/>
  <c r="AM183" i="4"/>
  <c r="BT183" i="4"/>
  <c r="AI175" i="4"/>
  <c r="AI134" i="4"/>
  <c r="AR134" i="4"/>
  <c r="AF281" i="4"/>
  <c r="AL313" i="4"/>
  <c r="AK313" i="4"/>
  <c r="AM313" i="4"/>
  <c r="BT313" i="4"/>
  <c r="BF313" i="4"/>
  <c r="BO313" i="4"/>
  <c r="BP313" i="4"/>
  <c r="BF438" i="4"/>
  <c r="BO438" i="4"/>
  <c r="BP438" i="4"/>
  <c r="AL438" i="4"/>
  <c r="AH438" i="4"/>
  <c r="AK438" i="4"/>
  <c r="BT438" i="4"/>
  <c r="AM438" i="4"/>
  <c r="AH388" i="4"/>
  <c r="AM388" i="4"/>
  <c r="BF388" i="4"/>
  <c r="BO388" i="4"/>
  <c r="BP388" i="4"/>
  <c r="BT388" i="4"/>
  <c r="AK388" i="4"/>
  <c r="AL388" i="4"/>
  <c r="AI510" i="4"/>
  <c r="AJ510" i="4"/>
  <c r="AK590" i="4"/>
  <c r="BT590" i="4"/>
  <c r="AM590" i="4"/>
  <c r="AH590" i="4"/>
  <c r="BF590" i="4"/>
  <c r="BO590" i="4"/>
  <c r="BP590" i="4"/>
  <c r="AL590" i="4"/>
  <c r="AJ616" i="4"/>
  <c r="BF184" i="4"/>
  <c r="BO184" i="4"/>
  <c r="BP184" i="4"/>
  <c r="BT184" i="4"/>
  <c r="AK184" i="4"/>
  <c r="AM184" i="4"/>
  <c r="AL184" i="4"/>
  <c r="AG293" i="4"/>
  <c r="AL293" i="4"/>
  <c r="BT293" i="4"/>
  <c r="AK293" i="4"/>
  <c r="BF293" i="4"/>
  <c r="BO293" i="4"/>
  <c r="BP293" i="4"/>
  <c r="AM293" i="4"/>
  <c r="AI479" i="4"/>
  <c r="AJ479" i="4"/>
  <c r="AH359" i="4"/>
  <c r="BT359" i="4"/>
  <c r="AM359" i="4"/>
  <c r="AK359" i="4"/>
  <c r="BF359" i="4"/>
  <c r="BO359" i="4"/>
  <c r="BP359" i="4"/>
  <c r="AL359" i="4"/>
  <c r="AM455" i="4"/>
  <c r="BF455" i="4"/>
  <c r="BO455" i="4"/>
  <c r="BP455" i="4"/>
  <c r="AL455" i="4"/>
  <c r="AK455" i="4"/>
  <c r="BT455" i="4"/>
  <c r="AL485" i="4"/>
  <c r="AM485" i="4"/>
  <c r="BT485" i="4"/>
  <c r="AK485" i="4"/>
  <c r="BF485" i="4"/>
  <c r="BO485" i="4"/>
  <c r="BP485" i="4"/>
  <c r="AK460" i="4"/>
  <c r="AH460" i="4"/>
  <c r="AL460" i="4"/>
  <c r="AM460" i="4"/>
  <c r="BT460" i="4"/>
  <c r="BF460" i="4"/>
  <c r="BO460" i="4"/>
  <c r="BP460" i="4"/>
  <c r="AH548" i="4"/>
  <c r="AM548" i="4"/>
  <c r="AL548" i="4"/>
  <c r="BF548" i="4"/>
  <c r="BO548" i="4"/>
  <c r="BP548" i="4"/>
  <c r="BT548" i="4"/>
  <c r="AK548" i="4"/>
  <c r="AL462" i="4"/>
  <c r="BT462" i="4"/>
  <c r="AH462" i="4"/>
  <c r="AK462" i="4"/>
  <c r="AM462" i="4"/>
  <c r="BF462" i="4"/>
  <c r="BO462" i="4"/>
  <c r="BP462" i="4"/>
  <c r="AM573" i="4"/>
  <c r="BT573" i="4"/>
  <c r="AK573" i="4"/>
  <c r="AL573" i="4"/>
  <c r="BF573" i="4"/>
  <c r="BO573" i="4"/>
  <c r="BP573" i="4"/>
  <c r="AH573" i="4"/>
  <c r="AG656" i="4"/>
  <c r="AK656" i="4"/>
  <c r="BF656" i="4"/>
  <c r="BO656" i="4"/>
  <c r="BP656" i="4"/>
  <c r="BT656" i="4"/>
  <c r="AL656" i="4"/>
  <c r="AM656" i="4"/>
  <c r="AM641" i="4"/>
  <c r="BF641" i="4"/>
  <c r="BO641" i="4"/>
  <c r="BP641" i="4"/>
  <c r="AK641" i="4"/>
  <c r="BT641" i="4"/>
  <c r="AL641" i="4"/>
  <c r="AG205" i="4"/>
  <c r="AK205" i="4"/>
  <c r="AM205" i="4"/>
  <c r="BT205" i="4"/>
  <c r="AL205" i="4"/>
  <c r="BF205" i="4"/>
  <c r="BO205" i="4"/>
  <c r="BP205" i="4"/>
  <c r="AH205" i="4"/>
  <c r="BF188" i="4"/>
  <c r="BO188" i="4"/>
  <c r="BP188" i="4"/>
  <c r="BT188" i="4"/>
  <c r="AL188" i="4"/>
  <c r="AK188" i="4"/>
  <c r="AM188" i="4"/>
  <c r="AH188" i="4"/>
  <c r="AI260" i="4"/>
  <c r="AJ260" i="4"/>
  <c r="AJ306" i="4"/>
  <c r="AK328" i="4"/>
  <c r="BT328" i="4"/>
  <c r="BF328" i="4"/>
  <c r="BO328" i="4"/>
  <c r="BP328" i="4"/>
  <c r="AH328" i="4"/>
  <c r="AL328" i="4"/>
  <c r="AM328" i="4"/>
  <c r="AL362" i="4"/>
  <c r="BF362" i="4"/>
  <c r="BO362" i="4"/>
  <c r="BP362" i="4"/>
  <c r="AH362" i="4"/>
  <c r="AM362" i="4"/>
  <c r="AK362" i="4"/>
  <c r="BT362" i="4"/>
  <c r="AH446" i="4"/>
  <c r="AM446" i="4"/>
  <c r="BF446" i="4"/>
  <c r="BO446" i="4"/>
  <c r="BP446" i="4"/>
  <c r="BT446" i="4"/>
  <c r="AL446" i="4"/>
  <c r="AK446" i="4"/>
  <c r="AF432" i="4"/>
  <c r="AM334" i="4"/>
  <c r="BT334" i="4"/>
  <c r="BF334" i="4"/>
  <c r="BO334" i="4"/>
  <c r="BP334" i="4"/>
  <c r="AH334" i="4"/>
  <c r="AL334" i="4"/>
  <c r="AK334" i="4"/>
  <c r="AM614" i="4"/>
  <c r="AH614" i="4"/>
  <c r="AL614" i="4"/>
  <c r="BF614" i="4"/>
  <c r="BO614" i="4"/>
  <c r="BP614" i="4"/>
  <c r="AK614" i="4"/>
  <c r="BT614" i="4"/>
  <c r="AF653" i="4"/>
  <c r="AK209" i="4"/>
  <c r="BT209" i="4"/>
  <c r="AL209" i="4"/>
  <c r="BF209" i="4"/>
  <c r="BO209" i="4"/>
  <c r="BP209" i="4"/>
  <c r="AM209" i="4"/>
  <c r="AK210" i="4"/>
  <c r="AL210" i="4"/>
  <c r="BT210" i="4"/>
  <c r="BF210" i="4"/>
  <c r="BO210" i="4"/>
  <c r="BP210" i="4"/>
  <c r="AM210" i="4"/>
  <c r="AK255" i="4"/>
  <c r="AL255" i="4"/>
  <c r="BT255" i="4"/>
  <c r="BF255" i="4"/>
  <c r="BO255" i="4"/>
  <c r="BP255" i="4"/>
  <c r="AM255" i="4"/>
  <c r="AG398" i="4"/>
  <c r="AM434" i="4"/>
  <c r="AK434" i="4"/>
  <c r="BF434" i="4"/>
  <c r="BO434" i="4"/>
  <c r="BP434" i="4"/>
  <c r="AL434" i="4"/>
  <c r="BT434" i="4"/>
  <c r="AH425" i="4"/>
  <c r="AL425" i="4"/>
  <c r="AM425" i="4"/>
  <c r="AK425" i="4"/>
  <c r="BF425" i="4"/>
  <c r="BO425" i="4"/>
  <c r="BP425" i="4"/>
  <c r="BT425" i="4"/>
  <c r="AF369" i="4"/>
  <c r="AL369" i="4"/>
  <c r="BF369" i="4"/>
  <c r="BO369" i="4"/>
  <c r="BP369" i="4"/>
  <c r="BT369" i="4"/>
  <c r="AH369" i="4"/>
  <c r="AM369" i="4"/>
  <c r="AK369" i="4"/>
  <c r="AH426" i="4"/>
  <c r="BF426" i="4"/>
  <c r="BO426" i="4"/>
  <c r="BP426" i="4"/>
  <c r="AM426" i="4"/>
  <c r="BT426" i="4"/>
  <c r="AK426" i="4"/>
  <c r="AL426" i="4"/>
  <c r="BT558" i="4"/>
  <c r="AH558" i="4"/>
  <c r="AL558" i="4"/>
  <c r="AM558" i="4"/>
  <c r="AK558" i="4"/>
  <c r="BF558" i="4"/>
  <c r="BO558" i="4"/>
  <c r="BP558" i="4"/>
  <c r="AK494" i="4"/>
  <c r="AH494" i="4"/>
  <c r="AM494" i="4"/>
  <c r="AL494" i="4"/>
  <c r="BT494" i="4"/>
  <c r="BF494" i="4"/>
  <c r="BO494" i="4"/>
  <c r="BP494" i="4"/>
  <c r="AM644" i="4"/>
  <c r="BF644" i="4"/>
  <c r="BO644" i="4"/>
  <c r="BP644" i="4"/>
  <c r="AL644" i="4"/>
  <c r="BT644" i="4"/>
  <c r="AK644" i="4"/>
  <c r="BT173" i="4"/>
  <c r="AL173" i="4"/>
  <c r="BF173" i="4"/>
  <c r="BO173" i="4"/>
  <c r="BP173" i="4"/>
  <c r="AM173" i="4"/>
  <c r="AK173" i="4"/>
  <c r="BF133" i="4"/>
  <c r="BO133" i="4"/>
  <c r="BP133" i="4"/>
  <c r="AK133" i="4"/>
  <c r="AM133" i="4"/>
  <c r="BT133" i="4"/>
  <c r="AL133" i="4"/>
  <c r="AH163" i="4"/>
  <c r="AI163" i="4"/>
  <c r="BT163" i="4"/>
  <c r="AK163" i="4"/>
  <c r="BF163" i="4"/>
  <c r="BO163" i="4"/>
  <c r="BP163" i="4"/>
  <c r="AM163" i="4"/>
  <c r="AL163" i="4"/>
  <c r="AF218" i="4"/>
  <c r="AH286" i="4"/>
  <c r="AL294" i="4"/>
  <c r="BT294" i="4"/>
  <c r="AK294" i="4"/>
  <c r="AH294" i="4"/>
  <c r="AM294" i="4"/>
  <c r="BF294" i="4"/>
  <c r="BO294" i="4"/>
  <c r="BP294" i="4"/>
  <c r="AH249" i="4"/>
  <c r="AI249" i="4"/>
  <c r="AJ249" i="4"/>
  <c r="AL249" i="4"/>
  <c r="AM249" i="4"/>
  <c r="BT249" i="4"/>
  <c r="BF249" i="4"/>
  <c r="BO249" i="4"/>
  <c r="BP249" i="4"/>
  <c r="AK249" i="4"/>
  <c r="AM307" i="4"/>
  <c r="BF307" i="4"/>
  <c r="BO307" i="4"/>
  <c r="BP307" i="4"/>
  <c r="AK307" i="4"/>
  <c r="BT307" i="4"/>
  <c r="AL307" i="4"/>
  <c r="AH307" i="4"/>
  <c r="AH364" i="4"/>
  <c r="AH384" i="4"/>
  <c r="AF338" i="4"/>
  <c r="AF263" i="4"/>
  <c r="AH408" i="4"/>
  <c r="AI230" i="4"/>
  <c r="AQ230" i="4"/>
  <c r="AG422" i="4"/>
  <c r="AF444" i="4"/>
  <c r="AH546" i="4"/>
  <c r="AG522" i="4"/>
  <c r="BF598" i="4"/>
  <c r="BO598" i="4"/>
  <c r="BP598" i="4"/>
  <c r="AK598" i="4"/>
  <c r="AM598" i="4"/>
  <c r="AL598" i="4"/>
  <c r="BT598" i="4"/>
  <c r="AH598" i="4"/>
  <c r="AF574" i="4"/>
  <c r="AH633" i="4"/>
  <c r="AH602" i="4"/>
  <c r="BF602" i="4"/>
  <c r="BO602" i="4"/>
  <c r="BP602" i="4"/>
  <c r="AL602" i="4"/>
  <c r="BT602" i="4"/>
  <c r="AM602" i="4"/>
  <c r="AK602" i="4"/>
  <c r="AG612" i="4"/>
  <c r="AG600" i="4"/>
  <c r="AI600" i="4"/>
  <c r="AQ600" i="4"/>
  <c r="AF186" i="4"/>
  <c r="AF127" i="4"/>
  <c r="AJ161" i="4"/>
  <c r="AH172" i="4"/>
  <c r="AF187" i="4"/>
  <c r="AH199" i="4"/>
  <c r="AG247" i="4"/>
  <c r="AH329" i="4"/>
  <c r="AK329" i="4"/>
  <c r="AL329" i="4"/>
  <c r="AM329" i="4"/>
  <c r="BF329" i="4"/>
  <c r="BO329" i="4"/>
  <c r="BP329" i="4"/>
  <c r="BT329" i="4"/>
  <c r="AH371" i="4"/>
  <c r="AI371" i="4"/>
  <c r="AM371" i="4"/>
  <c r="BF371" i="4"/>
  <c r="BO371" i="4"/>
  <c r="BP371" i="4"/>
  <c r="AL371" i="4"/>
  <c r="AK371" i="4"/>
  <c r="BT371" i="4"/>
  <c r="AF403" i="4"/>
  <c r="AF358" i="4"/>
  <c r="AF417" i="4"/>
  <c r="AG433" i="4"/>
  <c r="AI433" i="4"/>
  <c r="AH490" i="4"/>
  <c r="AG314" i="4"/>
  <c r="AM235" i="4"/>
  <c r="BT235" i="4"/>
  <c r="AK235" i="4"/>
  <c r="BF235" i="4"/>
  <c r="BO235" i="4"/>
  <c r="BP235" i="4"/>
  <c r="AL235" i="4"/>
  <c r="AG506" i="4"/>
  <c r="AK547" i="4"/>
  <c r="AL547" i="4"/>
  <c r="AM547" i="4"/>
  <c r="BF547" i="4"/>
  <c r="BO547" i="4"/>
  <c r="BP547" i="4"/>
  <c r="BT547" i="4"/>
  <c r="AH547" i="4"/>
  <c r="AI547" i="4"/>
  <c r="AQ547" i="4"/>
  <c r="BO557" i="4"/>
  <c r="BP557" i="4"/>
  <c r="AF604" i="4"/>
  <c r="AL523" i="4"/>
  <c r="BF523" i="4"/>
  <c r="BO523" i="4"/>
  <c r="BP523" i="4"/>
  <c r="BT523" i="4"/>
  <c r="AK523" i="4"/>
  <c r="AM523" i="4"/>
  <c r="AH523" i="4"/>
  <c r="AF593" i="4"/>
  <c r="AF660" i="4"/>
  <c r="AF649" i="4"/>
  <c r="AL623" i="4"/>
  <c r="AM623" i="4"/>
  <c r="AK623" i="4"/>
  <c r="BF623" i="4"/>
  <c r="BO623" i="4"/>
  <c r="BP623" i="4"/>
  <c r="BT623" i="4"/>
  <c r="AM123" i="4"/>
  <c r="BF123" i="4"/>
  <c r="BO123" i="4"/>
  <c r="BP123" i="4"/>
  <c r="AK123" i="4"/>
  <c r="AL123" i="4"/>
  <c r="BT123" i="4"/>
  <c r="AG145" i="4"/>
  <c r="BF152" i="4"/>
  <c r="BO152" i="4"/>
  <c r="BP152" i="4"/>
  <c r="AL152" i="4"/>
  <c r="BT152" i="4"/>
  <c r="AK152" i="4"/>
  <c r="AM152" i="4"/>
  <c r="AF176" i="4"/>
  <c r="BF289" i="4"/>
  <c r="BO289" i="4"/>
  <c r="BP289" i="4"/>
  <c r="AH289" i="4"/>
  <c r="AK289" i="4"/>
  <c r="AM289" i="4"/>
  <c r="BT289" i="4"/>
  <c r="AL289" i="4"/>
  <c r="AG228" i="4"/>
  <c r="AF337" i="4"/>
  <c r="AM275" i="4"/>
  <c r="BT275" i="4"/>
  <c r="BF275" i="4"/>
  <c r="BO275" i="4"/>
  <c r="BP275" i="4"/>
  <c r="AH275" i="4"/>
  <c r="AI275" i="4"/>
  <c r="AJ275" i="4"/>
  <c r="AX275" i="4"/>
  <c r="AL275" i="4"/>
  <c r="AK275" i="4"/>
  <c r="AG310" i="4"/>
  <c r="AI310" i="4"/>
  <c r="AL308" i="4"/>
  <c r="BF308" i="4"/>
  <c r="BO308" i="4"/>
  <c r="BP308" i="4"/>
  <c r="AM308" i="4"/>
  <c r="BT308" i="4"/>
  <c r="AK308" i="4"/>
  <c r="AL416" i="4"/>
  <c r="AK416" i="4"/>
  <c r="AM416" i="4"/>
  <c r="AH416" i="4"/>
  <c r="BF416" i="4"/>
  <c r="BO416" i="4"/>
  <c r="BP416" i="4"/>
  <c r="BT416" i="4"/>
  <c r="BF243" i="4"/>
  <c r="BO243" i="4"/>
  <c r="BP243" i="4"/>
  <c r="AM243" i="4"/>
  <c r="AK243" i="4"/>
  <c r="BT243" i="4"/>
  <c r="AL243" i="4"/>
  <c r="AF317" i="4"/>
  <c r="AI317" i="4"/>
  <c r="AF241" i="4"/>
  <c r="AG464" i="4"/>
  <c r="AG529" i="4"/>
  <c r="AI529" i="4"/>
  <c r="BF529" i="4"/>
  <c r="BO529" i="4"/>
  <c r="BP529" i="4"/>
  <c r="AL529" i="4"/>
  <c r="BT529" i="4"/>
  <c r="AK529" i="4"/>
  <c r="AM529" i="4"/>
  <c r="BT257" i="4"/>
  <c r="AM257" i="4"/>
  <c r="AL257" i="4"/>
  <c r="AK257" i="4"/>
  <c r="BF257" i="4"/>
  <c r="BO257" i="4"/>
  <c r="BP257" i="4"/>
  <c r="AG423" i="4"/>
  <c r="AF519" i="4"/>
  <c r="BO480" i="4"/>
  <c r="BP480" i="4"/>
  <c r="AG536" i="4"/>
  <c r="AG499" i="4"/>
  <c r="AH578" i="4"/>
  <c r="AG497" i="4"/>
  <c r="AG472" i="4"/>
  <c r="AF619" i="4"/>
  <c r="AF599" i="4"/>
  <c r="BF596" i="4"/>
  <c r="BO596" i="4"/>
  <c r="BP596" i="4"/>
  <c r="BT596" i="4"/>
  <c r="AL596" i="4"/>
  <c r="AK596" i="4"/>
  <c r="AM596" i="4"/>
  <c r="AF630" i="4"/>
  <c r="AI618" i="4"/>
  <c r="AH214" i="4"/>
  <c r="AI214" i="4"/>
  <c r="AF135" i="4"/>
  <c r="AG182" i="4"/>
  <c r="AI182" i="4"/>
  <c r="AH194" i="4"/>
  <c r="AL194" i="4"/>
  <c r="BT194" i="4"/>
  <c r="AM194" i="4"/>
  <c r="BF194" i="4"/>
  <c r="BO194" i="4"/>
  <c r="BP194" i="4"/>
  <c r="AK194" i="4"/>
  <c r="BO224" i="4"/>
  <c r="BP224" i="4"/>
  <c r="BT222" i="4"/>
  <c r="AK222" i="4"/>
  <c r="BF222" i="4"/>
  <c r="BO222" i="4"/>
  <c r="BP222" i="4"/>
  <c r="AM222" i="4"/>
  <c r="AH222" i="4"/>
  <c r="AI222" i="4"/>
  <c r="AJ222" i="4"/>
  <c r="AL222" i="4"/>
  <c r="AF301" i="4"/>
  <c r="AH321" i="4"/>
  <c r="AH299" i="4"/>
  <c r="AG248" i="4"/>
  <c r="AF330" i="4"/>
  <c r="AK231" i="4"/>
  <c r="BT231" i="4"/>
  <c r="AL231" i="4"/>
  <c r="AM231" i="4"/>
  <c r="BF231" i="4"/>
  <c r="BO231" i="4"/>
  <c r="BP231" i="4"/>
  <c r="AH231" i="4"/>
  <c r="AL349" i="4"/>
  <c r="BT349" i="4"/>
  <c r="AK349" i="4"/>
  <c r="AM349" i="4"/>
  <c r="BF349" i="4"/>
  <c r="BO349" i="4"/>
  <c r="BP349" i="4"/>
  <c r="AK437" i="4"/>
  <c r="AL437" i="4"/>
  <c r="BT437" i="4"/>
  <c r="BF437" i="4"/>
  <c r="BO437" i="4"/>
  <c r="BP437" i="4"/>
  <c r="AM437" i="4"/>
  <c r="AL326" i="4"/>
  <c r="AM326" i="4"/>
  <c r="AK326" i="4"/>
  <c r="AH326" i="4"/>
  <c r="AI326" i="4"/>
  <c r="BT326" i="4"/>
  <c r="BF326" i="4"/>
  <c r="BO326" i="4"/>
  <c r="BP326" i="4"/>
  <c r="BT468" i="4"/>
  <c r="BF468" i="4"/>
  <c r="BO468" i="4"/>
  <c r="BP468" i="4"/>
  <c r="AK468" i="4"/>
  <c r="AL468" i="4"/>
  <c r="AM468" i="4"/>
  <c r="AH468" i="4"/>
  <c r="AI468" i="4"/>
  <c r="AJ468" i="4"/>
  <c r="AW468" i="4"/>
  <c r="AK461" i="4"/>
  <c r="AH461" i="4"/>
  <c r="BF461" i="4"/>
  <c r="BO461" i="4"/>
  <c r="BP461" i="4"/>
  <c r="AL461" i="4"/>
  <c r="BT461" i="4"/>
  <c r="AM461" i="4"/>
  <c r="AG561" i="4"/>
  <c r="BF526" i="4"/>
  <c r="BO526" i="4"/>
  <c r="BP526" i="4"/>
  <c r="AL526" i="4"/>
  <c r="AK526" i="4"/>
  <c r="AM526" i="4"/>
  <c r="BT526" i="4"/>
  <c r="AH526" i="4"/>
  <c r="AI526" i="4"/>
  <c r="BR526" i="4"/>
  <c r="AH551" i="4"/>
  <c r="AI551" i="4"/>
  <c r="AH636" i="4"/>
  <c r="AI636" i="4"/>
  <c r="AK636" i="4"/>
  <c r="AL636" i="4"/>
  <c r="BT636" i="4"/>
  <c r="BF636" i="4"/>
  <c r="BO636" i="4"/>
  <c r="BP636" i="4"/>
  <c r="AM636" i="4"/>
  <c r="AH622" i="4"/>
  <c r="AF651" i="4"/>
  <c r="AM216" i="4"/>
  <c r="AK216" i="4"/>
  <c r="BT216" i="4"/>
  <c r="AH216" i="4"/>
  <c r="BF216" i="4"/>
  <c r="BO216" i="4"/>
  <c r="BP216" i="4"/>
  <c r="AL216" i="4"/>
  <c r="BT153" i="4"/>
  <c r="AL153" i="4"/>
  <c r="AM153" i="4"/>
  <c r="AK153" i="4"/>
  <c r="BF153" i="4"/>
  <c r="BO153" i="4"/>
  <c r="BP153" i="4"/>
  <c r="AH254" i="4"/>
  <c r="AG291" i="4"/>
  <c r="AG142" i="4"/>
  <c r="AM332" i="4"/>
  <c r="AH332" i="4"/>
  <c r="AK332" i="4"/>
  <c r="BT332" i="4"/>
  <c r="AL332" i="4"/>
  <c r="BF332" i="4"/>
  <c r="BO332" i="4"/>
  <c r="BP332" i="4"/>
  <c r="AI392" i="4"/>
  <c r="AJ392" i="4"/>
  <c r="AF292" i="4"/>
  <c r="AF313" i="4"/>
  <c r="AI313" i="4"/>
  <c r="AG370" i="4"/>
  <c r="AI379" i="4"/>
  <c r="AH496" i="4"/>
  <c r="BF496" i="4"/>
  <c r="BO496" i="4"/>
  <c r="BP496" i="4"/>
  <c r="AM496" i="4"/>
  <c r="BT496" i="4"/>
  <c r="AL496" i="4"/>
  <c r="AK496" i="4"/>
  <c r="AF512" i="4"/>
  <c r="AI512" i="4"/>
  <c r="AG368" i="4"/>
  <c r="AL323" i="4"/>
  <c r="AM323" i="4"/>
  <c r="BT323" i="4"/>
  <c r="BF323" i="4"/>
  <c r="BO323" i="4"/>
  <c r="BP323" i="4"/>
  <c r="AK323" i="4"/>
  <c r="AF530" i="4"/>
  <c r="AI530" i="4"/>
  <c r="AR530" i="4"/>
  <c r="AH513" i="4"/>
  <c r="AF487" i="4"/>
  <c r="AI487" i="4"/>
  <c r="AG542" i="4"/>
  <c r="AH554" i="4"/>
  <c r="AK554" i="4"/>
  <c r="BF554" i="4"/>
  <c r="BO554" i="4"/>
  <c r="BP554" i="4"/>
  <c r="BT554" i="4"/>
  <c r="AM554" i="4"/>
  <c r="AL554" i="4"/>
  <c r="AG502" i="4"/>
  <c r="AF566" i="4"/>
  <c r="BT621" i="4"/>
  <c r="BF621" i="4"/>
  <c r="BO621" i="4"/>
  <c r="BP621" i="4"/>
  <c r="AL621" i="4"/>
  <c r="AM621" i="4"/>
  <c r="AK621" i="4"/>
  <c r="BF592" i="4"/>
  <c r="BO592" i="4"/>
  <c r="BP592" i="4"/>
  <c r="AH592" i="4"/>
  <c r="AI592" i="4"/>
  <c r="AM592" i="4"/>
  <c r="AK592" i="4"/>
  <c r="BT592" i="4"/>
  <c r="AL592" i="4"/>
  <c r="AM572" i="4"/>
  <c r="BF572" i="4"/>
  <c r="BO572" i="4"/>
  <c r="BP572" i="4"/>
  <c r="BT572" i="4"/>
  <c r="AH572" i="4"/>
  <c r="AL572" i="4"/>
  <c r="AK572" i="4"/>
  <c r="AK616" i="4"/>
  <c r="AL616" i="4"/>
  <c r="BF616" i="4"/>
  <c r="BO616" i="4"/>
  <c r="BP616" i="4"/>
  <c r="BT616" i="4"/>
  <c r="BV616" i="4"/>
  <c r="AM616" i="4"/>
  <c r="AR616" i="4"/>
  <c r="AQ616" i="4"/>
  <c r="AF591" i="4"/>
  <c r="AG211" i="4"/>
  <c r="BF211" i="4"/>
  <c r="BO211" i="4"/>
  <c r="BP211" i="4"/>
  <c r="AM211" i="4"/>
  <c r="BT211" i="4"/>
  <c r="AL211" i="4"/>
  <c r="AH211" i="4"/>
  <c r="AK211" i="4"/>
  <c r="AG162" i="4"/>
  <c r="AH325" i="4"/>
  <c r="AI325" i="4"/>
  <c r="AJ325" i="4"/>
  <c r="AW325" i="4"/>
  <c r="BT325" i="4"/>
  <c r="AM325" i="4"/>
  <c r="BF325" i="4"/>
  <c r="BO325" i="4"/>
  <c r="BP325" i="4"/>
  <c r="AK325" i="4"/>
  <c r="AL325" i="4"/>
  <c r="AG233" i="4"/>
  <c r="AG287" i="4"/>
  <c r="AI380" i="4"/>
  <c r="AR380" i="4"/>
  <c r="AG394" i="4"/>
  <c r="AM397" i="4"/>
  <c r="BF397" i="4"/>
  <c r="BO397" i="4"/>
  <c r="BP397" i="4"/>
  <c r="BT397" i="4"/>
  <c r="AK397" i="4"/>
  <c r="AL397" i="4"/>
  <c r="AR397" i="4"/>
  <c r="AQ397" i="4"/>
  <c r="AI279" i="4"/>
  <c r="AF386" i="4"/>
  <c r="AF346" i="4"/>
  <c r="AG402" i="4"/>
  <c r="AL447" i="4"/>
  <c r="BT447" i="4"/>
  <c r="AM447" i="4"/>
  <c r="BF447" i="4"/>
  <c r="BO447" i="4"/>
  <c r="BP447" i="4"/>
  <c r="AK447" i="4"/>
  <c r="AH447" i="4"/>
  <c r="AI447" i="4"/>
  <c r="AJ447" i="4"/>
  <c r="AW447" i="4"/>
  <c r="AF359" i="4"/>
  <c r="AH455" i="4"/>
  <c r="AI534" i="4"/>
  <c r="AJ534" i="4"/>
  <c r="AG457" i="4"/>
  <c r="AF485" i="4"/>
  <c r="AG469" i="4"/>
  <c r="AI515" i="4"/>
  <c r="AG460" i="4"/>
  <c r="BF509" i="4"/>
  <c r="BO509" i="4"/>
  <c r="BP509" i="4"/>
  <c r="AM509" i="4"/>
  <c r="AL509" i="4"/>
  <c r="AK509" i="4"/>
  <c r="BT509" i="4"/>
  <c r="AH509" i="4"/>
  <c r="AI509" i="4"/>
  <c r="AJ509" i="4"/>
  <c r="AW509" i="4"/>
  <c r="AG535" i="4"/>
  <c r="AG610" i="4"/>
  <c r="AM610" i="4"/>
  <c r="BF610" i="4"/>
  <c r="BO610" i="4"/>
  <c r="BP610" i="4"/>
  <c r="AK610" i="4"/>
  <c r="AL610" i="4"/>
  <c r="BT610" i="4"/>
  <c r="AH610" i="4"/>
  <c r="BT605" i="4"/>
  <c r="AK605" i="4"/>
  <c r="AH605" i="4"/>
  <c r="BF605" i="4"/>
  <c r="BO605" i="4"/>
  <c r="BP605" i="4"/>
  <c r="AM605" i="4"/>
  <c r="AL605" i="4"/>
  <c r="AG645" i="4"/>
  <c r="BF165" i="4"/>
  <c r="BO165" i="4"/>
  <c r="BP165" i="4"/>
  <c r="BT165" i="4"/>
  <c r="AK165" i="4"/>
  <c r="AL165" i="4"/>
  <c r="AM165" i="4"/>
  <c r="AL140" i="4"/>
  <c r="AM140" i="4"/>
  <c r="BT140" i="4"/>
  <c r="AK140" i="4"/>
  <c r="BF140" i="4"/>
  <c r="BO140" i="4"/>
  <c r="BP140" i="4"/>
  <c r="AG179" i="4"/>
  <c r="BF324" i="4"/>
  <c r="BO324" i="4"/>
  <c r="BP324" i="4"/>
  <c r="AM324" i="4"/>
  <c r="BT324" i="4"/>
  <c r="AL324" i="4"/>
  <c r="AK324" i="4"/>
  <c r="BF361" i="4"/>
  <c r="BO361" i="4"/>
  <c r="BP361" i="4"/>
  <c r="AL361" i="4"/>
  <c r="AK361" i="4"/>
  <c r="BT361" i="4"/>
  <c r="AM361" i="4"/>
  <c r="AM400" i="4"/>
  <c r="BF400" i="4"/>
  <c r="BO400" i="4"/>
  <c r="BP400" i="4"/>
  <c r="AK400" i="4"/>
  <c r="AH400" i="4"/>
  <c r="AL400" i="4"/>
  <c r="BT400" i="4"/>
  <c r="AF274" i="4"/>
  <c r="BF381" i="4"/>
  <c r="BO381" i="4"/>
  <c r="BP381" i="4"/>
  <c r="AL381" i="4"/>
  <c r="AM381" i="4"/>
  <c r="AK381" i="4"/>
  <c r="BT381" i="4"/>
  <c r="AF328" i="4"/>
  <c r="BO259" i="4"/>
  <c r="BP259" i="4"/>
  <c r="AG428" i="4"/>
  <c r="AF446" i="4"/>
  <c r="BT282" i="4"/>
  <c r="AM282" i="4"/>
  <c r="AK282" i="4"/>
  <c r="BF282" i="4"/>
  <c r="BO282" i="4"/>
  <c r="BP282" i="4"/>
  <c r="AL282" i="4"/>
  <c r="AG353" i="4"/>
  <c r="AH544" i="4"/>
  <c r="AK544" i="4"/>
  <c r="BF544" i="4"/>
  <c r="BO544" i="4"/>
  <c r="BP544" i="4"/>
  <c r="AL544" i="4"/>
  <c r="BT544" i="4"/>
  <c r="AM544" i="4"/>
  <c r="AG498" i="4"/>
  <c r="AI498" i="4"/>
  <c r="BF570" i="4"/>
  <c r="BO570" i="4"/>
  <c r="BP570" i="4"/>
  <c r="BT570" i="4"/>
  <c r="AK570" i="4"/>
  <c r="AM570" i="4"/>
  <c r="AL570" i="4"/>
  <c r="BF538" i="4"/>
  <c r="BO538" i="4"/>
  <c r="BP538" i="4"/>
  <c r="AL538" i="4"/>
  <c r="AM538" i="4"/>
  <c r="BT538" i="4"/>
  <c r="AK538" i="4"/>
  <c r="AR538" i="4"/>
  <c r="AK473" i="4"/>
  <c r="BF473" i="4"/>
  <c r="BO473" i="4"/>
  <c r="BP473" i="4"/>
  <c r="BT473" i="4"/>
  <c r="AL473" i="4"/>
  <c r="AM473" i="4"/>
  <c r="AH473" i="4"/>
  <c r="AH524" i="4"/>
  <c r="AL524" i="4"/>
  <c r="BT524" i="4"/>
  <c r="BF524" i="4"/>
  <c r="BO524" i="4"/>
  <c r="BP524" i="4"/>
  <c r="AK524" i="4"/>
  <c r="AM524" i="4"/>
  <c r="AG568" i="4"/>
  <c r="AH653" i="4"/>
  <c r="AL138" i="4"/>
  <c r="BF138" i="4"/>
  <c r="BO138" i="4"/>
  <c r="BP138" i="4"/>
  <c r="AM138" i="4"/>
  <c r="BT138" i="4"/>
  <c r="AK138" i="4"/>
  <c r="AH138" i="4"/>
  <c r="AG209" i="4"/>
  <c r="BF156" i="4"/>
  <c r="BO156" i="4"/>
  <c r="BP156" i="4"/>
  <c r="AM156" i="4"/>
  <c r="BT156" i="4"/>
  <c r="AK156" i="4"/>
  <c r="AL156" i="4"/>
  <c r="AH156" i="4"/>
  <c r="BT212" i="4"/>
  <c r="AM212" i="4"/>
  <c r="AL212" i="4"/>
  <c r="AK212" i="4"/>
  <c r="BF212" i="4"/>
  <c r="BO212" i="4"/>
  <c r="BP212" i="4"/>
  <c r="AI213" i="4"/>
  <c r="AJ213" i="4"/>
  <c r="AK160" i="4"/>
  <c r="BF160" i="4"/>
  <c r="BO160" i="4"/>
  <c r="BP160" i="4"/>
  <c r="AM160" i="4"/>
  <c r="BT160" i="4"/>
  <c r="AL160" i="4"/>
  <c r="AH160" i="4"/>
  <c r="AG242" i="4"/>
  <c r="AH262" i="4"/>
  <c r="BF277" i="4"/>
  <c r="BO277" i="4"/>
  <c r="BP277" i="4"/>
  <c r="AM277" i="4"/>
  <c r="BT277" i="4"/>
  <c r="AL277" i="4"/>
  <c r="AK277" i="4"/>
  <c r="AF343" i="4"/>
  <c r="BF238" i="4"/>
  <c r="BO238" i="4"/>
  <c r="BP238" i="4"/>
  <c r="AM238" i="4"/>
  <c r="BT238" i="4"/>
  <c r="AL238" i="4"/>
  <c r="AK238" i="4"/>
  <c r="AH339" i="4"/>
  <c r="AI339" i="4"/>
  <c r="AM339" i="4"/>
  <c r="BF339" i="4"/>
  <c r="BO339" i="4"/>
  <c r="BP339" i="4"/>
  <c r="AK339" i="4"/>
  <c r="AL339" i="4"/>
  <c r="BT339" i="4"/>
  <c r="AF398" i="4"/>
  <c r="AI398" i="4"/>
  <c r="AM269" i="4"/>
  <c r="BF269" i="4"/>
  <c r="BO269" i="4"/>
  <c r="BP269" i="4"/>
  <c r="AH269" i="4"/>
  <c r="AK269" i="4"/>
  <c r="AL269" i="4"/>
  <c r="BT269" i="4"/>
  <c r="BF258" i="4"/>
  <c r="BO258" i="4"/>
  <c r="BP258" i="4"/>
  <c r="BT258" i="4"/>
  <c r="AM258" i="4"/>
  <c r="AL258" i="4"/>
  <c r="AK258" i="4"/>
  <c r="AH258" i="4"/>
  <c r="AM319" i="4"/>
  <c r="AL319" i="4"/>
  <c r="BT319" i="4"/>
  <c r="AK319" i="4"/>
  <c r="BF319" i="4"/>
  <c r="BO319" i="4"/>
  <c r="BP319" i="4"/>
  <c r="AG434" i="4"/>
  <c r="AF340" i="4"/>
  <c r="AG369" i="4"/>
  <c r="AF521" i="4"/>
  <c r="BF648" i="4"/>
  <c r="BO648" i="4"/>
  <c r="BP648" i="4"/>
  <c r="AM648" i="4"/>
  <c r="AL648" i="4"/>
  <c r="AK648" i="4"/>
  <c r="BT648" i="4"/>
  <c r="AL517" i="4"/>
  <c r="BT517" i="4"/>
  <c r="BF517" i="4"/>
  <c r="BO517" i="4"/>
  <c r="BP517" i="4"/>
  <c r="AM517" i="4"/>
  <c r="AK517" i="4"/>
  <c r="AK571" i="4"/>
  <c r="BF571" i="4"/>
  <c r="BO571" i="4"/>
  <c r="BP571" i="4"/>
  <c r="BT571" i="4"/>
  <c r="AM571" i="4"/>
  <c r="AL571" i="4"/>
  <c r="AF565" i="4"/>
  <c r="AF647" i="4"/>
  <c r="AF654" i="4"/>
  <c r="AH595" i="4"/>
  <c r="AF635" i="4"/>
  <c r="AK646" i="4"/>
  <c r="BT646" i="4"/>
  <c r="AL646" i="4"/>
  <c r="BF646" i="4"/>
  <c r="BO646" i="4"/>
  <c r="BP646" i="4"/>
  <c r="AM646" i="4"/>
  <c r="AR266" i="4"/>
  <c r="AH164" i="4"/>
  <c r="AI164" i="4"/>
  <c r="AR164" i="4"/>
  <c r="AK164" i="4"/>
  <c r="AL164" i="4"/>
  <c r="BF164" i="4"/>
  <c r="BO164" i="4"/>
  <c r="BP164" i="4"/>
  <c r="AM164" i="4"/>
  <c r="BT164" i="4"/>
  <c r="BT191" i="4"/>
  <c r="AL191" i="4"/>
  <c r="BF191" i="4"/>
  <c r="BO191" i="4"/>
  <c r="BP191" i="4"/>
  <c r="AM191" i="4"/>
  <c r="AK191" i="4"/>
  <c r="AH173" i="4"/>
  <c r="AI173" i="4"/>
  <c r="AR173" i="4"/>
  <c r="AH133" i="4"/>
  <c r="AI133" i="4"/>
  <c r="AQ133" i="4"/>
  <c r="AL215" i="4"/>
  <c r="BF215" i="4"/>
  <c r="BO215" i="4"/>
  <c r="BP215" i="4"/>
  <c r="AM215" i="4"/>
  <c r="BT215" i="4"/>
  <c r="AK215" i="4"/>
  <c r="AG185" i="4"/>
  <c r="AI185" i="4"/>
  <c r="AR185" i="4"/>
  <c r="AF196" i="4"/>
  <c r="AI196" i="4"/>
  <c r="AF244" i="4"/>
  <c r="AG364" i="4"/>
  <c r="AG338" i="4"/>
  <c r="AG375" i="4"/>
  <c r="AF449" i="4"/>
  <c r="BT430" i="4"/>
  <c r="AL430" i="4"/>
  <c r="AK430" i="4"/>
  <c r="BF430" i="4"/>
  <c r="BO430" i="4"/>
  <c r="BP430" i="4"/>
  <c r="AM430" i="4"/>
  <c r="AH430" i="4"/>
  <c r="AI430" i="4"/>
  <c r="AR430" i="4"/>
  <c r="AL230" i="4"/>
  <c r="BF230" i="4"/>
  <c r="BO230" i="4"/>
  <c r="BP230" i="4"/>
  <c r="BT230" i="4"/>
  <c r="AK230" i="4"/>
  <c r="AM230" i="4"/>
  <c r="BT505" i="4"/>
  <c r="AK505" i="4"/>
  <c r="AL505" i="4"/>
  <c r="AM505" i="4"/>
  <c r="BF505" i="4"/>
  <c r="BO505" i="4"/>
  <c r="BP505" i="4"/>
  <c r="AH505" i="4"/>
  <c r="AI505" i="4"/>
  <c r="AJ505" i="4"/>
  <c r="AW505" i="4"/>
  <c r="AK518" i="4"/>
  <c r="AM518" i="4"/>
  <c r="BT518" i="4"/>
  <c r="AL518" i="4"/>
  <c r="BF518" i="4"/>
  <c r="BO518" i="4"/>
  <c r="BP518" i="4"/>
  <c r="BF356" i="4"/>
  <c r="BO356" i="4"/>
  <c r="BP356" i="4"/>
  <c r="BT356" i="4"/>
  <c r="AK356" i="4"/>
  <c r="AL356" i="4"/>
  <c r="AM356" i="4"/>
  <c r="AH234" i="4"/>
  <c r="BF234" i="4"/>
  <c r="BO234" i="4"/>
  <c r="BP234" i="4"/>
  <c r="BT234" i="4"/>
  <c r="AM234" i="4"/>
  <c r="AK234" i="4"/>
  <c r="AL234" i="4"/>
  <c r="AL421" i="4"/>
  <c r="AK421" i="4"/>
  <c r="AM421" i="4"/>
  <c r="BT421" i="4"/>
  <c r="BF421" i="4"/>
  <c r="BO421" i="4"/>
  <c r="BP421" i="4"/>
  <c r="AH421" i="4"/>
  <c r="AG444" i="4"/>
  <c r="AF482" i="4"/>
  <c r="AH448" i="4"/>
  <c r="AI448" i="4"/>
  <c r="AR448" i="4"/>
  <c r="BT448" i="4"/>
  <c r="BF448" i="4"/>
  <c r="BO448" i="4"/>
  <c r="BP448" i="4"/>
  <c r="AK448" i="4"/>
  <c r="AM448" i="4"/>
  <c r="AL448" i="4"/>
  <c r="AG546" i="4"/>
  <c r="AG553" i="4"/>
  <c r="BT474" i="4"/>
  <c r="BF474" i="4"/>
  <c r="BO474" i="4"/>
  <c r="BP474" i="4"/>
  <c r="AK474" i="4"/>
  <c r="AL474" i="4"/>
  <c r="AM474" i="4"/>
  <c r="AL470" i="4"/>
  <c r="AM470" i="4"/>
  <c r="BT470" i="4"/>
  <c r="BF470" i="4"/>
  <c r="BO470" i="4"/>
  <c r="BP470" i="4"/>
  <c r="AK470" i="4"/>
  <c r="AQ470" i="4"/>
  <c r="AR470" i="4"/>
  <c r="AL556" i="4"/>
  <c r="AM556" i="4"/>
  <c r="BT556" i="4"/>
  <c r="BF556" i="4"/>
  <c r="BO556" i="4"/>
  <c r="BP556" i="4"/>
  <c r="AK556" i="4"/>
  <c r="AF522" i="4"/>
  <c r="AG503" i="4"/>
  <c r="AF598" i="4"/>
  <c r="AK582" i="4"/>
  <c r="BF582" i="4"/>
  <c r="BO582" i="4"/>
  <c r="BP582" i="4"/>
  <c r="BT582" i="4"/>
  <c r="BV582" i="4"/>
  <c r="AM582" i="4"/>
  <c r="AH582" i="4"/>
  <c r="AI582" i="4"/>
  <c r="AJ582" i="4"/>
  <c r="AL582" i="4"/>
  <c r="AG638" i="4"/>
  <c r="AI638" i="4"/>
  <c r="AR638" i="4"/>
  <c r="AF612" i="4"/>
  <c r="AL615" i="4"/>
  <c r="BT615" i="4"/>
  <c r="AK615" i="4"/>
  <c r="BF615" i="4"/>
  <c r="BO615" i="4"/>
  <c r="BP615" i="4"/>
  <c r="AM615" i="4"/>
  <c r="AG186" i="4"/>
  <c r="AF167" i="4"/>
  <c r="AI167" i="4"/>
  <c r="AF200" i="4"/>
  <c r="AK144" i="4"/>
  <c r="BF144" i="4"/>
  <c r="BO144" i="4"/>
  <c r="BP144" i="4"/>
  <c r="AH144" i="4"/>
  <c r="AI144" i="4"/>
  <c r="AM144" i="4"/>
  <c r="AL144" i="4"/>
  <c r="BT144" i="4"/>
  <c r="BF161" i="4"/>
  <c r="BO161" i="4"/>
  <c r="BP161" i="4"/>
  <c r="BT161" i="4"/>
  <c r="AK161" i="4"/>
  <c r="AM161" i="4"/>
  <c r="AL161" i="4"/>
  <c r="AR161" i="4"/>
  <c r="AQ161" i="4"/>
  <c r="AG172" i="4"/>
  <c r="BF128" i="4"/>
  <c r="BO128" i="4"/>
  <c r="BP128" i="4"/>
  <c r="BT128" i="4"/>
  <c r="AM128" i="4"/>
  <c r="AK128" i="4"/>
  <c r="AL128" i="4"/>
  <c r="BF267" i="4"/>
  <c r="BO267" i="4"/>
  <c r="BP267" i="4"/>
  <c r="AK267" i="4"/>
  <c r="AM267" i="4"/>
  <c r="BT267" i="4"/>
  <c r="AL267" i="4"/>
  <c r="AG318" i="4"/>
  <c r="AG350" i="4"/>
  <c r="AI350" i="4"/>
  <c r="AH309" i="4"/>
  <c r="AG329" i="4"/>
  <c r="AH240" i="4"/>
  <c r="AF347" i="4"/>
  <c r="AI347" i="4"/>
  <c r="AH403" i="4"/>
  <c r="AF316" i="4"/>
  <c r="AI377" i="4"/>
  <c r="AM527" i="4"/>
  <c r="BT527" i="4"/>
  <c r="AK527" i="4"/>
  <c r="AL527" i="4"/>
  <c r="BF527" i="4"/>
  <c r="BO527" i="4"/>
  <c r="BP527" i="4"/>
  <c r="AH527" i="4"/>
  <c r="AH235" i="4"/>
  <c r="AF452" i="4"/>
  <c r="BF471" i="4"/>
  <c r="BO471" i="4"/>
  <c r="BP471" i="4"/>
  <c r="AL471" i="4"/>
  <c r="BT471" i="4"/>
  <c r="AK471" i="4"/>
  <c r="AM471" i="4"/>
  <c r="AF577" i="4"/>
  <c r="AK543" i="4"/>
  <c r="BT543" i="4"/>
  <c r="AH543" i="4"/>
  <c r="AL543" i="4"/>
  <c r="AM543" i="4"/>
  <c r="BF543" i="4"/>
  <c r="BO543" i="4"/>
  <c r="BP543" i="4"/>
  <c r="AG660" i="4"/>
  <c r="AF650" i="4"/>
  <c r="AF613" i="4"/>
  <c r="AL613" i="4"/>
  <c r="BF613" i="4"/>
  <c r="BO613" i="4"/>
  <c r="BP613" i="4"/>
  <c r="BT613" i="4"/>
  <c r="AM613" i="4"/>
  <c r="AH613" i="4"/>
  <c r="AK613" i="4"/>
  <c r="AF623" i="4"/>
  <c r="AI623" i="4"/>
  <c r="AH123" i="4"/>
  <c r="AK181" i="4"/>
  <c r="AM181" i="4"/>
  <c r="AL181" i="4"/>
  <c r="BT181" i="4"/>
  <c r="BF181" i="4"/>
  <c r="BO181" i="4"/>
  <c r="BP181" i="4"/>
  <c r="AF201" i="4"/>
  <c r="AF145" i="4"/>
  <c r="AI145" i="4"/>
  <c r="AG152" i="4"/>
  <c r="AI152" i="4"/>
  <c r="AG289" i="4"/>
  <c r="AH261" i="4"/>
  <c r="BT261" i="4"/>
  <c r="AK261" i="4"/>
  <c r="AM261" i="4"/>
  <c r="AL261" i="4"/>
  <c r="BF261" i="4"/>
  <c r="BO261" i="4"/>
  <c r="BP261" i="4"/>
  <c r="AH337" i="4"/>
  <c r="AL336" i="4"/>
  <c r="AM336" i="4"/>
  <c r="AK336" i="4"/>
  <c r="BT336" i="4"/>
  <c r="BF336" i="4"/>
  <c r="BO336" i="4"/>
  <c r="BP336" i="4"/>
  <c r="AG389" i="4"/>
  <c r="AL409" i="4"/>
  <c r="BT409" i="4"/>
  <c r="AK409" i="4"/>
  <c r="AM409" i="4"/>
  <c r="BF409" i="4"/>
  <c r="BO409" i="4"/>
  <c r="BP409" i="4"/>
  <c r="AH464" i="4"/>
  <c r="AI464" i="4"/>
  <c r="AJ464" i="4"/>
  <c r="AW464" i="4"/>
  <c r="AK464" i="4"/>
  <c r="AM464" i="4"/>
  <c r="BF464" i="4"/>
  <c r="BO464" i="4"/>
  <c r="BP464" i="4"/>
  <c r="AL464" i="4"/>
  <c r="BT464" i="4"/>
  <c r="AG427" i="4"/>
  <c r="AI257" i="4"/>
  <c r="AF423" i="4"/>
  <c r="AH519" i="4"/>
  <c r="BT459" i="4"/>
  <c r="AM459" i="4"/>
  <c r="AK459" i="4"/>
  <c r="AL459" i="4"/>
  <c r="BF459" i="4"/>
  <c r="BO459" i="4"/>
  <c r="BP459" i="4"/>
  <c r="AH459" i="4"/>
  <c r="AM483" i="4"/>
  <c r="AK483" i="4"/>
  <c r="BT483" i="4"/>
  <c r="AL483" i="4"/>
  <c r="AH483" i="4"/>
  <c r="BF483" i="4"/>
  <c r="BO483" i="4"/>
  <c r="BP483" i="4"/>
  <c r="AH480" i="4"/>
  <c r="BF497" i="4"/>
  <c r="BO497" i="4"/>
  <c r="BP497" i="4"/>
  <c r="AL497" i="4"/>
  <c r="AH497" i="4"/>
  <c r="AK497" i="4"/>
  <c r="BT497" i="4"/>
  <c r="AM497" i="4"/>
  <c r="AH550" i="4"/>
  <c r="AM550" i="4"/>
  <c r="AK550" i="4"/>
  <c r="AL550" i="4"/>
  <c r="BF550" i="4"/>
  <c r="BO550" i="4"/>
  <c r="BP550" i="4"/>
  <c r="BT550" i="4"/>
  <c r="AG619" i="4"/>
  <c r="AF637" i="4"/>
  <c r="AI637" i="4"/>
  <c r="AH630" i="4"/>
  <c r="AF588" i="4"/>
  <c r="BF214" i="4"/>
  <c r="BO214" i="4"/>
  <c r="BP214" i="4"/>
  <c r="AK214" i="4"/>
  <c r="AL214" i="4"/>
  <c r="AM214" i="4"/>
  <c r="BT214" i="4"/>
  <c r="AG135" i="4"/>
  <c r="AF208" i="4"/>
  <c r="AI208" i="4"/>
  <c r="AF204" i="4"/>
  <c r="AG224" i="4"/>
  <c r="BT301" i="4"/>
  <c r="BF301" i="4"/>
  <c r="BO301" i="4"/>
  <c r="BP301" i="4"/>
  <c r="AK301" i="4"/>
  <c r="AL301" i="4"/>
  <c r="AM301" i="4"/>
  <c r="AF321" i="4"/>
  <c r="AF225" i="4"/>
  <c r="BF278" i="4"/>
  <c r="BO278" i="4"/>
  <c r="BP278" i="4"/>
  <c r="AK278" i="4"/>
  <c r="AL278" i="4"/>
  <c r="BT278" i="4"/>
  <c r="AM278" i="4"/>
  <c r="AK299" i="4"/>
  <c r="BF299" i="4"/>
  <c r="BO299" i="4"/>
  <c r="BP299" i="4"/>
  <c r="AM299" i="4"/>
  <c r="AL299" i="4"/>
  <c r="BT299" i="4"/>
  <c r="AH248" i="4"/>
  <c r="AI348" i="4"/>
  <c r="AF441" i="4"/>
  <c r="AH414" i="4"/>
  <c r="AI414" i="4"/>
  <c r="AI458" i="4"/>
  <c r="AF545" i="4"/>
  <c r="AM561" i="4"/>
  <c r="BF561" i="4"/>
  <c r="BO561" i="4"/>
  <c r="BP561" i="4"/>
  <c r="BT561" i="4"/>
  <c r="AL561" i="4"/>
  <c r="AK561" i="4"/>
  <c r="BT551" i="4"/>
  <c r="AM551" i="4"/>
  <c r="AL551" i="4"/>
  <c r="BF551" i="4"/>
  <c r="BO551" i="4"/>
  <c r="BP551" i="4"/>
  <c r="AK551" i="4"/>
  <c r="AG607" i="4"/>
  <c r="AM569" i="4"/>
  <c r="AH569" i="4"/>
  <c r="AL569" i="4"/>
  <c r="BF569" i="4"/>
  <c r="BO569" i="4"/>
  <c r="BP569" i="4"/>
  <c r="AK569" i="4"/>
  <c r="BT569" i="4"/>
  <c r="AH651" i="4"/>
  <c r="AF155" i="4"/>
  <c r="AK155" i="4"/>
  <c r="AH155" i="4"/>
  <c r="BT155" i="4"/>
  <c r="BF155" i="4"/>
  <c r="BO155" i="4"/>
  <c r="BP155" i="4"/>
  <c r="AL155" i="4"/>
  <c r="AM155" i="4"/>
  <c r="AL254" i="4"/>
  <c r="AK254" i="4"/>
  <c r="AM254" i="4"/>
  <c r="BT254" i="4"/>
  <c r="BF254" i="4"/>
  <c r="BO254" i="4"/>
  <c r="BP254" i="4"/>
  <c r="AI443" i="4"/>
  <c r="AR443" i="4"/>
  <c r="AF271" i="4"/>
  <c r="BF512" i="4"/>
  <c r="BO512" i="4"/>
  <c r="BP512" i="4"/>
  <c r="AK512" i="4"/>
  <c r="AL512" i="4"/>
  <c r="AM512" i="4"/>
  <c r="BT512" i="4"/>
  <c r="AK368" i="4"/>
  <c r="AH368" i="4"/>
  <c r="BF368" i="4"/>
  <c r="BO368" i="4"/>
  <c r="BP368" i="4"/>
  <c r="BT368" i="4"/>
  <c r="AL368" i="4"/>
  <c r="AM368" i="4"/>
  <c r="AG431" i="4"/>
  <c r="AG391" i="4"/>
  <c r="AF513" i="4"/>
  <c r="AI514" i="4"/>
  <c r="BT566" i="4"/>
  <c r="BV566" i="4"/>
  <c r="AK566" i="4"/>
  <c r="AM566" i="4"/>
  <c r="BF566" i="4"/>
  <c r="BO566" i="4"/>
  <c r="BP566" i="4"/>
  <c r="AL566" i="4"/>
  <c r="AH566" i="4"/>
  <c r="AI566" i="4"/>
  <c r="AJ566" i="4"/>
  <c r="AX566" i="4"/>
  <c r="AG657" i="4"/>
  <c r="AM591" i="4"/>
  <c r="BF591" i="4"/>
  <c r="BO591" i="4"/>
  <c r="BP591" i="4"/>
  <c r="AL591" i="4"/>
  <c r="AH591" i="4"/>
  <c r="AK591" i="4"/>
  <c r="BT591" i="4"/>
  <c r="AI151" i="4"/>
  <c r="AR151" i="4"/>
  <c r="AH293" i="4"/>
  <c r="AI285" i="4"/>
  <c r="AQ285" i="4"/>
  <c r="AK233" i="4"/>
  <c r="AM233" i="4"/>
  <c r="AL233" i="4"/>
  <c r="BT233" i="4"/>
  <c r="BF233" i="4"/>
  <c r="BO233" i="4"/>
  <c r="BP233" i="4"/>
  <c r="AH233" i="4"/>
  <c r="AI233" i="4"/>
  <c r="AJ233" i="4"/>
  <c r="AW233" i="4"/>
  <c r="AF335" i="4"/>
  <c r="BF335" i="4"/>
  <c r="BO335" i="4"/>
  <c r="BP335" i="4"/>
  <c r="AK335" i="4"/>
  <c r="AM335" i="4"/>
  <c r="BT335" i="4"/>
  <c r="AL335" i="4"/>
  <c r="AH335" i="4"/>
  <c r="AG450" i="4"/>
  <c r="AH450" i="4"/>
  <c r="AM450" i="4"/>
  <c r="AL450" i="4"/>
  <c r="AK450" i="4"/>
  <c r="BF450" i="4"/>
  <c r="BO450" i="4"/>
  <c r="BP450" i="4"/>
  <c r="BT450" i="4"/>
  <c r="AL346" i="4"/>
  <c r="AK346" i="4"/>
  <c r="BF346" i="4"/>
  <c r="BO346" i="4"/>
  <c r="BP346" i="4"/>
  <c r="AM346" i="4"/>
  <c r="BT346" i="4"/>
  <c r="AH346" i="4"/>
  <c r="AI346" i="4"/>
  <c r="AJ346" i="4"/>
  <c r="AX346" i="4"/>
  <c r="AK402" i="4"/>
  <c r="BT402" i="4"/>
  <c r="BF402" i="4"/>
  <c r="BO402" i="4"/>
  <c r="BP402" i="4"/>
  <c r="AM402" i="4"/>
  <c r="AL402" i="4"/>
  <c r="AG424" i="4"/>
  <c r="AF455" i="4"/>
  <c r="AI467" i="4"/>
  <c r="AM457" i="4"/>
  <c r="BT457" i="4"/>
  <c r="BF457" i="4"/>
  <c r="BO457" i="4"/>
  <c r="BP457" i="4"/>
  <c r="AL457" i="4"/>
  <c r="AK457" i="4"/>
  <c r="AH457" i="4"/>
  <c r="AH555" i="4"/>
  <c r="BO515" i="4"/>
  <c r="BP515" i="4"/>
  <c r="AF460" i="4"/>
  <c r="AF475" i="4"/>
  <c r="AK629" i="4"/>
  <c r="BF629" i="4"/>
  <c r="BO629" i="4"/>
  <c r="BP629" i="4"/>
  <c r="AH629" i="4"/>
  <c r="BT629" i="4"/>
  <c r="AM629" i="4"/>
  <c r="AL629" i="4"/>
  <c r="BF603" i="4"/>
  <c r="BO603" i="4"/>
  <c r="BP603" i="4"/>
  <c r="AK603" i="4"/>
  <c r="AL603" i="4"/>
  <c r="AM603" i="4"/>
  <c r="BT603" i="4"/>
  <c r="AF573" i="4"/>
  <c r="AF656" i="4"/>
  <c r="AH146" i="4"/>
  <c r="AI217" i="4"/>
  <c r="AG315" i="4"/>
  <c r="AI361" i="4"/>
  <c r="AQ361" i="4"/>
  <c r="AG274" i="4"/>
  <c r="AF227" i="4"/>
  <c r="AI227" i="4"/>
  <c r="AR227" i="4"/>
  <c r="AG328" i="4"/>
  <c r="AG259" i="4"/>
  <c r="AF265" i="4"/>
  <c r="BF265" i="4"/>
  <c r="BO265" i="4"/>
  <c r="BP265" i="4"/>
  <c r="BT265" i="4"/>
  <c r="AL265" i="4"/>
  <c r="AK265" i="4"/>
  <c r="AM265" i="4"/>
  <c r="AH265" i="4"/>
  <c r="AF334" i="4"/>
  <c r="AI473" i="4"/>
  <c r="AQ473" i="4"/>
  <c r="AH568" i="4"/>
  <c r="AM568" i="4"/>
  <c r="BF568" i="4"/>
  <c r="BO568" i="4"/>
  <c r="BP568" i="4"/>
  <c r="AK568" i="4"/>
  <c r="BT568" i="4"/>
  <c r="AL568" i="4"/>
  <c r="AG594" i="4"/>
  <c r="AI594" i="4"/>
  <c r="AF156" i="4"/>
  <c r="AK137" i="4"/>
  <c r="BT137" i="4"/>
  <c r="AL137" i="4"/>
  <c r="AM137" i="4"/>
  <c r="AH137" i="4"/>
  <c r="BF137" i="4"/>
  <c r="BO137" i="4"/>
  <c r="BP137" i="4"/>
  <c r="AM169" i="4"/>
  <c r="AK169" i="4"/>
  <c r="AL169" i="4"/>
  <c r="BT169" i="4"/>
  <c r="BF169" i="4"/>
  <c r="BO169" i="4"/>
  <c r="BP169" i="4"/>
  <c r="AH169" i="4"/>
  <c r="AF242" i="4"/>
  <c r="AG262" i="4"/>
  <c r="AQ226" i="4"/>
  <c r="AM226" i="4"/>
  <c r="BT226" i="4"/>
  <c r="BF226" i="4"/>
  <c r="BO226" i="4"/>
  <c r="BP226" i="4"/>
  <c r="AK226" i="4"/>
  <c r="AL226" i="4"/>
  <c r="AR226" i="4"/>
  <c r="AG277" i="4"/>
  <c r="BT311" i="4"/>
  <c r="AM311" i="4"/>
  <c r="AL311" i="4"/>
  <c r="AH311" i="4"/>
  <c r="AI311" i="4"/>
  <c r="BF311" i="4"/>
  <c r="BO311" i="4"/>
  <c r="BP311" i="4"/>
  <c r="AK311" i="4"/>
  <c r="AG343" i="4"/>
  <c r="AF238" i="4"/>
  <c r="AI238" i="4"/>
  <c r="AQ238" i="4"/>
  <c r="AG232" i="4"/>
  <c r="BF232" i="4"/>
  <c r="BO232" i="4"/>
  <c r="BP232" i="4"/>
  <c r="AK232" i="4"/>
  <c r="AM232" i="4"/>
  <c r="BT232" i="4"/>
  <c r="AL232" i="4"/>
  <c r="AH232" i="4"/>
  <c r="AF319" i="4"/>
  <c r="AF406" i="4"/>
  <c r="AH340" i="4"/>
  <c r="AG366" i="4"/>
  <c r="AG333" i="4"/>
  <c r="AF426" i="4"/>
  <c r="AI426" i="4"/>
  <c r="AK492" i="4"/>
  <c r="BF492" i="4"/>
  <c r="BO492" i="4"/>
  <c r="BP492" i="4"/>
  <c r="BT492" i="4"/>
  <c r="AM492" i="4"/>
  <c r="AL492" i="4"/>
  <c r="AH492" i="4"/>
  <c r="AH521" i="4"/>
  <c r="AF494" i="4"/>
  <c r="AG626" i="4"/>
  <c r="AF648" i="4"/>
  <c r="AI648" i="4"/>
  <c r="AG495" i="4"/>
  <c r="AG654" i="4"/>
  <c r="AF595" i="4"/>
  <c r="AG635" i="4"/>
  <c r="AF646" i="4"/>
  <c r="AX447" i="4"/>
  <c r="T106" i="4"/>
  <c r="T103" i="4"/>
  <c r="T107" i="4"/>
  <c r="AX505" i="4"/>
  <c r="AP505" i="4"/>
  <c r="BV505" i="4"/>
  <c r="AX582" i="4"/>
  <c r="AW582" i="4"/>
  <c r="AP582" i="4"/>
  <c r="AX249" i="4"/>
  <c r="AW249" i="4"/>
  <c r="AP249" i="4"/>
  <c r="BV249" i="4"/>
  <c r="AX304" i="4"/>
  <c r="AW304" i="4"/>
  <c r="AP304" i="4"/>
  <c r="BV304" i="4"/>
  <c r="AP464" i="4"/>
  <c r="AP566" i="4"/>
  <c r="AW202" i="4"/>
  <c r="AX202" i="4"/>
  <c r="AP202" i="4"/>
  <c r="BV202" i="4"/>
  <c r="AX124" i="4"/>
  <c r="AW124" i="4"/>
  <c r="AP124" i="4"/>
  <c r="AX222" i="4"/>
  <c r="AW222" i="4"/>
  <c r="AP222" i="4"/>
  <c r="BV222" i="4"/>
  <c r="AW290" i="4"/>
  <c r="AX290" i="4"/>
  <c r="AP290" i="4"/>
  <c r="BV290" i="4"/>
  <c r="AX509" i="4"/>
  <c r="AX158" i="4"/>
  <c r="AW158" i="4"/>
  <c r="AP158" i="4"/>
  <c r="AW193" i="4"/>
  <c r="AX193" i="4"/>
  <c r="AP193" i="4"/>
  <c r="BV193" i="4"/>
  <c r="BR154" i="4"/>
  <c r="BS144" i="4"/>
  <c r="BR144" i="4"/>
  <c r="AQ144" i="4"/>
  <c r="AR144" i="4"/>
  <c r="AI129" i="4"/>
  <c r="AJ129" i="4"/>
  <c r="AJ144" i="4"/>
  <c r="BS372" i="4"/>
  <c r="BR372" i="4"/>
  <c r="AQ372" i="4"/>
  <c r="AR372" i="4"/>
  <c r="BR468" i="4"/>
  <c r="BS346" i="4"/>
  <c r="BU346" i="4"/>
  <c r="AR346" i="4"/>
  <c r="BR275" i="4"/>
  <c r="BR222" i="4"/>
  <c r="BS222" i="4"/>
  <c r="BU222" i="4"/>
  <c r="AQ222" i="4"/>
  <c r="AR222" i="4"/>
  <c r="BR158" i="4"/>
  <c r="BS158" i="4"/>
  <c r="BU158" i="4"/>
  <c r="AR158" i="4"/>
  <c r="AQ158" i="4"/>
  <c r="BS371" i="4"/>
  <c r="BR371" i="4"/>
  <c r="AQ371" i="4"/>
  <c r="AR371" i="4"/>
  <c r="BR122" i="4"/>
  <c r="BS122" i="4"/>
  <c r="BF120" i="4"/>
  <c r="BT120" i="4"/>
  <c r="AL120" i="4"/>
  <c r="AK120" i="4"/>
  <c r="AM120" i="4"/>
  <c r="J15" i="4"/>
  <c r="AQ125" i="4"/>
  <c r="AI121" i="4"/>
  <c r="AJ121" i="4"/>
  <c r="BV121" i="4"/>
  <c r="AQ122" i="4"/>
  <c r="AJ125" i="4"/>
  <c r="BV125" i="4"/>
  <c r="AR547" i="4"/>
  <c r="BS563" i="4"/>
  <c r="BR563" i="4"/>
  <c r="AR563" i="4"/>
  <c r="AQ563" i="4"/>
  <c r="BR582" i="4"/>
  <c r="BS582" i="4"/>
  <c r="BU582" i="4"/>
  <c r="AQ582" i="4"/>
  <c r="AR582" i="4"/>
  <c r="BS290" i="4"/>
  <c r="BU290" i="4"/>
  <c r="BR290" i="4"/>
  <c r="AQ290" i="4"/>
  <c r="AR290" i="4"/>
  <c r="AI120" i="4"/>
  <c r="AR120" i="4"/>
  <c r="BR202" i="4"/>
  <c r="BS202" i="4"/>
  <c r="BU202" i="4"/>
  <c r="AQ202" i="4"/>
  <c r="AR202" i="4"/>
  <c r="AW181" i="4"/>
  <c r="AX181" i="4"/>
  <c r="AP181" i="4"/>
  <c r="BS430" i="4"/>
  <c r="BR430" i="4"/>
  <c r="AQ430" i="4"/>
  <c r="BR636" i="4"/>
  <c r="BS636" i="4"/>
  <c r="AR636" i="4"/>
  <c r="AQ636" i="4"/>
  <c r="BR447" i="4"/>
  <c r="BS447" i="4"/>
  <c r="BU447" i="4"/>
  <c r="AR447" i="4"/>
  <c r="AQ447" i="4"/>
  <c r="BR249" i="4"/>
  <c r="BS249" i="4"/>
  <c r="BU249" i="4"/>
  <c r="AQ249" i="4"/>
  <c r="AR249" i="4"/>
  <c r="BR505" i="4"/>
  <c r="BS505" i="4"/>
  <c r="BU505" i="4"/>
  <c r="AR505" i="4"/>
  <c r="AQ505" i="4"/>
  <c r="AJ122" i="4"/>
  <c r="BV122" i="4"/>
  <c r="BS125" i="4"/>
  <c r="BR125" i="4"/>
  <c r="BS327" i="4"/>
  <c r="BR327" i="4"/>
  <c r="AQ327" i="4"/>
  <c r="AR327" i="4"/>
  <c r="BS298" i="4"/>
  <c r="BR298" i="4"/>
  <c r="AQ298" i="4"/>
  <c r="AR298" i="4"/>
  <c r="BR168" i="4"/>
  <c r="BS168" i="4"/>
  <c r="AQ168" i="4"/>
  <c r="AR168" i="4"/>
  <c r="AJ154" i="4"/>
  <c r="BR509" i="4"/>
  <c r="AJ563" i="4"/>
  <c r="AJ371" i="4"/>
  <c r="AJ636" i="4"/>
  <c r="BS617" i="4"/>
  <c r="BU617" i="4"/>
  <c r="BS304" i="4"/>
  <c r="BU304" i="4"/>
  <c r="BR304" i="4"/>
  <c r="AR304" i="4"/>
  <c r="AQ304" i="4"/>
  <c r="AJ372" i="4"/>
  <c r="AR464" i="4"/>
  <c r="BS124" i="4"/>
  <c r="BU124" i="4"/>
  <c r="BR124" i="4"/>
  <c r="AR124" i="4"/>
  <c r="AQ124" i="4"/>
  <c r="AJ327" i="4"/>
  <c r="AJ298" i="4"/>
  <c r="AJ168" i="4"/>
  <c r="BS193" i="4"/>
  <c r="BU193" i="4"/>
  <c r="BR193" i="4"/>
  <c r="AR193" i="4"/>
  <c r="AQ193" i="4"/>
  <c r="AJ153" i="4"/>
  <c r="AP153" i="4"/>
  <c r="AR153" i="4"/>
  <c r="AQ153" i="4"/>
  <c r="AS153" i="4"/>
  <c r="AT153" i="4"/>
  <c r="BM153" i="4"/>
  <c r="BN153" i="4"/>
  <c r="AR325" i="4"/>
  <c r="AI554" i="4"/>
  <c r="AI539" i="4"/>
  <c r="AP634" i="4"/>
  <c r="BV447" i="4"/>
  <c r="BV275" i="4"/>
  <c r="AR533" i="4"/>
  <c r="AI621" i="4"/>
  <c r="BR621" i="4"/>
  <c r="AI508" i="4"/>
  <c r="AI520" i="4"/>
  <c r="AJ520" i="4"/>
  <c r="AI349" i="4"/>
  <c r="AI596" i="4"/>
  <c r="BS547" i="4"/>
  <c r="AQ634" i="4"/>
  <c r="AJ164" i="4"/>
  <c r="AR634" i="4"/>
  <c r="AQ164" i="4"/>
  <c r="AW634" i="4"/>
  <c r="AI646" i="4"/>
  <c r="BV158" i="4"/>
  <c r="AI609" i="4"/>
  <c r="AI130" i="4"/>
  <c r="AI628" i="4"/>
  <c r="AJ628" i="4"/>
  <c r="BV634" i="4"/>
  <c r="AJ547" i="4"/>
  <c r="BR547" i="4"/>
  <c r="AQ526" i="4"/>
  <c r="BS634" i="4"/>
  <c r="BU634" i="4"/>
  <c r="AR615" i="4"/>
  <c r="AI416" i="4"/>
  <c r="AR239" i="4"/>
  <c r="AI601" i="4"/>
  <c r="AI308" i="4"/>
  <c r="AQ308" i="4"/>
  <c r="AI200" i="4"/>
  <c r="BS164" i="4"/>
  <c r="AR509" i="4"/>
  <c r="AR526" i="4"/>
  <c r="BR634" i="4"/>
  <c r="AQ275" i="4"/>
  <c r="AP275" i="4"/>
  <c r="AI591" i="4"/>
  <c r="BR591" i="4"/>
  <c r="AQ615" i="4"/>
  <c r="AI301" i="4"/>
  <c r="AI649" i="4"/>
  <c r="AQ509" i="4"/>
  <c r="BS526" i="4"/>
  <c r="AR275" i="4"/>
  <c r="AP509" i="4"/>
  <c r="AW275" i="4"/>
  <c r="AI188" i="4"/>
  <c r="AJ188" i="4"/>
  <c r="AX188" i="4"/>
  <c r="AJ526" i="4"/>
  <c r="BS509" i="4"/>
  <c r="BU509" i="4"/>
  <c r="BS275" i="4"/>
  <c r="BU275" i="4"/>
  <c r="AI319" i="4"/>
  <c r="AI543" i="4"/>
  <c r="AR543" i="4"/>
  <c r="AI417" i="4"/>
  <c r="BR417" i="4"/>
  <c r="AI453" i="4"/>
  <c r="AJ453" i="4"/>
  <c r="AJ191" i="4"/>
  <c r="AX191" i="4"/>
  <c r="AQ191" i="4"/>
  <c r="AR517" i="4"/>
  <c r="AQ517" i="4"/>
  <c r="BS517" i="4"/>
  <c r="AJ517" i="4"/>
  <c r="BV517" i="4"/>
  <c r="BR517" i="4"/>
  <c r="AQ233" i="4"/>
  <c r="AI220" i="4"/>
  <c r="AJ220" i="4"/>
  <c r="AI282" i="4"/>
  <c r="BR282" i="4"/>
  <c r="AQ575" i="4"/>
  <c r="AP233" i="4"/>
  <c r="AJ134" i="4"/>
  <c r="AP134" i="4"/>
  <c r="AI644" i="4"/>
  <c r="BS644" i="4"/>
  <c r="AI659" i="4"/>
  <c r="AQ566" i="4"/>
  <c r="AI278" i="4"/>
  <c r="BB226" i="4"/>
  <c r="BR233" i="4"/>
  <c r="BS566" i="4"/>
  <c r="BU566" i="4"/>
  <c r="AJ430" i="4"/>
  <c r="BV221" i="4"/>
  <c r="AI365" i="4"/>
  <c r="AJ365" i="4"/>
  <c r="AX365" i="4"/>
  <c r="AR575" i="4"/>
  <c r="AJ575" i="4"/>
  <c r="BV575" i="4"/>
  <c r="AR233" i="4"/>
  <c r="AW566" i="4"/>
  <c r="BV245" i="4"/>
  <c r="AQ140" i="4"/>
  <c r="BR140" i="4"/>
  <c r="AR140" i="4"/>
  <c r="AJ140" i="4"/>
  <c r="BS140" i="4"/>
  <c r="BV464" i="4"/>
  <c r="BV509" i="4"/>
  <c r="BV365" i="4"/>
  <c r="AR600" i="4"/>
  <c r="AS600" i="4"/>
  <c r="AT600" i="4"/>
  <c r="AI236" i="4"/>
  <c r="AJ236" i="4"/>
  <c r="AI149" i="4"/>
  <c r="AI413" i="4"/>
  <c r="AI273" i="4"/>
  <c r="AI415" i="4"/>
  <c r="AQ415" i="4"/>
  <c r="AI256" i="4"/>
  <c r="AQ256" i="4"/>
  <c r="AI268" i="4"/>
  <c r="AJ268" i="4"/>
  <c r="AI215" i="4"/>
  <c r="AR215" i="4"/>
  <c r="AI277" i="4"/>
  <c r="AJ277" i="4"/>
  <c r="AJ579" i="4"/>
  <c r="AI560" i="4"/>
  <c r="AQ560" i="4"/>
  <c r="AI323" i="4"/>
  <c r="AR323" i="4"/>
  <c r="AI336" i="4"/>
  <c r="AR336" i="4"/>
  <c r="BV233" i="4"/>
  <c r="AQ448" i="4"/>
  <c r="BB448" i="4"/>
  <c r="BV124" i="4"/>
  <c r="AQ543" i="4"/>
  <c r="AJ148" i="4"/>
  <c r="AI660" i="4"/>
  <c r="BS660" i="4"/>
  <c r="AI469" i="4"/>
  <c r="AJ469" i="4"/>
  <c r="BV469" i="4"/>
  <c r="AQ282" i="4"/>
  <c r="AJ282" i="4"/>
  <c r="BV282" i="4"/>
  <c r="BS282" i="4"/>
  <c r="AR282" i="4"/>
  <c r="AX471" i="4"/>
  <c r="AW471" i="4"/>
  <c r="AP471" i="4"/>
  <c r="AQ323" i="4"/>
  <c r="AQ336" i="4"/>
  <c r="AJ336" i="4"/>
  <c r="AX336" i="4"/>
  <c r="AP468" i="4"/>
  <c r="AW188" i="4"/>
  <c r="BA188" i="4"/>
  <c r="BQ188" i="4"/>
  <c r="BR188" i="4"/>
  <c r="AR617" i="4"/>
  <c r="BS188" i="4"/>
  <c r="BU188" i="4"/>
  <c r="AQ617" i="4"/>
  <c r="AQ325" i="4"/>
  <c r="BR164" i="4"/>
  <c r="BS233" i="4"/>
  <c r="BU233" i="4"/>
  <c r="AQ468" i="4"/>
  <c r="AX468" i="4"/>
  <c r="AI568" i="4"/>
  <c r="AI335" i="4"/>
  <c r="AI569" i="4"/>
  <c r="BS569" i="4"/>
  <c r="AJ380" i="4"/>
  <c r="AW380" i="4"/>
  <c r="BV325" i="4"/>
  <c r="AJ230" i="4"/>
  <c r="AQ557" i="4"/>
  <c r="AI358" i="4"/>
  <c r="AI388" i="4"/>
  <c r="BR388" i="4"/>
  <c r="AQ596" i="4"/>
  <c r="BR596" i="4"/>
  <c r="AR596" i="4"/>
  <c r="AJ278" i="4"/>
  <c r="BS278" i="4"/>
  <c r="AR278" i="4"/>
  <c r="BR278" i="4"/>
  <c r="AQ278" i="4"/>
  <c r="AQ518" i="4"/>
  <c r="AR518" i="4"/>
  <c r="BR518" i="4"/>
  <c r="BS518" i="4"/>
  <c r="BV510" i="4"/>
  <c r="AR566" i="4"/>
  <c r="AQ464" i="4"/>
  <c r="BR617" i="4"/>
  <c r="BR325" i="4"/>
  <c r="BS468" i="4"/>
  <c r="BU468" i="4"/>
  <c r="AP325" i="4"/>
  <c r="BV617" i="4"/>
  <c r="BV346" i="4"/>
  <c r="AI519" i="4"/>
  <c r="AI635" i="4"/>
  <c r="BR635" i="4"/>
  <c r="AR473" i="4"/>
  <c r="AS473" i="4"/>
  <c r="AT473" i="4"/>
  <c r="AQ538" i="4"/>
  <c r="BB538" i="4"/>
  <c r="AI619" i="4"/>
  <c r="AJ619" i="4"/>
  <c r="BV619" i="4"/>
  <c r="AI127" i="4"/>
  <c r="AJ127" i="4"/>
  <c r="AR295" i="4"/>
  <c r="BS538" i="4"/>
  <c r="BU538" i="4"/>
  <c r="AI302" i="4"/>
  <c r="BR302" i="4"/>
  <c r="AI197" i="4"/>
  <c r="AQ579" i="4"/>
  <c r="BB579" i="4"/>
  <c r="AI456" i="4"/>
  <c r="BR308" i="4"/>
  <c r="BS308" i="4"/>
  <c r="BS325" i="4"/>
  <c r="BU325" i="4"/>
  <c r="AP617" i="4"/>
  <c r="AR230" i="4"/>
  <c r="AS230" i="4"/>
  <c r="AT230" i="4"/>
  <c r="AI595" i="4"/>
  <c r="AI535" i="4"/>
  <c r="BR538" i="4"/>
  <c r="AI439" i="4"/>
  <c r="AI344" i="4"/>
  <c r="AQ344" i="4"/>
  <c r="AR365" i="4"/>
  <c r="AX325" i="4"/>
  <c r="AI265" i="4"/>
  <c r="BS265" i="4"/>
  <c r="BR566" i="4"/>
  <c r="BS464" i="4"/>
  <c r="BU464" i="4"/>
  <c r="AQ365" i="4"/>
  <c r="AQ346" i="4"/>
  <c r="AX233" i="4"/>
  <c r="AX617" i="4"/>
  <c r="AX464" i="4"/>
  <c r="AP188" i="4"/>
  <c r="AP447" i="4"/>
  <c r="AI654" i="4"/>
  <c r="AJ654" i="4"/>
  <c r="BV654" i="4"/>
  <c r="BV538" i="4"/>
  <c r="AI548" i="4"/>
  <c r="AI402" i="4"/>
  <c r="AJ402" i="4"/>
  <c r="BV402" i="4"/>
  <c r="AI209" i="4"/>
  <c r="AR209" i="4"/>
  <c r="BS596" i="4"/>
  <c r="AI381" i="4"/>
  <c r="BS355" i="4"/>
  <c r="AR355" i="4"/>
  <c r="AJ355" i="4"/>
  <c r="BR355" i="4"/>
  <c r="AQ355" i="4"/>
  <c r="BV188" i="4"/>
  <c r="AR188" i="4"/>
  <c r="BR464" i="4"/>
  <c r="BR346" i="4"/>
  <c r="BV468" i="4"/>
  <c r="AI588" i="4"/>
  <c r="BV161" i="4"/>
  <c r="BV533" i="4"/>
  <c r="AI198" i="4"/>
  <c r="AQ198" i="4"/>
  <c r="AJ596" i="4"/>
  <c r="AI293" i="4"/>
  <c r="AJ293" i="4"/>
  <c r="BV336" i="4"/>
  <c r="AI444" i="4"/>
  <c r="AQ444" i="4"/>
  <c r="AI187" i="4"/>
  <c r="AQ383" i="4"/>
  <c r="AI170" i="4"/>
  <c r="BS170" i="4"/>
  <c r="AQ188" i="4"/>
  <c r="AR468" i="4"/>
  <c r="AI537" i="4"/>
  <c r="AJ537" i="4"/>
  <c r="BV537" i="4"/>
  <c r="AI567" i="4"/>
  <c r="AJ567" i="4"/>
  <c r="AW567" i="4"/>
  <c r="AI622" i="4"/>
  <c r="AQ622" i="4"/>
  <c r="AI511" i="4"/>
  <c r="AJ511" i="4"/>
  <c r="BV511" i="4"/>
  <c r="AJ518" i="4"/>
  <c r="AX567" i="4"/>
  <c r="AP567" i="4"/>
  <c r="AI480" i="4"/>
  <c r="AI613" i="4"/>
  <c r="AJ613" i="4"/>
  <c r="BR200" i="4"/>
  <c r="BS200" i="4"/>
  <c r="AR200" i="4"/>
  <c r="AQ200" i="4"/>
  <c r="AJ200" i="4"/>
  <c r="BS398" i="4"/>
  <c r="BR398" i="4"/>
  <c r="AQ398" i="4"/>
  <c r="AR398" i="4"/>
  <c r="BS618" i="4"/>
  <c r="BR618" i="4"/>
  <c r="AQ618" i="4"/>
  <c r="AR618" i="4"/>
  <c r="AI172" i="4"/>
  <c r="AJ172" i="4"/>
  <c r="AX134" i="4"/>
  <c r="AI183" i="4"/>
  <c r="AI559" i="4"/>
  <c r="AJ559" i="4"/>
  <c r="BV559" i="4"/>
  <c r="BS267" i="4"/>
  <c r="BR267" i="4"/>
  <c r="AQ267" i="4"/>
  <c r="AR267" i="4"/>
  <c r="AJ267" i="4"/>
  <c r="BR646" i="4"/>
  <c r="BS646" i="4"/>
  <c r="AQ646" i="4"/>
  <c r="AJ646" i="4"/>
  <c r="AR646" i="4"/>
  <c r="BS302" i="4"/>
  <c r="AQ302" i="4"/>
  <c r="AI626" i="4"/>
  <c r="AJ626" i="4"/>
  <c r="AI449" i="4"/>
  <c r="AJ449" i="4"/>
  <c r="BV449" i="4"/>
  <c r="AQ208" i="4"/>
  <c r="AJ208" i="4"/>
  <c r="BS208" i="4"/>
  <c r="BR208" i="4"/>
  <c r="AR208" i="4"/>
  <c r="AJ347" i="4"/>
  <c r="BV347" i="4"/>
  <c r="BS347" i="4"/>
  <c r="BR347" i="4"/>
  <c r="AQ347" i="4"/>
  <c r="AR347" i="4"/>
  <c r="BR167" i="4"/>
  <c r="BS167" i="4"/>
  <c r="AQ167" i="4"/>
  <c r="AR167" i="4"/>
  <c r="AW534" i="4"/>
  <c r="AP534" i="4"/>
  <c r="AX534" i="4"/>
  <c r="BR551" i="4"/>
  <c r="BS551" i="4"/>
  <c r="AR551" i="4"/>
  <c r="AQ551" i="4"/>
  <c r="AQ644" i="4"/>
  <c r="AR644" i="4"/>
  <c r="AI283" i="4"/>
  <c r="AI385" i="4"/>
  <c r="AJ385" i="4"/>
  <c r="AQ154" i="4"/>
  <c r="BS154" i="4"/>
  <c r="BU154" i="4"/>
  <c r="AR154" i="4"/>
  <c r="AX221" i="4"/>
  <c r="AP221" i="4"/>
  <c r="AW221" i="4"/>
  <c r="AW615" i="4"/>
  <c r="AP615" i="4"/>
  <c r="AX615" i="4"/>
  <c r="AI189" i="4"/>
  <c r="AJ189" i="4"/>
  <c r="BR277" i="4"/>
  <c r="AR277" i="4"/>
  <c r="BS631" i="4"/>
  <c r="AR631" i="4"/>
  <c r="AQ631" i="4"/>
  <c r="BR631" i="4"/>
  <c r="AJ631" i="4"/>
  <c r="BV534" i="4"/>
  <c r="BR567" i="4"/>
  <c r="AI442" i="4"/>
  <c r="AJ442" i="4"/>
  <c r="BV442" i="4"/>
  <c r="AI545" i="4"/>
  <c r="AJ545" i="4"/>
  <c r="BS529" i="4"/>
  <c r="BR529" i="4"/>
  <c r="AR529" i="4"/>
  <c r="AQ529" i="4"/>
  <c r="AJ529" i="4"/>
  <c r="BV529" i="4"/>
  <c r="BR177" i="4"/>
  <c r="BS177" i="4"/>
  <c r="AQ177" i="4"/>
  <c r="AR177" i="4"/>
  <c r="BB473" i="4"/>
  <c r="BS637" i="4"/>
  <c r="BR637" i="4"/>
  <c r="AQ637" i="4"/>
  <c r="AJ637" i="4"/>
  <c r="AR637" i="4"/>
  <c r="BR185" i="4"/>
  <c r="AQ185" i="4"/>
  <c r="BS185" i="4"/>
  <c r="AQ487" i="4"/>
  <c r="BS487" i="4"/>
  <c r="BR487" i="4"/>
  <c r="AR487" i="4"/>
  <c r="AJ487" i="4"/>
  <c r="AJ163" i="4"/>
  <c r="BV163" i="4"/>
  <c r="BR163" i="4"/>
  <c r="BS163" i="4"/>
  <c r="AR163" i="4"/>
  <c r="AW520" i="4"/>
  <c r="AP520" i="4"/>
  <c r="AX520" i="4"/>
  <c r="AR402" i="4"/>
  <c r="BS539" i="4"/>
  <c r="BR539" i="4"/>
  <c r="AQ539" i="4"/>
  <c r="AI564" i="4"/>
  <c r="AJ209" i="4"/>
  <c r="BS209" i="4"/>
  <c r="BR209" i="4"/>
  <c r="AQ640" i="4"/>
  <c r="AJ640" i="4"/>
  <c r="BR640" i="4"/>
  <c r="BS640" i="4"/>
  <c r="AI441" i="4"/>
  <c r="AJ441" i="4"/>
  <c r="AI296" i="4"/>
  <c r="AI419" i="4"/>
  <c r="AJ419" i="4"/>
  <c r="AI440" i="4"/>
  <c r="AJ440" i="4"/>
  <c r="AR324" i="4"/>
  <c r="AQ324" i="4"/>
  <c r="BR324" i="4"/>
  <c r="BS324" i="4"/>
  <c r="AJ324" i="4"/>
  <c r="BV324" i="4"/>
  <c r="AI504" i="4"/>
  <c r="AW191" i="4"/>
  <c r="BR594" i="4"/>
  <c r="BS594" i="4"/>
  <c r="AJ594" i="4"/>
  <c r="AR594" i="4"/>
  <c r="AQ594" i="4"/>
  <c r="BS173" i="4"/>
  <c r="BR173" i="4"/>
  <c r="AQ173" i="4"/>
  <c r="BR660" i="4"/>
  <c r="AJ660" i="4"/>
  <c r="AR660" i="4"/>
  <c r="AI186" i="4"/>
  <c r="BR214" i="4"/>
  <c r="BS214" i="4"/>
  <c r="AR214" i="4"/>
  <c r="AQ214" i="4"/>
  <c r="AQ660" i="4"/>
  <c r="BS198" i="4"/>
  <c r="BU198" i="4"/>
  <c r="AR198" i="4"/>
  <c r="AJ198" i="4"/>
  <c r="BV198" i="4"/>
  <c r="AR507" i="4"/>
  <c r="AJ507" i="4"/>
  <c r="BR507" i="4"/>
  <c r="BS507" i="4"/>
  <c r="AQ507" i="4"/>
  <c r="BR300" i="4"/>
  <c r="AQ300" i="4"/>
  <c r="BS300" i="4"/>
  <c r="AJ300" i="4"/>
  <c r="BV300" i="4"/>
  <c r="AR300" i="4"/>
  <c r="BR556" i="4"/>
  <c r="BS556" i="4"/>
  <c r="AR556" i="4"/>
  <c r="AQ556" i="4"/>
  <c r="AJ556" i="4"/>
  <c r="BS270" i="4"/>
  <c r="BR270" i="4"/>
  <c r="AQ270" i="4"/>
  <c r="AJ270" i="4"/>
  <c r="BV270" i="4"/>
  <c r="AI603" i="4"/>
  <c r="AJ603" i="4"/>
  <c r="BV603" i="4"/>
  <c r="AI475" i="4"/>
  <c r="AJ475" i="4"/>
  <c r="AQ469" i="4"/>
  <c r="BR469" i="4"/>
  <c r="AR469" i="4"/>
  <c r="BR319" i="4"/>
  <c r="BS319" i="4"/>
  <c r="AQ319" i="4"/>
  <c r="AR319" i="4"/>
  <c r="AJ319" i="4"/>
  <c r="AJ238" i="4"/>
  <c r="BV238" i="4"/>
  <c r="AR238" i="4"/>
  <c r="BB238" i="4"/>
  <c r="BR238" i="4"/>
  <c r="BS238" i="4"/>
  <c r="AJ265" i="4"/>
  <c r="BU265" i="4"/>
  <c r="BS165" i="4"/>
  <c r="BR165" i="4"/>
  <c r="AQ165" i="4"/>
  <c r="AR165" i="4"/>
  <c r="BS433" i="4"/>
  <c r="BR433" i="4"/>
  <c r="AJ433" i="4"/>
  <c r="BV433" i="4"/>
  <c r="AQ433" i="4"/>
  <c r="AR433" i="4"/>
  <c r="BB600" i="4"/>
  <c r="AQ163" i="4"/>
  <c r="AI460" i="4"/>
  <c r="AJ460" i="4"/>
  <c r="BV460" i="4"/>
  <c r="AQ301" i="4"/>
  <c r="BS301" i="4"/>
  <c r="BR301" i="4"/>
  <c r="AR301" i="4"/>
  <c r="AJ301" i="4"/>
  <c r="BV301" i="4"/>
  <c r="AI159" i="4"/>
  <c r="AJ159" i="4"/>
  <c r="BV159" i="4"/>
  <c r="BB245" i="4"/>
  <c r="AS245" i="4"/>
  <c r="AT245" i="4"/>
  <c r="BB383" i="4"/>
  <c r="AS383" i="4"/>
  <c r="AT383" i="4"/>
  <c r="BR147" i="4"/>
  <c r="BS147" i="4"/>
  <c r="AJ147" i="4"/>
  <c r="AR147" i="4"/>
  <c r="AQ147" i="4"/>
  <c r="BS320" i="4"/>
  <c r="BR320" i="4"/>
  <c r="AQ320" i="4"/>
  <c r="AR320" i="4"/>
  <c r="AJ387" i="4"/>
  <c r="AQ387" i="4"/>
  <c r="BR387" i="4"/>
  <c r="BS387" i="4"/>
  <c r="AR387" i="4"/>
  <c r="AI360" i="4"/>
  <c r="AJ360" i="4"/>
  <c r="AI195" i="4"/>
  <c r="AJ195" i="4"/>
  <c r="BR264" i="4"/>
  <c r="BS264" i="4"/>
  <c r="AQ264" i="4"/>
  <c r="AR264" i="4"/>
  <c r="BS648" i="4"/>
  <c r="BR648" i="4"/>
  <c r="AJ648" i="4"/>
  <c r="BV648" i="4"/>
  <c r="AQ648" i="4"/>
  <c r="AR648" i="4"/>
  <c r="AI232" i="4"/>
  <c r="AJ232" i="4"/>
  <c r="BC226" i="4"/>
  <c r="BD226" i="4"/>
  <c r="BE226" i="4"/>
  <c r="BH226" i="4"/>
  <c r="AJ227" i="4"/>
  <c r="BS227" i="4"/>
  <c r="BR227" i="4"/>
  <c r="AQ227" i="4"/>
  <c r="BS152" i="4"/>
  <c r="BR152" i="4"/>
  <c r="AJ152" i="4"/>
  <c r="BV152" i="4"/>
  <c r="AQ152" i="4"/>
  <c r="AR152" i="4"/>
  <c r="AR512" i="4"/>
  <c r="BS512" i="4"/>
  <c r="AQ512" i="4"/>
  <c r="BR512" i="4"/>
  <c r="AJ512" i="4"/>
  <c r="AI216" i="4"/>
  <c r="BS182" i="4"/>
  <c r="AJ182" i="4"/>
  <c r="AQ182" i="4"/>
  <c r="BR182" i="4"/>
  <c r="AR182" i="4"/>
  <c r="AI357" i="4"/>
  <c r="AJ357" i="4"/>
  <c r="BR358" i="4"/>
  <c r="BS358" i="4"/>
  <c r="AR358" i="4"/>
  <c r="AQ358" i="4"/>
  <c r="AR537" i="4"/>
  <c r="AX528" i="4"/>
  <c r="AP528" i="4"/>
  <c r="AW528" i="4"/>
  <c r="AI375" i="4"/>
  <c r="AJ375" i="4"/>
  <c r="BV375" i="4"/>
  <c r="AR623" i="4"/>
  <c r="BS623" i="4"/>
  <c r="AQ623" i="4"/>
  <c r="BR623" i="4"/>
  <c r="AR339" i="4"/>
  <c r="BS339" i="4"/>
  <c r="BR339" i="4"/>
  <c r="AQ339" i="4"/>
  <c r="BB397" i="4"/>
  <c r="AS397" i="4"/>
  <c r="AT397" i="4"/>
  <c r="AX479" i="4"/>
  <c r="AP479" i="4"/>
  <c r="AW479" i="4"/>
  <c r="BR437" i="4"/>
  <c r="BS437" i="4"/>
  <c r="AR437" i="4"/>
  <c r="AQ437" i="4"/>
  <c r="BS388" i="4"/>
  <c r="AI472" i="4"/>
  <c r="BR128" i="4"/>
  <c r="BS128" i="4"/>
  <c r="BU128" i="4"/>
  <c r="AQ128" i="4"/>
  <c r="AR128" i="4"/>
  <c r="AJ128" i="4"/>
  <c r="BR297" i="4"/>
  <c r="BS297" i="4"/>
  <c r="AQ297" i="4"/>
  <c r="AJ297" i="4"/>
  <c r="AR297" i="4"/>
  <c r="AJ525" i="4"/>
  <c r="BR525" i="4"/>
  <c r="BS525" i="4"/>
  <c r="AQ525" i="4"/>
  <c r="AR525" i="4"/>
  <c r="AJ244" i="4"/>
  <c r="AI244" i="4"/>
  <c r="AJ358" i="4"/>
  <c r="BV358" i="4"/>
  <c r="AI235" i="4"/>
  <c r="AJ235" i="4"/>
  <c r="BV235" i="4"/>
  <c r="AR595" i="4"/>
  <c r="BS595" i="4"/>
  <c r="BR595" i="4"/>
  <c r="AQ595" i="4"/>
  <c r="AI364" i="4"/>
  <c r="AJ364" i="4"/>
  <c r="AI462" i="4"/>
  <c r="AJ462" i="4"/>
  <c r="BV462" i="4"/>
  <c r="BS356" i="4"/>
  <c r="BR356" i="4"/>
  <c r="AJ356" i="4"/>
  <c r="AQ356" i="4"/>
  <c r="AR356" i="4"/>
  <c r="AR184" i="4"/>
  <c r="BS184" i="4"/>
  <c r="BR184" i="4"/>
  <c r="AJ184" i="4"/>
  <c r="BV184" i="4"/>
  <c r="AQ184" i="4"/>
  <c r="AP587" i="4"/>
  <c r="AX587" i="4"/>
  <c r="AW587" i="4"/>
  <c r="AX153" i="4"/>
  <c r="AW153" i="4"/>
  <c r="BR132" i="4"/>
  <c r="AQ132" i="4"/>
  <c r="AR132" i="4"/>
  <c r="AJ132" i="4"/>
  <c r="BV132" i="4"/>
  <c r="BS132" i="4"/>
  <c r="BR130" i="4"/>
  <c r="BS130" i="4"/>
  <c r="AQ130" i="4"/>
  <c r="AR130" i="4"/>
  <c r="AI259" i="4"/>
  <c r="AJ259" i="4"/>
  <c r="AJ437" i="4"/>
  <c r="AJ618" i="4"/>
  <c r="BV618" i="4"/>
  <c r="AX140" i="4"/>
  <c r="AP140" i="4"/>
  <c r="AW140" i="4"/>
  <c r="BR151" i="4"/>
  <c r="BS151" i="4"/>
  <c r="BV512" i="4"/>
  <c r="AI155" i="4"/>
  <c r="BS348" i="4"/>
  <c r="AQ348" i="4"/>
  <c r="AR348" i="4"/>
  <c r="BR348" i="4"/>
  <c r="AI630" i="4"/>
  <c r="AJ630" i="4"/>
  <c r="AI459" i="4"/>
  <c r="AJ459" i="4"/>
  <c r="BV459" i="4"/>
  <c r="AQ257" i="4"/>
  <c r="BS257" i="4"/>
  <c r="AJ257" i="4"/>
  <c r="AR257" i="4"/>
  <c r="BR257" i="4"/>
  <c r="AR415" i="4"/>
  <c r="AJ415" i="4"/>
  <c r="BR415" i="4"/>
  <c r="AJ377" i="4"/>
  <c r="BS377" i="4"/>
  <c r="BR377" i="4"/>
  <c r="AR377" i="4"/>
  <c r="AQ377" i="4"/>
  <c r="AS448" i="4"/>
  <c r="AT448" i="4"/>
  <c r="AI400" i="4"/>
  <c r="AJ400" i="4"/>
  <c r="BV400" i="4"/>
  <c r="BS279" i="4"/>
  <c r="BR279" i="4"/>
  <c r="BR379" i="4"/>
  <c r="BS379" i="4"/>
  <c r="BB153" i="4"/>
  <c r="AJ326" i="4"/>
  <c r="BV326" i="4"/>
  <c r="BR326" i="4"/>
  <c r="BS326" i="4"/>
  <c r="AJ214" i="4"/>
  <c r="AI598" i="4"/>
  <c r="AJ598" i="4"/>
  <c r="AI558" i="4"/>
  <c r="AX538" i="4"/>
  <c r="AP538" i="4"/>
  <c r="AW538" i="4"/>
  <c r="AI328" i="4"/>
  <c r="AI438" i="4"/>
  <c r="AI607" i="4"/>
  <c r="AJ607" i="4"/>
  <c r="AI204" i="4"/>
  <c r="AI647" i="4"/>
  <c r="BB221" i="4"/>
  <c r="AS221" i="4"/>
  <c r="AT221" i="4"/>
  <c r="AI131" i="4"/>
  <c r="AJ131" i="4"/>
  <c r="AJ467" i="4"/>
  <c r="BV467" i="4"/>
  <c r="BS560" i="4"/>
  <c r="BR560" i="4"/>
  <c r="AJ560" i="4"/>
  <c r="AI399" i="4"/>
  <c r="AI431" i="4"/>
  <c r="AJ431" i="4"/>
  <c r="AJ562" i="4"/>
  <c r="BV562" i="4"/>
  <c r="BS562" i="4"/>
  <c r="BR562" i="4"/>
  <c r="AJ638" i="4"/>
  <c r="AI394" i="4"/>
  <c r="AJ394" i="4"/>
  <c r="AI219" i="4"/>
  <c r="AI410" i="4"/>
  <c r="AJ410" i="4"/>
  <c r="BV410" i="4"/>
  <c r="AI252" i="4"/>
  <c r="AJ429" i="4"/>
  <c r="BV429" i="4"/>
  <c r="AR429" i="4"/>
  <c r="BS429" i="4"/>
  <c r="BR429" i="4"/>
  <c r="AQ429" i="4"/>
  <c r="AI657" i="4"/>
  <c r="AJ621" i="4"/>
  <c r="BS621" i="4"/>
  <c r="AQ621" i="4"/>
  <c r="AR621" i="4"/>
  <c r="AI393" i="4"/>
  <c r="AJ393" i="4"/>
  <c r="BV393" i="4"/>
  <c r="AI581" i="4"/>
  <c r="AJ581" i="4"/>
  <c r="BV581" i="4"/>
  <c r="AI454" i="4"/>
  <c r="AI561" i="4"/>
  <c r="AJ561" i="4"/>
  <c r="AI552" i="4"/>
  <c r="AJ552" i="4"/>
  <c r="BS239" i="4"/>
  <c r="BR239" i="4"/>
  <c r="AI384" i="4"/>
  <c r="BS149" i="4"/>
  <c r="BR149" i="4"/>
  <c r="AJ149" i="4"/>
  <c r="AQ149" i="4"/>
  <c r="AR149" i="4"/>
  <c r="AI574" i="4"/>
  <c r="AI553" i="4"/>
  <c r="AJ553" i="4"/>
  <c r="BV553" i="4"/>
  <c r="AI412" i="4"/>
  <c r="AJ412" i="4"/>
  <c r="AI169" i="4"/>
  <c r="AJ169" i="4"/>
  <c r="AI137" i="4"/>
  <c r="AJ137" i="4"/>
  <c r="BV181" i="4"/>
  <c r="AI527" i="4"/>
  <c r="AJ527" i="4"/>
  <c r="AI403" i="4"/>
  <c r="BB161" i="4"/>
  <c r="AS161" i="4"/>
  <c r="AT161" i="4"/>
  <c r="BS638" i="4"/>
  <c r="BU638" i="4"/>
  <c r="BR638" i="4"/>
  <c r="AS470" i="4"/>
  <c r="AT470" i="4"/>
  <c r="BB470" i="4"/>
  <c r="AI421" i="4"/>
  <c r="AJ421" i="4"/>
  <c r="BV421" i="4"/>
  <c r="BR196" i="4"/>
  <c r="BS196" i="4"/>
  <c r="AJ473" i="4"/>
  <c r="BS380" i="4"/>
  <c r="BU380" i="4"/>
  <c r="BR380" i="4"/>
  <c r="AQ313" i="4"/>
  <c r="BR313" i="4"/>
  <c r="AR313" i="4"/>
  <c r="BS313" i="4"/>
  <c r="AI332" i="4"/>
  <c r="BR317" i="4"/>
  <c r="BS317" i="4"/>
  <c r="AR317" i="4"/>
  <c r="AJ317" i="4"/>
  <c r="AQ317" i="4"/>
  <c r="AJ416" i="4"/>
  <c r="BS416" i="4"/>
  <c r="AR416" i="4"/>
  <c r="AQ416" i="4"/>
  <c r="BR416" i="4"/>
  <c r="AW336" i="4"/>
  <c r="BS649" i="4"/>
  <c r="BR649" i="4"/>
  <c r="AQ649" i="4"/>
  <c r="AW161" i="4"/>
  <c r="AP161" i="4"/>
  <c r="AX161" i="4"/>
  <c r="BV230" i="4"/>
  <c r="AX230" i="4"/>
  <c r="AW230" i="4"/>
  <c r="AP230" i="4"/>
  <c r="AJ307" i="4"/>
  <c r="BV307" i="4"/>
  <c r="AI307" i="4"/>
  <c r="AI294" i="4"/>
  <c r="AJ294" i="4"/>
  <c r="AI494" i="4"/>
  <c r="AJ494" i="4"/>
  <c r="AI369" i="4"/>
  <c r="AJ369" i="4"/>
  <c r="BV369" i="4"/>
  <c r="AI359" i="4"/>
  <c r="AJ359" i="4"/>
  <c r="AW616" i="4"/>
  <c r="AP616" i="4"/>
  <c r="AX616" i="4"/>
  <c r="BR520" i="4"/>
  <c r="AR520" i="4"/>
  <c r="BS520" i="4"/>
  <c r="BU520" i="4"/>
  <c r="AQ520" i="4"/>
  <c r="BR134" i="4"/>
  <c r="BS134" i="4"/>
  <c r="AI401" i="4"/>
  <c r="AI247" i="4"/>
  <c r="AI516" i="4"/>
  <c r="AJ516" i="4"/>
  <c r="AI658" i="4"/>
  <c r="AJ658" i="4"/>
  <c r="BV658" i="4"/>
  <c r="AI445" i="4"/>
  <c r="AJ445" i="4"/>
  <c r="AI632" i="4"/>
  <c r="AI353" i="4"/>
  <c r="AI179" i="4"/>
  <c r="BS397" i="4"/>
  <c r="BR397" i="4"/>
  <c r="AI287" i="4"/>
  <c r="AJ287" i="4"/>
  <c r="AI351" i="4"/>
  <c r="AJ351" i="4"/>
  <c r="AI536" i="4"/>
  <c r="AJ536" i="4"/>
  <c r="BR587" i="4"/>
  <c r="BS587" i="4"/>
  <c r="BU587" i="4"/>
  <c r="BR533" i="4"/>
  <c r="BS533" i="4"/>
  <c r="BU533" i="4"/>
  <c r="AI611" i="4"/>
  <c r="AJ611" i="4"/>
  <c r="AX245" i="4"/>
  <c r="AW245" i="4"/>
  <c r="AP245" i="4"/>
  <c r="BM245" i="4"/>
  <c r="BN245" i="4"/>
  <c r="AI411" i="4"/>
  <c r="AJ411" i="4"/>
  <c r="AI199" i="4"/>
  <c r="AJ199" i="4"/>
  <c r="BV199" i="4"/>
  <c r="AI206" i="4"/>
  <c r="AJ206" i="4"/>
  <c r="BV206" i="4"/>
  <c r="AI633" i="4"/>
  <c r="AI288" i="4"/>
  <c r="AI150" i="4"/>
  <c r="BV587" i="4"/>
  <c r="BR470" i="4"/>
  <c r="BS470" i="4"/>
  <c r="AI432" i="4"/>
  <c r="AQ382" i="4"/>
  <c r="AI190" i="4"/>
  <c r="AI491" i="4"/>
  <c r="AJ491" i="4"/>
  <c r="AI341" i="4"/>
  <c r="AJ341" i="4"/>
  <c r="AI404" i="4"/>
  <c r="AJ404" i="4"/>
  <c r="BV404" i="4"/>
  <c r="AI331" i="4"/>
  <c r="AJ331" i="4"/>
  <c r="BV260" i="4"/>
  <c r="AI576" i="4"/>
  <c r="AJ576" i="4"/>
  <c r="BV576" i="4"/>
  <c r="BV479" i="4"/>
  <c r="AQ279" i="4"/>
  <c r="AQ151" i="4"/>
  <c r="AI620" i="4"/>
  <c r="AJ620" i="4"/>
  <c r="BS245" i="4"/>
  <c r="BU245" i="4"/>
  <c r="BR245" i="4"/>
  <c r="AI250" i="4"/>
  <c r="AJ250" i="4"/>
  <c r="AI135" i="4"/>
  <c r="AJ135" i="4"/>
  <c r="AI593" i="4"/>
  <c r="AI207" i="4"/>
  <c r="AJ207" i="4"/>
  <c r="AJ196" i="4"/>
  <c r="AI376" i="4"/>
  <c r="AJ376" i="4"/>
  <c r="AI218" i="4"/>
  <c r="AI286" i="4"/>
  <c r="BS426" i="4"/>
  <c r="AQ426" i="4"/>
  <c r="AR426" i="4"/>
  <c r="BR426" i="4"/>
  <c r="BS514" i="4"/>
  <c r="BR514" i="4"/>
  <c r="AI651" i="4"/>
  <c r="AJ651" i="4"/>
  <c r="AI483" i="4"/>
  <c r="AJ483" i="4"/>
  <c r="AS543" i="4"/>
  <c r="AT543" i="4"/>
  <c r="BB543" i="4"/>
  <c r="AS615" i="4"/>
  <c r="AT615" i="4"/>
  <c r="BB615" i="4"/>
  <c r="BV356" i="4"/>
  <c r="AJ133" i="4"/>
  <c r="AR133" i="4"/>
  <c r="BB133" i="4"/>
  <c r="BR133" i="4"/>
  <c r="BS133" i="4"/>
  <c r="BV191" i="4"/>
  <c r="AJ595" i="4"/>
  <c r="BV595" i="4"/>
  <c r="AS140" i="4"/>
  <c r="AT140" i="4"/>
  <c r="BB140" i="4"/>
  <c r="BS534" i="4"/>
  <c r="BU534" i="4"/>
  <c r="BR534" i="4"/>
  <c r="BV621" i="4"/>
  <c r="AI461" i="4"/>
  <c r="AJ461" i="4"/>
  <c r="AQ326" i="4"/>
  <c r="BS310" i="4"/>
  <c r="AQ310" i="4"/>
  <c r="AR310" i="4"/>
  <c r="BR310" i="4"/>
  <c r="AI329" i="4"/>
  <c r="BR230" i="4"/>
  <c r="BS230" i="4"/>
  <c r="BU230" i="4"/>
  <c r="AI334" i="4"/>
  <c r="AI362" i="4"/>
  <c r="AJ362" i="4"/>
  <c r="BR510" i="4"/>
  <c r="AR510" i="4"/>
  <c r="AQ510" i="4"/>
  <c r="BS510" i="4"/>
  <c r="BU510" i="4"/>
  <c r="BR175" i="4"/>
  <c r="BS175" i="4"/>
  <c r="AR175" i="4"/>
  <c r="AQ175" i="4"/>
  <c r="AI241" i="4"/>
  <c r="AJ241" i="4"/>
  <c r="AI583" i="4"/>
  <c r="AJ583" i="4"/>
  <c r="BV583" i="4"/>
  <c r="AI314" i="4"/>
  <c r="AJ314" i="4"/>
  <c r="AI316" i="4"/>
  <c r="BV594" i="4"/>
  <c r="AI541" i="4"/>
  <c r="AJ541" i="4"/>
  <c r="AI502" i="4"/>
  <c r="AJ502" i="4"/>
  <c r="AI542" i="4"/>
  <c r="AJ542" i="4"/>
  <c r="AW533" i="4"/>
  <c r="AX533" i="4"/>
  <c r="AI318" i="4"/>
  <c r="AI366" i="4"/>
  <c r="AI428" i="4"/>
  <c r="BR616" i="4"/>
  <c r="BS616" i="4"/>
  <c r="BU616" i="4"/>
  <c r="AI292" i="4"/>
  <c r="BS153" i="4"/>
  <c r="BU153" i="4"/>
  <c r="BR153" i="4"/>
  <c r="AI420" i="4"/>
  <c r="AJ420" i="4"/>
  <c r="AI378" i="4"/>
  <c r="AJ378" i="4"/>
  <c r="BV378" i="4"/>
  <c r="AI466" i="4"/>
  <c r="AJ466" i="4"/>
  <c r="AI345" i="4"/>
  <c r="AJ345" i="4"/>
  <c r="AI641" i="4"/>
  <c r="AJ641" i="4"/>
  <c r="AJ530" i="4"/>
  <c r="BV530" i="4"/>
  <c r="AI586" i="4"/>
  <c r="AJ586" i="4"/>
  <c r="AR562" i="4"/>
  <c r="AS562" i="4"/>
  <c r="AT562" i="4"/>
  <c r="AJ659" i="4"/>
  <c r="AI532" i="4"/>
  <c r="AJ532" i="4"/>
  <c r="BV532" i="4"/>
  <c r="AI280" i="4"/>
  <c r="AJ280" i="4"/>
  <c r="AI312" i="4"/>
  <c r="AJ312" i="4"/>
  <c r="BR528" i="4"/>
  <c r="BS528" i="4"/>
  <c r="BU528" i="4"/>
  <c r="AJ625" i="4"/>
  <c r="BV625" i="4"/>
  <c r="AI565" i="4"/>
  <c r="AI477" i="4"/>
  <c r="BV528" i="4"/>
  <c r="AJ570" i="4"/>
  <c r="BV570" i="4"/>
  <c r="AI174" i="4"/>
  <c r="AJ174" i="4"/>
  <c r="AI605" i="4"/>
  <c r="AJ605" i="4"/>
  <c r="BV605" i="4"/>
  <c r="AI549" i="4"/>
  <c r="AJ549" i="4"/>
  <c r="AI424" i="4"/>
  <c r="BV659" i="4"/>
  <c r="AI642" i="4"/>
  <c r="AI584" i="4"/>
  <c r="AJ584" i="4"/>
  <c r="BV584" i="4"/>
  <c r="AI126" i="4"/>
  <c r="AJ126" i="4"/>
  <c r="AI263" i="4"/>
  <c r="AJ263" i="4"/>
  <c r="AI407" i="4"/>
  <c r="AJ185" i="4"/>
  <c r="AI389" i="4"/>
  <c r="AJ389" i="4"/>
  <c r="AI521" i="4"/>
  <c r="AJ521" i="4"/>
  <c r="AJ311" i="4"/>
  <c r="BV311" i="4"/>
  <c r="BR311" i="4"/>
  <c r="BS311" i="4"/>
  <c r="AR311" i="4"/>
  <c r="AQ311" i="4"/>
  <c r="BS361" i="4"/>
  <c r="BR361" i="4"/>
  <c r="AR467" i="4"/>
  <c r="AQ467" i="4"/>
  <c r="BS467" i="4"/>
  <c r="BR467" i="4"/>
  <c r="BS458" i="4"/>
  <c r="AQ458" i="4"/>
  <c r="AJ458" i="4"/>
  <c r="BV458" i="4"/>
  <c r="BR458" i="4"/>
  <c r="AR458" i="4"/>
  <c r="AI261" i="4"/>
  <c r="AJ261" i="4"/>
  <c r="AI240" i="4"/>
  <c r="AJ240" i="4"/>
  <c r="AJ173" i="4"/>
  <c r="AI258" i="4"/>
  <c r="AJ258" i="4"/>
  <c r="AI156" i="4"/>
  <c r="AI653" i="4"/>
  <c r="AJ653" i="4"/>
  <c r="BS498" i="4"/>
  <c r="AR498" i="4"/>
  <c r="AQ498" i="4"/>
  <c r="BR498" i="4"/>
  <c r="BB616" i="4"/>
  <c r="AS616" i="4"/>
  <c r="AT616" i="4"/>
  <c r="BV392" i="4"/>
  <c r="AP392" i="4"/>
  <c r="AX392" i="4"/>
  <c r="AW392" i="4"/>
  <c r="AR326" i="4"/>
  <c r="AQ413" i="4"/>
  <c r="BR413" i="4"/>
  <c r="AJ413" i="4"/>
  <c r="BV413" i="4"/>
  <c r="BS413" i="4"/>
  <c r="AR413" i="4"/>
  <c r="BV133" i="4"/>
  <c r="AW306" i="4"/>
  <c r="AX306" i="4"/>
  <c r="AP306" i="4"/>
  <c r="BS479" i="4"/>
  <c r="BU479" i="4"/>
  <c r="BR479" i="4"/>
  <c r="AW510" i="4"/>
  <c r="AX510" i="4"/>
  <c r="AP510" i="4"/>
  <c r="AJ388" i="4"/>
  <c r="AI639" i="4"/>
  <c r="AJ588" i="4"/>
  <c r="BV588" i="4"/>
  <c r="AJ409" i="4"/>
  <c r="BV409" i="4"/>
  <c r="AR409" i="4"/>
  <c r="BS409" i="4"/>
  <c r="BR409" i="4"/>
  <c r="AQ409" i="4"/>
  <c r="BV660" i="4"/>
  <c r="BB557" i="4"/>
  <c r="AS557" i="4"/>
  <c r="AT557" i="4"/>
  <c r="AS533" i="4"/>
  <c r="AT533" i="4"/>
  <c r="BM533" i="4"/>
  <c r="BN533" i="4"/>
  <c r="BB533" i="4"/>
  <c r="AI506" i="4"/>
  <c r="AJ506" i="4"/>
  <c r="AJ498" i="4"/>
  <c r="AS306" i="4"/>
  <c r="AT306" i="4"/>
  <c r="BB306" i="4"/>
  <c r="BS192" i="4"/>
  <c r="AQ192" i="4"/>
  <c r="AR192" i="4"/>
  <c r="BR192" i="4"/>
  <c r="AP579" i="4"/>
  <c r="AW579" i="4"/>
  <c r="AX579" i="4"/>
  <c r="AI291" i="4"/>
  <c r="AJ291" i="4"/>
  <c r="BV291" i="4"/>
  <c r="AW628" i="4"/>
  <c r="AX628" i="4"/>
  <c r="AP628" i="4"/>
  <c r="AJ463" i="4"/>
  <c r="AQ463" i="4"/>
  <c r="BR463" i="4"/>
  <c r="AR463" i="4"/>
  <c r="BS463" i="4"/>
  <c r="BS418" i="4"/>
  <c r="AQ418" i="4"/>
  <c r="AR418" i="4"/>
  <c r="BR418" i="4"/>
  <c r="AI490" i="4"/>
  <c r="AJ490" i="4"/>
  <c r="BS161" i="4"/>
  <c r="BU161" i="4"/>
  <c r="BR161" i="4"/>
  <c r="BV227" i="4"/>
  <c r="AI645" i="4"/>
  <c r="AJ645" i="4"/>
  <c r="BS579" i="4"/>
  <c r="BU579" i="4"/>
  <c r="BR579" i="4"/>
  <c r="AQ514" i="4"/>
  <c r="AJ585" i="4"/>
  <c r="BS585" i="4"/>
  <c r="BR585" i="4"/>
  <c r="BV415" i="4"/>
  <c r="AJ557" i="4"/>
  <c r="BV557" i="4"/>
  <c r="BS557" i="4"/>
  <c r="BR557" i="4"/>
  <c r="AJ167" i="4"/>
  <c r="BR266" i="4"/>
  <c r="BS266" i="4"/>
  <c r="AJ266" i="4"/>
  <c r="BV266" i="4"/>
  <c r="AQ266" i="4"/>
  <c r="AI396" i="4"/>
  <c r="AJ396" i="4"/>
  <c r="AR196" i="4"/>
  <c r="BR465" i="4"/>
  <c r="BS465" i="4"/>
  <c r="AQ465" i="4"/>
  <c r="AR465" i="4"/>
  <c r="AJ465" i="4"/>
  <c r="BV465" i="4"/>
  <c r="AJ151" i="4"/>
  <c r="BV151" i="4"/>
  <c r="AI281" i="4"/>
  <c r="AJ281" i="4"/>
  <c r="AJ649" i="4"/>
  <c r="AI577" i="4"/>
  <c r="AJ577" i="4"/>
  <c r="AI452" i="4"/>
  <c r="AJ452" i="4"/>
  <c r="AI652" i="4"/>
  <c r="AJ652" i="4"/>
  <c r="AI531" i="4"/>
  <c r="AJ531" i="4"/>
  <c r="BR570" i="4"/>
  <c r="AR570" i="4"/>
  <c r="BS570" i="4"/>
  <c r="AQ570" i="4"/>
  <c r="AI363" i="4"/>
  <c r="AJ382" i="4"/>
  <c r="BS382" i="4"/>
  <c r="BR382" i="4"/>
  <c r="AI322" i="4"/>
  <c r="AQ380" i="4"/>
  <c r="AI289" i="4"/>
  <c r="AI333" i="4"/>
  <c r="AJ333" i="4"/>
  <c r="AI146" i="4"/>
  <c r="AR534" i="4"/>
  <c r="AR279" i="4"/>
  <c r="BV520" i="4"/>
  <c r="AJ313" i="4"/>
  <c r="BV313" i="4"/>
  <c r="BV134" i="4"/>
  <c r="BV628" i="4"/>
  <c r="AI203" i="4"/>
  <c r="AJ203" i="4"/>
  <c r="BV203" i="4"/>
  <c r="AI229" i="4"/>
  <c r="AJ229" i="4"/>
  <c r="BV229" i="4"/>
  <c r="AR191" i="4"/>
  <c r="BB191" i="4"/>
  <c r="BS191" i="4"/>
  <c r="BU191" i="4"/>
  <c r="BR191" i="4"/>
  <c r="AP346" i="4"/>
  <c r="AI492" i="4"/>
  <c r="AI555" i="4"/>
  <c r="AJ555" i="4"/>
  <c r="BV555" i="4"/>
  <c r="AI455" i="4"/>
  <c r="AJ414" i="4"/>
  <c r="BV414" i="4"/>
  <c r="AR414" i="4"/>
  <c r="BS414" i="4"/>
  <c r="BR414" i="4"/>
  <c r="BV471" i="4"/>
  <c r="BV267" i="4"/>
  <c r="AI262" i="4"/>
  <c r="AJ262" i="4"/>
  <c r="BV262" i="4"/>
  <c r="BV213" i="4"/>
  <c r="AW213" i="4"/>
  <c r="AX213" i="4"/>
  <c r="AP213" i="4"/>
  <c r="BV473" i="4"/>
  <c r="AI544" i="4"/>
  <c r="AJ544" i="4"/>
  <c r="BV544" i="4"/>
  <c r="AI211" i="4"/>
  <c r="AI572" i="4"/>
  <c r="AJ572" i="4"/>
  <c r="AJ592" i="4"/>
  <c r="AR592" i="4"/>
  <c r="AQ592" i="4"/>
  <c r="BS592" i="4"/>
  <c r="BR592" i="4"/>
  <c r="BR392" i="4"/>
  <c r="AR392" i="4"/>
  <c r="AQ392" i="4"/>
  <c r="BS392" i="4"/>
  <c r="BU392" i="4"/>
  <c r="AJ551" i="4"/>
  <c r="AI248" i="4"/>
  <c r="AI194" i="4"/>
  <c r="AJ194" i="4"/>
  <c r="BV194" i="4"/>
  <c r="AI523" i="4"/>
  <c r="AJ523" i="4"/>
  <c r="BR471" i="4"/>
  <c r="AR471" i="4"/>
  <c r="AQ471" i="4"/>
  <c r="BS471" i="4"/>
  <c r="BU471" i="4"/>
  <c r="BR268" i="4"/>
  <c r="BS268" i="4"/>
  <c r="AI602" i="4"/>
  <c r="AJ602" i="4"/>
  <c r="AI408" i="4"/>
  <c r="AJ408" i="4"/>
  <c r="AI446" i="4"/>
  <c r="AX260" i="4"/>
  <c r="AP260" i="4"/>
  <c r="AW260" i="4"/>
  <c r="BU140" i="4"/>
  <c r="AI573" i="4"/>
  <c r="AJ573" i="4"/>
  <c r="AI590" i="4"/>
  <c r="AJ590" i="4"/>
  <c r="AI201" i="4"/>
  <c r="AI627" i="4"/>
  <c r="AJ627" i="4"/>
  <c r="BV627" i="4"/>
  <c r="AI522" i="4"/>
  <c r="AJ522" i="4"/>
  <c r="BR226" i="4"/>
  <c r="BS226" i="4"/>
  <c r="AJ226" i="4"/>
  <c r="AI489" i="4"/>
  <c r="AS295" i="4"/>
  <c r="AT295" i="4"/>
  <c r="BB295" i="4"/>
  <c r="BR354" i="4"/>
  <c r="BS354" i="4"/>
  <c r="AR354" i="4"/>
  <c r="AQ354" i="4"/>
  <c r="AJ354" i="4"/>
  <c r="BV354" i="4"/>
  <c r="BR256" i="4"/>
  <c r="BS256" i="4"/>
  <c r="BS628" i="4"/>
  <c r="BU628" i="4"/>
  <c r="BR628" i="4"/>
  <c r="AQ628" i="4"/>
  <c r="AR628" i="4"/>
  <c r="AI501" i="4"/>
  <c r="AJ501" i="4"/>
  <c r="AJ383" i="4"/>
  <c r="BV383" i="4"/>
  <c r="BR383" i="4"/>
  <c r="BS383" i="4"/>
  <c r="AI171" i="4"/>
  <c r="AW148" i="4"/>
  <c r="AX148" i="4"/>
  <c r="AI604" i="4"/>
  <c r="AI180" i="4"/>
  <c r="AJ180" i="4"/>
  <c r="AR474" i="4"/>
  <c r="AJ474" i="4"/>
  <c r="BR474" i="4"/>
  <c r="AQ474" i="4"/>
  <c r="BS474" i="4"/>
  <c r="AI434" i="4"/>
  <c r="AJ434" i="4"/>
  <c r="AJ398" i="4"/>
  <c r="BR221" i="4"/>
  <c r="BS221" i="4"/>
  <c r="BU221" i="4"/>
  <c r="AI485" i="4"/>
  <c r="AJ397" i="4"/>
  <c r="BV397" i="4"/>
  <c r="AI272" i="4"/>
  <c r="AJ272" i="4"/>
  <c r="BV272" i="4"/>
  <c r="AR514" i="4"/>
  <c r="AI225" i="4"/>
  <c r="AP148" i="4"/>
  <c r="AI284" i="4"/>
  <c r="AR268" i="4"/>
  <c r="AI157" i="4"/>
  <c r="AJ157" i="4"/>
  <c r="BV157" i="4"/>
  <c r="AI476" i="4"/>
  <c r="AJ476" i="4"/>
  <c r="AQ196" i="4"/>
  <c r="AI425" i="4"/>
  <c r="BR606" i="4"/>
  <c r="BS606" i="4"/>
  <c r="AQ606" i="4"/>
  <c r="AJ606" i="4"/>
  <c r="AR606" i="4"/>
  <c r="AI176" i="4"/>
  <c r="AR587" i="4"/>
  <c r="BV507" i="4"/>
  <c r="AR560" i="4"/>
  <c r="BB560" i="4"/>
  <c r="AJ165" i="4"/>
  <c r="BV380" i="4"/>
  <c r="BV579" i="4"/>
  <c r="AJ243" i="4"/>
  <c r="AQ243" i="4"/>
  <c r="BR243" i="4"/>
  <c r="AR243" i="4"/>
  <c r="BS243" i="4"/>
  <c r="BU243" i="4"/>
  <c r="AJ192" i="4"/>
  <c r="AQ534" i="4"/>
  <c r="AQ479" i="4"/>
  <c r="AI373" i="4"/>
  <c r="AJ373" i="4"/>
  <c r="AR379" i="4"/>
  <c r="AI422" i="4"/>
  <c r="BV649" i="4"/>
  <c r="AI650" i="4"/>
  <c r="AJ650" i="4"/>
  <c r="AI550" i="4"/>
  <c r="AJ550" i="4"/>
  <c r="AJ350" i="4"/>
  <c r="AJ418" i="4"/>
  <c r="BU371" i="4"/>
  <c r="AW346" i="4"/>
  <c r="AY346" i="4"/>
  <c r="AI340" i="4"/>
  <c r="AJ340" i="4"/>
  <c r="AR217" i="4"/>
  <c r="AJ217" i="4"/>
  <c r="BV217" i="4"/>
  <c r="BS217" i="4"/>
  <c r="BR217" i="4"/>
  <c r="AQ217" i="4"/>
  <c r="AI457" i="4"/>
  <c r="AJ457" i="4"/>
  <c r="AJ285" i="4"/>
  <c r="BV285" i="4"/>
  <c r="BS285" i="4"/>
  <c r="BU285" i="4"/>
  <c r="BR285" i="4"/>
  <c r="AJ591" i="4"/>
  <c r="AI368" i="4"/>
  <c r="AJ368" i="4"/>
  <c r="BR443" i="4"/>
  <c r="BS443" i="4"/>
  <c r="AI497" i="4"/>
  <c r="AJ497" i="4"/>
  <c r="BV497" i="4"/>
  <c r="AJ519" i="4"/>
  <c r="BV519" i="4"/>
  <c r="BR519" i="4"/>
  <c r="BS519" i="4"/>
  <c r="AR519" i="4"/>
  <c r="AQ519" i="4"/>
  <c r="AI337" i="4"/>
  <c r="AJ337" i="4"/>
  <c r="BV337" i="4"/>
  <c r="AI123" i="4"/>
  <c r="AJ123" i="4"/>
  <c r="AI309" i="4"/>
  <c r="AJ309" i="4"/>
  <c r="AJ448" i="4"/>
  <c r="BR448" i="4"/>
  <c r="BS448" i="4"/>
  <c r="AI234" i="4"/>
  <c r="AJ234" i="4"/>
  <c r="BV234" i="4"/>
  <c r="BV646" i="4"/>
  <c r="AI269" i="4"/>
  <c r="AJ269" i="4"/>
  <c r="AI343" i="4"/>
  <c r="AJ343" i="4"/>
  <c r="BR213" i="4"/>
  <c r="AQ213" i="4"/>
  <c r="AR213" i="4"/>
  <c r="BS213" i="4"/>
  <c r="BU213" i="4"/>
  <c r="AI524" i="4"/>
  <c r="AJ524" i="4"/>
  <c r="BV140" i="4"/>
  <c r="AR515" i="4"/>
  <c r="AQ515" i="4"/>
  <c r="BS515" i="4"/>
  <c r="BR515" i="4"/>
  <c r="AJ515" i="4"/>
  <c r="AI513" i="4"/>
  <c r="AJ513" i="4"/>
  <c r="AI496" i="4"/>
  <c r="AJ496" i="4"/>
  <c r="AI254" i="4"/>
  <c r="AJ254" i="4"/>
  <c r="BV254" i="4"/>
  <c r="BV153" i="4"/>
  <c r="AJ622" i="4"/>
  <c r="AI231" i="4"/>
  <c r="AJ231" i="4"/>
  <c r="BV231" i="4"/>
  <c r="BV257" i="4"/>
  <c r="BS600" i="4"/>
  <c r="BR600" i="4"/>
  <c r="AJ633" i="4"/>
  <c r="BV633" i="4"/>
  <c r="AI138" i="4"/>
  <c r="AJ138" i="4"/>
  <c r="AI614" i="4"/>
  <c r="AJ614" i="4"/>
  <c r="BS260" i="4"/>
  <c r="BU260" i="4"/>
  <c r="AR260" i="4"/>
  <c r="AQ260" i="4"/>
  <c r="BR260" i="4"/>
  <c r="BV200" i="4"/>
  <c r="AI242" i="4"/>
  <c r="AJ242" i="4"/>
  <c r="AI210" i="4"/>
  <c r="AJ210" i="4"/>
  <c r="AI540" i="4"/>
  <c r="AJ540" i="4"/>
  <c r="BV306" i="4"/>
  <c r="AI656" i="4"/>
  <c r="AJ656" i="4"/>
  <c r="AI276" i="4"/>
  <c r="AI395" i="4"/>
  <c r="AJ395" i="4"/>
  <c r="AI624" i="4"/>
  <c r="AJ310" i="4"/>
  <c r="BS148" i="4"/>
  <c r="BU148" i="4"/>
  <c r="BR148" i="4"/>
  <c r="AI612" i="4"/>
  <c r="AI500" i="4"/>
  <c r="AJ500" i="4"/>
  <c r="AQ374" i="4"/>
  <c r="BS374" i="4"/>
  <c r="BR374" i="4"/>
  <c r="AR374" i="4"/>
  <c r="AJ374" i="4"/>
  <c r="AI305" i="4"/>
  <c r="AJ305" i="4"/>
  <c r="BV305" i="4"/>
  <c r="AI493" i="4"/>
  <c r="BS323" i="4"/>
  <c r="BR323" i="4"/>
  <c r="AJ323" i="4"/>
  <c r="BR342" i="4"/>
  <c r="AQ342" i="4"/>
  <c r="BS342" i="4"/>
  <c r="AR342" i="4"/>
  <c r="AI370" i="4"/>
  <c r="AJ370" i="4"/>
  <c r="AQ585" i="4"/>
  <c r="BB585" i="4"/>
  <c r="AI488" i="4"/>
  <c r="AJ488" i="4"/>
  <c r="AI223" i="4"/>
  <c r="AJ223" i="4"/>
  <c r="BV223" i="4"/>
  <c r="AI486" i="4"/>
  <c r="AJ486" i="4"/>
  <c r="AI246" i="4"/>
  <c r="AJ246" i="4"/>
  <c r="BV246" i="4"/>
  <c r="BV148" i="4"/>
  <c r="AJ623" i="4"/>
  <c r="BV623" i="4"/>
  <c r="AS239" i="4"/>
  <c r="AT239" i="4"/>
  <c r="BB239" i="4"/>
  <c r="BV631" i="4"/>
  <c r="AJ177" i="4"/>
  <c r="BS215" i="4"/>
  <c r="BR215" i="4"/>
  <c r="AI143" i="4"/>
  <c r="AJ143" i="4"/>
  <c r="BV143" i="4"/>
  <c r="AS517" i="4"/>
  <c r="AT517" i="4"/>
  <c r="AI386" i="4"/>
  <c r="AI162" i="4"/>
  <c r="AJ162" i="4"/>
  <c r="BV162" i="4"/>
  <c r="AJ514" i="4"/>
  <c r="BV622" i="4"/>
  <c r="BV545" i="4"/>
  <c r="BV637" i="4"/>
  <c r="AI578" i="4"/>
  <c r="AI352" i="4"/>
  <c r="AQ587" i="4"/>
  <c r="AI655" i="4"/>
  <c r="AP517" i="4"/>
  <c r="AW517" i="4"/>
  <c r="AX517" i="4"/>
  <c r="AI643" i="4"/>
  <c r="AJ643" i="4"/>
  <c r="AI597" i="4"/>
  <c r="AJ597" i="4"/>
  <c r="AJ443" i="4"/>
  <c r="AI212" i="4"/>
  <c r="AJ212" i="4"/>
  <c r="AR528" i="4"/>
  <c r="AQ481" i="4"/>
  <c r="BS481" i="4"/>
  <c r="BR481" i="4"/>
  <c r="AR481" i="4"/>
  <c r="AJ481" i="4"/>
  <c r="BV481" i="4"/>
  <c r="AR479" i="4"/>
  <c r="AQ379" i="4"/>
  <c r="AQ443" i="4"/>
  <c r="AI139" i="4"/>
  <c r="AI224" i="4"/>
  <c r="AI482" i="4"/>
  <c r="AJ600" i="4"/>
  <c r="BV600" i="4"/>
  <c r="AJ470" i="4"/>
  <c r="AI499" i="4"/>
  <c r="AI436" i="4"/>
  <c r="AJ436" i="4"/>
  <c r="AI423" i="4"/>
  <c r="AJ423" i="4"/>
  <c r="BV423" i="4"/>
  <c r="AR649" i="4"/>
  <c r="AJ361" i="4"/>
  <c r="BS236" i="4"/>
  <c r="BR236" i="4"/>
  <c r="AS226" i="4"/>
  <c r="AT226" i="4"/>
  <c r="BR473" i="4"/>
  <c r="BS473" i="4"/>
  <c r="BU473" i="4"/>
  <c r="AJ146" i="4"/>
  <c r="BV146" i="4"/>
  <c r="AI629" i="4"/>
  <c r="AI450" i="4"/>
  <c r="AJ450" i="4"/>
  <c r="BS293" i="4"/>
  <c r="AR293" i="4"/>
  <c r="AJ348" i="4"/>
  <c r="BV348" i="4"/>
  <c r="BS588" i="4"/>
  <c r="BU588" i="4"/>
  <c r="BR588" i="4"/>
  <c r="AQ145" i="4"/>
  <c r="AJ145" i="4"/>
  <c r="AR145" i="4"/>
  <c r="BR145" i="4"/>
  <c r="BS145" i="4"/>
  <c r="AJ543" i="4"/>
  <c r="BV543" i="4"/>
  <c r="BS543" i="4"/>
  <c r="BR543" i="4"/>
  <c r="BS350" i="4"/>
  <c r="BR350" i="4"/>
  <c r="AR350" i="4"/>
  <c r="BV128" i="4"/>
  <c r="BV615" i="4"/>
  <c r="AJ339" i="4"/>
  <c r="AI160" i="4"/>
  <c r="AJ160" i="4"/>
  <c r="AR361" i="4"/>
  <c r="AS361" i="4"/>
  <c r="AT361" i="4"/>
  <c r="AI610" i="4"/>
  <c r="AJ279" i="4"/>
  <c r="BV279" i="4"/>
  <c r="BS530" i="4"/>
  <c r="BU530" i="4"/>
  <c r="BR530" i="4"/>
  <c r="AJ379" i="4"/>
  <c r="AI321" i="4"/>
  <c r="AI546" i="4"/>
  <c r="AI338" i="4"/>
  <c r="AJ338" i="4"/>
  <c r="AJ286" i="4"/>
  <c r="BV286" i="4"/>
  <c r="BV173" i="4"/>
  <c r="AJ426" i="4"/>
  <c r="AI205" i="4"/>
  <c r="AI299" i="4"/>
  <c r="AJ299" i="4"/>
  <c r="AI589" i="4"/>
  <c r="AJ589" i="4"/>
  <c r="BV314" i="4"/>
  <c r="AI608" i="4"/>
  <c r="BS571" i="4"/>
  <c r="BR571" i="4"/>
  <c r="AR571" i="4"/>
  <c r="AQ571" i="4"/>
  <c r="AJ571" i="4"/>
  <c r="BV571" i="4"/>
  <c r="AI406" i="4"/>
  <c r="AJ406" i="4"/>
  <c r="AI274" i="4"/>
  <c r="AI303" i="4"/>
  <c r="AJ303" i="4"/>
  <c r="AJ175" i="4"/>
  <c r="AJ367" i="4"/>
  <c r="AR367" i="4"/>
  <c r="BR367" i="4"/>
  <c r="BS367" i="4"/>
  <c r="AQ367" i="4"/>
  <c r="BS349" i="4"/>
  <c r="AR349" i="4"/>
  <c r="BR349" i="4"/>
  <c r="AJ349" i="4"/>
  <c r="AQ349" i="4"/>
  <c r="AI330" i="4"/>
  <c r="BS336" i="4"/>
  <c r="BU336" i="4"/>
  <c r="BR336" i="4"/>
  <c r="BR659" i="4"/>
  <c r="BS659" i="4"/>
  <c r="BU659" i="4"/>
  <c r="AQ659" i="4"/>
  <c r="AR659" i="4"/>
  <c r="AI478" i="4"/>
  <c r="AI255" i="4"/>
  <c r="AJ255" i="4"/>
  <c r="AQ625" i="4"/>
  <c r="BR625" i="4"/>
  <c r="BS625" i="4"/>
  <c r="AR625" i="4"/>
  <c r="AQ484" i="4"/>
  <c r="AJ484" i="4"/>
  <c r="BR484" i="4"/>
  <c r="AR484" i="4"/>
  <c r="BS484" i="4"/>
  <c r="AJ295" i="4"/>
  <c r="BV295" i="4"/>
  <c r="BS295" i="4"/>
  <c r="BR295" i="4"/>
  <c r="AI142" i="4"/>
  <c r="AJ142" i="4"/>
  <c r="AI166" i="4"/>
  <c r="AJ166" i="4"/>
  <c r="AQ414" i="4"/>
  <c r="AI599" i="4"/>
  <c r="AJ599" i="4"/>
  <c r="AI435" i="4"/>
  <c r="AJ435" i="4"/>
  <c r="AJ320" i="4"/>
  <c r="AI228" i="4"/>
  <c r="AJ228" i="4"/>
  <c r="AQ148" i="4"/>
  <c r="BV377" i="4"/>
  <c r="BV167" i="4"/>
  <c r="BR615" i="4"/>
  <c r="BS615" i="4"/>
  <c r="BU615" i="4"/>
  <c r="AI580" i="4"/>
  <c r="AJ580" i="4"/>
  <c r="AI495" i="4"/>
  <c r="AJ495" i="4"/>
  <c r="BV495" i="4"/>
  <c r="AI315" i="4"/>
  <c r="AQ530" i="4"/>
  <c r="AI391" i="4"/>
  <c r="AI136" i="4"/>
  <c r="AI405" i="4"/>
  <c r="AJ405" i="4"/>
  <c r="AI178" i="4"/>
  <c r="AJ178" i="4"/>
  <c r="AI503" i="4"/>
  <c r="AJ130" i="4"/>
  <c r="BS306" i="4"/>
  <c r="BU306" i="4"/>
  <c r="BR306" i="4"/>
  <c r="AJ342" i="4"/>
  <c r="AI271" i="4"/>
  <c r="AI390" i="4"/>
  <c r="AJ390" i="4"/>
  <c r="AJ302" i="4"/>
  <c r="BS181" i="4"/>
  <c r="BU181" i="4"/>
  <c r="BR181" i="4"/>
  <c r="AQ181" i="4"/>
  <c r="AR181" i="4"/>
  <c r="AI141" i="4"/>
  <c r="AJ141" i="4"/>
  <c r="AQ528" i="4"/>
  <c r="AR285" i="4"/>
  <c r="AS285" i="4"/>
  <c r="AT285" i="4"/>
  <c r="AR256" i="4"/>
  <c r="AS256" i="4"/>
  <c r="AT256" i="4"/>
  <c r="AQ134" i="4"/>
  <c r="AI253" i="4"/>
  <c r="AJ253" i="4"/>
  <c r="AI451" i="4"/>
  <c r="AJ239" i="4"/>
  <c r="BV239" i="4"/>
  <c r="AI237" i="4"/>
  <c r="AI427" i="4"/>
  <c r="AQ350" i="4"/>
  <c r="AI251" i="4"/>
  <c r="AJ251" i="4"/>
  <c r="AJ264" i="4"/>
  <c r="AQ638" i="4"/>
  <c r="AW129" i="4"/>
  <c r="AX129" i="4"/>
  <c r="AP129" i="4"/>
  <c r="BV129" i="4"/>
  <c r="BB464" i="4"/>
  <c r="AS464" i="4"/>
  <c r="AT464" i="4"/>
  <c r="BM464" i="4"/>
  <c r="BN464" i="4"/>
  <c r="BB636" i="4"/>
  <c r="AS636" i="4"/>
  <c r="AT636" i="4"/>
  <c r="AY471" i="4"/>
  <c r="BA471" i="4"/>
  <c r="BQ471" i="4"/>
  <c r="AS188" i="4"/>
  <c r="AT188" i="4"/>
  <c r="BB188" i="4"/>
  <c r="BB193" i="4"/>
  <c r="AS193" i="4"/>
  <c r="AT193" i="4"/>
  <c r="BM193" i="4"/>
  <c r="BN193" i="4"/>
  <c r="BB617" i="4"/>
  <c r="AS617" i="4"/>
  <c r="AT617" i="4"/>
  <c r="BM617" i="4"/>
  <c r="BN617" i="4"/>
  <c r="BU168" i="4"/>
  <c r="BB327" i="4"/>
  <c r="AS327" i="4"/>
  <c r="AT327" i="4"/>
  <c r="BU430" i="4"/>
  <c r="BB634" i="4"/>
  <c r="AS634" i="4"/>
  <c r="AT634" i="4"/>
  <c r="BM634" i="4"/>
  <c r="BN634" i="4"/>
  <c r="AS164" i="4"/>
  <c r="AT164" i="4"/>
  <c r="BB164" i="4"/>
  <c r="BU372" i="4"/>
  <c r="AY464" i="4"/>
  <c r="BA464" i="4"/>
  <c r="BQ464" i="4"/>
  <c r="AY188" i="4"/>
  <c r="AY447" i="4"/>
  <c r="BA447" i="4"/>
  <c r="BQ447" i="4"/>
  <c r="BB202" i="4"/>
  <c r="AS202" i="4"/>
  <c r="AT202" i="4"/>
  <c r="BM202" i="4"/>
  <c r="BN202" i="4"/>
  <c r="BB563" i="4"/>
  <c r="AS563" i="4"/>
  <c r="AT563" i="4"/>
  <c r="BB547" i="4"/>
  <c r="AS547" i="4"/>
  <c r="AT547" i="4"/>
  <c r="BB468" i="4"/>
  <c r="AS468" i="4"/>
  <c r="AT468" i="4"/>
  <c r="BM468" i="4"/>
  <c r="BN468" i="4"/>
  <c r="AW144" i="4"/>
  <c r="AX144" i="4"/>
  <c r="AP144" i="4"/>
  <c r="BV144" i="4"/>
  <c r="BB154" i="4"/>
  <c r="AS154" i="4"/>
  <c r="AT154" i="4"/>
  <c r="AY158" i="4"/>
  <c r="BA158" i="4"/>
  <c r="BQ158" i="4"/>
  <c r="AY325" i="4"/>
  <c r="BA325" i="4"/>
  <c r="BQ325" i="4"/>
  <c r="AY617" i="4"/>
  <c r="BA617" i="4"/>
  <c r="BQ617" i="4"/>
  <c r="BB124" i="4"/>
  <c r="AS124" i="4"/>
  <c r="AT124" i="4"/>
  <c r="BM124" i="4"/>
  <c r="BN124" i="4"/>
  <c r="BB526" i="4"/>
  <c r="AS526" i="4"/>
  <c r="AT526" i="4"/>
  <c r="BU327" i="4"/>
  <c r="BB325" i="4"/>
  <c r="AS325" i="4"/>
  <c r="AT325" i="4"/>
  <c r="BM325" i="4"/>
  <c r="BN325" i="4"/>
  <c r="BB158" i="4"/>
  <c r="AS158" i="4"/>
  <c r="AT158" i="4"/>
  <c r="BM158" i="4"/>
  <c r="BN158" i="4"/>
  <c r="AS144" i="4"/>
  <c r="AT144" i="4"/>
  <c r="BB144" i="4"/>
  <c r="AY509" i="4"/>
  <c r="BA509" i="4"/>
  <c r="BQ509" i="4"/>
  <c r="AY290" i="4"/>
  <c r="BA290" i="4"/>
  <c r="BQ290" i="4"/>
  <c r="AY505" i="4"/>
  <c r="BA505" i="4"/>
  <c r="BQ505" i="4"/>
  <c r="BB304" i="4"/>
  <c r="AS304" i="4"/>
  <c r="AT304" i="4"/>
  <c r="BM304" i="4"/>
  <c r="BN304" i="4"/>
  <c r="BB298" i="4"/>
  <c r="AS298" i="4"/>
  <c r="AT298" i="4"/>
  <c r="BB447" i="4"/>
  <c r="AS447" i="4"/>
  <c r="AT447" i="4"/>
  <c r="BM447" i="4"/>
  <c r="BN447" i="4"/>
  <c r="BU636" i="4"/>
  <c r="BB290" i="4"/>
  <c r="AS290" i="4"/>
  <c r="AT290" i="4"/>
  <c r="BM290" i="4"/>
  <c r="BN290" i="4"/>
  <c r="BU547" i="4"/>
  <c r="BU164" i="4"/>
  <c r="AX121" i="4"/>
  <c r="AW121" i="4"/>
  <c r="AP121" i="4"/>
  <c r="BB125" i="4"/>
  <c r="AS125" i="4"/>
  <c r="AT125" i="4"/>
  <c r="AQ120" i="4"/>
  <c r="AS525" i="4"/>
  <c r="AT525" i="4"/>
  <c r="BB346" i="4"/>
  <c r="AS346" i="4"/>
  <c r="AT346" i="4"/>
  <c r="AY222" i="4"/>
  <c r="BA222" i="4"/>
  <c r="BQ222" i="4"/>
  <c r="AY124" i="4"/>
  <c r="BA124" i="4"/>
  <c r="BQ124" i="4"/>
  <c r="AY566" i="4"/>
  <c r="BA566" i="4"/>
  <c r="BQ566" i="4"/>
  <c r="AX372" i="4"/>
  <c r="AW372" i="4"/>
  <c r="AP372" i="4"/>
  <c r="BV372" i="4"/>
  <c r="BB566" i="4"/>
  <c r="AS566" i="4"/>
  <c r="AT566" i="4"/>
  <c r="BM566" i="4"/>
  <c r="BN566" i="4"/>
  <c r="AW164" i="4"/>
  <c r="AX164" i="4"/>
  <c r="AP164" i="4"/>
  <c r="BV164" i="4"/>
  <c r="BU526" i="4"/>
  <c r="BU563" i="4"/>
  <c r="BS121" i="4"/>
  <c r="BU121" i="4"/>
  <c r="BR121" i="4"/>
  <c r="AQ121" i="4"/>
  <c r="AR121" i="4"/>
  <c r="BO120" i="4"/>
  <c r="H23" i="4"/>
  <c r="BU144" i="4"/>
  <c r="AY468" i="4"/>
  <c r="BA468" i="4"/>
  <c r="BQ468" i="4"/>
  <c r="AX154" i="4"/>
  <c r="AW154" i="4"/>
  <c r="AP154" i="4"/>
  <c r="BV154" i="4"/>
  <c r="BB505" i="4"/>
  <c r="AS505" i="4"/>
  <c r="AT505" i="4"/>
  <c r="BM505" i="4"/>
  <c r="BN505" i="4"/>
  <c r="AW526" i="4"/>
  <c r="AX526" i="4"/>
  <c r="AP526" i="4"/>
  <c r="BV526" i="4"/>
  <c r="AX168" i="4"/>
  <c r="AW168" i="4"/>
  <c r="AP168" i="4"/>
  <c r="BV168" i="4"/>
  <c r="AX563" i="4"/>
  <c r="AW563" i="4"/>
  <c r="AP563" i="4"/>
  <c r="BV563" i="4"/>
  <c r="AX430" i="4"/>
  <c r="AW430" i="4"/>
  <c r="AP430" i="4"/>
  <c r="BV430" i="4"/>
  <c r="BU298" i="4"/>
  <c r="AW122" i="4"/>
  <c r="AX122" i="4"/>
  <c r="AP122" i="4"/>
  <c r="BB430" i="4"/>
  <c r="AS430" i="4"/>
  <c r="AT430" i="4"/>
  <c r="AY181" i="4"/>
  <c r="BA181" i="4"/>
  <c r="BQ181" i="4"/>
  <c r="BB582" i="4"/>
  <c r="AS582" i="4"/>
  <c r="AT582" i="4"/>
  <c r="BB233" i="4"/>
  <c r="AS233" i="4"/>
  <c r="AT233" i="4"/>
  <c r="BM233" i="4"/>
  <c r="BN233" i="4"/>
  <c r="BB275" i="4"/>
  <c r="AS275" i="4"/>
  <c r="AT275" i="4"/>
  <c r="BM275" i="4"/>
  <c r="BN275" i="4"/>
  <c r="BR129" i="4"/>
  <c r="BS129" i="4"/>
  <c r="BU129" i="4"/>
  <c r="AR129" i="4"/>
  <c r="AQ129" i="4"/>
  <c r="AY634" i="4"/>
  <c r="BA634" i="4"/>
  <c r="BQ634" i="4"/>
  <c r="AY202" i="4"/>
  <c r="BA202" i="4"/>
  <c r="BQ202" i="4"/>
  <c r="AY249" i="4"/>
  <c r="BA249" i="4"/>
  <c r="BQ249" i="4"/>
  <c r="AY582" i="4"/>
  <c r="BA582" i="4"/>
  <c r="BQ582" i="4"/>
  <c r="AY275" i="4"/>
  <c r="BA275" i="4"/>
  <c r="BQ275" i="4"/>
  <c r="AX327" i="4"/>
  <c r="AW327" i="4"/>
  <c r="AP327" i="4"/>
  <c r="BV327" i="4"/>
  <c r="AX636" i="4"/>
  <c r="AW636" i="4"/>
  <c r="AP636" i="4"/>
  <c r="BV636" i="4"/>
  <c r="AW371" i="4"/>
  <c r="AX371" i="4"/>
  <c r="AP371" i="4"/>
  <c r="BV371" i="4"/>
  <c r="BB365" i="4"/>
  <c r="AS365" i="4"/>
  <c r="AT365" i="4"/>
  <c r="BB249" i="4"/>
  <c r="AS249" i="4"/>
  <c r="AT249" i="4"/>
  <c r="BM249" i="4"/>
  <c r="BN249" i="4"/>
  <c r="BU122" i="4"/>
  <c r="BB222" i="4"/>
  <c r="AS222" i="4"/>
  <c r="AT222" i="4"/>
  <c r="BM222" i="4"/>
  <c r="BN222" i="4"/>
  <c r="BB372" i="4"/>
  <c r="AS372" i="4"/>
  <c r="AT372" i="4"/>
  <c r="AY193" i="4"/>
  <c r="BA193" i="4"/>
  <c r="BQ193" i="4"/>
  <c r="AY233" i="4"/>
  <c r="BA233" i="4"/>
  <c r="BQ233" i="4"/>
  <c r="BM188" i="4"/>
  <c r="BN188" i="4"/>
  <c r="AW547" i="4"/>
  <c r="AX547" i="4"/>
  <c r="AP547" i="4"/>
  <c r="BV547" i="4"/>
  <c r="AX125" i="4"/>
  <c r="AW125" i="4"/>
  <c r="AP125" i="4"/>
  <c r="AX298" i="4"/>
  <c r="AW298" i="4"/>
  <c r="AP298" i="4"/>
  <c r="BV298" i="4"/>
  <c r="BB509" i="4"/>
  <c r="AS509" i="4"/>
  <c r="AT509" i="4"/>
  <c r="BB168" i="4"/>
  <c r="AS168" i="4"/>
  <c r="AT168" i="4"/>
  <c r="BU125" i="4"/>
  <c r="BS120" i="4"/>
  <c r="BR120" i="4"/>
  <c r="AJ120" i="4"/>
  <c r="BV120" i="4"/>
  <c r="BB122" i="4"/>
  <c r="AS122" i="4"/>
  <c r="AT122" i="4"/>
  <c r="BB371" i="4"/>
  <c r="AS371" i="4"/>
  <c r="AT371" i="4"/>
  <c r="AY304" i="4"/>
  <c r="BA304" i="4"/>
  <c r="BQ304" i="4"/>
  <c r="BA346" i="4"/>
  <c r="BQ346" i="4"/>
  <c r="BR444" i="4"/>
  <c r="AJ417" i="4"/>
  <c r="BV417" i="4"/>
  <c r="AR453" i="4"/>
  <c r="AQ569" i="4"/>
  <c r="AR591" i="4"/>
  <c r="AQ127" i="4"/>
  <c r="AQ215" i="4"/>
  <c r="AJ609" i="4"/>
  <c r="BS609" i="4"/>
  <c r="BU609" i="4"/>
  <c r="BR609" i="4"/>
  <c r="AR609" i="4"/>
  <c r="AQ609" i="4"/>
  <c r="BS444" i="4"/>
  <c r="AQ417" i="4"/>
  <c r="BS453" i="4"/>
  <c r="BU453" i="4"/>
  <c r="AQ591" i="4"/>
  <c r="BR127" i="4"/>
  <c r="BU575" i="4"/>
  <c r="AR417" i="4"/>
  <c r="BR453" i="4"/>
  <c r="BS591" i="4"/>
  <c r="BS127" i="4"/>
  <c r="BR644" i="4"/>
  <c r="AJ308" i="4"/>
  <c r="BV308" i="4"/>
  <c r="AR308" i="4"/>
  <c r="BB308" i="4"/>
  <c r="AJ539" i="4"/>
  <c r="AR539" i="4"/>
  <c r="AS484" i="4"/>
  <c r="AT484" i="4"/>
  <c r="AJ569" i="4"/>
  <c r="BV569" i="4"/>
  <c r="BU377" i="4"/>
  <c r="BU257" i="4"/>
  <c r="BU539" i="4"/>
  <c r="AJ644" i="4"/>
  <c r="AJ554" i="4"/>
  <c r="AR554" i="4"/>
  <c r="BR554" i="4"/>
  <c r="BS554" i="4"/>
  <c r="BU554" i="4"/>
  <c r="AQ554" i="4"/>
  <c r="AJ508" i="4"/>
  <c r="BS508" i="4"/>
  <c r="BU508" i="4"/>
  <c r="BR508" i="4"/>
  <c r="AR508" i="4"/>
  <c r="AQ508" i="4"/>
  <c r="AJ601" i="4"/>
  <c r="BR601" i="4"/>
  <c r="BS601" i="4"/>
  <c r="AR601" i="4"/>
  <c r="AQ601" i="4"/>
  <c r="BS417" i="4"/>
  <c r="BU648" i="4"/>
  <c r="AQ453" i="4"/>
  <c r="AJ215" i="4"/>
  <c r="AW215" i="4"/>
  <c r="BU517" i="4"/>
  <c r="BR569" i="4"/>
  <c r="AP220" i="4"/>
  <c r="BV220" i="4"/>
  <c r="AX220" i="4"/>
  <c r="AW220" i="4"/>
  <c r="AX268" i="4"/>
  <c r="BV268" i="4"/>
  <c r="AP268" i="4"/>
  <c r="AS184" i="4"/>
  <c r="AT184" i="4"/>
  <c r="AJ444" i="4"/>
  <c r="BV444" i="4"/>
  <c r="AQ265" i="4"/>
  <c r="AQ209" i="4"/>
  <c r="AR302" i="4"/>
  <c r="AW134" i="4"/>
  <c r="AS538" i="4"/>
  <c r="AT538" i="4"/>
  <c r="BM538" i="4"/>
  <c r="BN538" i="4"/>
  <c r="BR654" i="4"/>
  <c r="BR220" i="4"/>
  <c r="AQ220" i="4"/>
  <c r="BR365" i="4"/>
  <c r="AQ268" i="4"/>
  <c r="BB268" i="4"/>
  <c r="BU268" i="4"/>
  <c r="BU134" i="4"/>
  <c r="AR444" i="4"/>
  <c r="AQ635" i="4"/>
  <c r="AS579" i="4"/>
  <c r="AT579" i="4"/>
  <c r="BM579" i="4"/>
  <c r="BN579" i="4"/>
  <c r="AP191" i="4"/>
  <c r="AR127" i="4"/>
  <c r="AQ567" i="4"/>
  <c r="AQ277" i="4"/>
  <c r="BS619" i="4"/>
  <c r="BS365" i="4"/>
  <c r="BU365" i="4"/>
  <c r="AP365" i="4"/>
  <c r="BM365" i="4"/>
  <c r="BN365" i="4"/>
  <c r="BV567" i="4"/>
  <c r="AP336" i="4"/>
  <c r="AX380" i="4"/>
  <c r="AJ635" i="4"/>
  <c r="BS567" i="4"/>
  <c r="BU567" i="4"/>
  <c r="BS277" i="4"/>
  <c r="AJ256" i="4"/>
  <c r="BU256" i="4"/>
  <c r="AW365" i="4"/>
  <c r="AQ236" i="4"/>
  <c r="BU660" i="4"/>
  <c r="AW575" i="4"/>
  <c r="AP575" i="4"/>
  <c r="AX575" i="4"/>
  <c r="AS575" i="4"/>
  <c r="AT575" i="4"/>
  <c r="BB575" i="4"/>
  <c r="BB517" i="4"/>
  <c r="BU481" i="4"/>
  <c r="BS635" i="4"/>
  <c r="AQ654" i="4"/>
  <c r="AR236" i="4"/>
  <c r="BU217" i="4"/>
  <c r="AR635" i="4"/>
  <c r="AQ402" i="4"/>
  <c r="AR654" i="4"/>
  <c r="AR220" i="4"/>
  <c r="BS220" i="4"/>
  <c r="BU220" i="4"/>
  <c r="BU209" i="4"/>
  <c r="BS654" i="4"/>
  <c r="BU654" i="4"/>
  <c r="BU282" i="4"/>
  <c r="AX236" i="4"/>
  <c r="AP236" i="4"/>
  <c r="AW236" i="4"/>
  <c r="BV236" i="4"/>
  <c r="BB336" i="4"/>
  <c r="AS336" i="4"/>
  <c r="AT336" i="4"/>
  <c r="AS323" i="4"/>
  <c r="AT323" i="4"/>
  <c r="BB323" i="4"/>
  <c r="BU484" i="4"/>
  <c r="BM306" i="4"/>
  <c r="BN306" i="4"/>
  <c r="BU467" i="4"/>
  <c r="BM161" i="4"/>
  <c r="BN161" i="4"/>
  <c r="BS415" i="4"/>
  <c r="AW268" i="4"/>
  <c r="BB525" i="4"/>
  <c r="AR388" i="4"/>
  <c r="AP380" i="4"/>
  <c r="BR537" i="4"/>
  <c r="BS469" i="4"/>
  <c r="BU596" i="4"/>
  <c r="AS191" i="4"/>
  <c r="AT191" i="4"/>
  <c r="BU474" i="4"/>
  <c r="BM346" i="4"/>
  <c r="BN346" i="4"/>
  <c r="AQ388" i="4"/>
  <c r="BB388" i="4"/>
  <c r="BU640" i="4"/>
  <c r="AR622" i="4"/>
  <c r="AS622" i="4"/>
  <c r="AT622" i="4"/>
  <c r="AQ619" i="4"/>
  <c r="BB230" i="4"/>
  <c r="AJ273" i="4"/>
  <c r="BS273" i="4"/>
  <c r="AQ273" i="4"/>
  <c r="AR273" i="4"/>
  <c r="BR273" i="4"/>
  <c r="BU515" i="4"/>
  <c r="BU621" i="4"/>
  <c r="BU200" i="4"/>
  <c r="BU236" i="4"/>
  <c r="BU227" i="4"/>
  <c r="BU606" i="4"/>
  <c r="BU383" i="4"/>
  <c r="AX518" i="4"/>
  <c r="AP518" i="4"/>
  <c r="BV518" i="4"/>
  <c r="AW518" i="4"/>
  <c r="AX355" i="4"/>
  <c r="AP355" i="4"/>
  <c r="AW355" i="4"/>
  <c r="AJ197" i="4"/>
  <c r="AQ197" i="4"/>
  <c r="BR197" i="4"/>
  <c r="BS197" i="4"/>
  <c r="AR197" i="4"/>
  <c r="BU518" i="4"/>
  <c r="AX278" i="4"/>
  <c r="AW278" i="4"/>
  <c r="AP278" i="4"/>
  <c r="BU625" i="4"/>
  <c r="AQ293" i="4"/>
  <c r="BU382" i="4"/>
  <c r="BU311" i="4"/>
  <c r="BU429" i="4"/>
  <c r="AJ170" i="4"/>
  <c r="BV170" i="4"/>
  <c r="BU556" i="4"/>
  <c r="BU507" i="4"/>
  <c r="BR198" i="4"/>
  <c r="BS402" i="4"/>
  <c r="BU402" i="4"/>
  <c r="BU487" i="4"/>
  <c r="AR567" i="4"/>
  <c r="BS511" i="4"/>
  <c r="BU511" i="4"/>
  <c r="AQ511" i="4"/>
  <c r="BR511" i="4"/>
  <c r="AR511" i="4"/>
  <c r="BV355" i="4"/>
  <c r="BV596" i="4"/>
  <c r="AX596" i="4"/>
  <c r="AP596" i="4"/>
  <c r="AW596" i="4"/>
  <c r="AJ439" i="4"/>
  <c r="BS439" i="4"/>
  <c r="BR439" i="4"/>
  <c r="AR439" i="4"/>
  <c r="AQ439" i="4"/>
  <c r="BU356" i="4"/>
  <c r="AQ170" i="4"/>
  <c r="BU355" i="4"/>
  <c r="AS308" i="4"/>
  <c r="AT308" i="4"/>
  <c r="BV215" i="4"/>
  <c r="BU350" i="4"/>
  <c r="BR293" i="4"/>
  <c r="BU266" i="4"/>
  <c r="BM230" i="4"/>
  <c r="BN230" i="4"/>
  <c r="BU416" i="4"/>
  <c r="AR170" i="4"/>
  <c r="AQ537" i="4"/>
  <c r="AS537" i="4"/>
  <c r="AT537" i="4"/>
  <c r="BR265" i="4"/>
  <c r="AR569" i="4"/>
  <c r="BR402" i="4"/>
  <c r="AR619" i="4"/>
  <c r="AJ381" i="4"/>
  <c r="AR381" i="4"/>
  <c r="BS381" i="4"/>
  <c r="AQ381" i="4"/>
  <c r="BR381" i="4"/>
  <c r="AS518" i="4"/>
  <c r="AT518" i="4"/>
  <c r="BB518" i="4"/>
  <c r="BB596" i="4"/>
  <c r="AS596" i="4"/>
  <c r="AT596" i="4"/>
  <c r="AJ335" i="4"/>
  <c r="BS335" i="4"/>
  <c r="BR335" i="4"/>
  <c r="AQ335" i="4"/>
  <c r="AR335" i="4"/>
  <c r="AR344" i="4"/>
  <c r="AS344" i="4"/>
  <c r="AT344" i="4"/>
  <c r="BR170" i="4"/>
  <c r="AJ187" i="4"/>
  <c r="AQ187" i="4"/>
  <c r="BR187" i="4"/>
  <c r="BS187" i="4"/>
  <c r="AR187" i="4"/>
  <c r="BS535" i="4"/>
  <c r="BR535" i="4"/>
  <c r="AJ535" i="4"/>
  <c r="AQ535" i="4"/>
  <c r="AR535" i="4"/>
  <c r="BB278" i="4"/>
  <c r="AS278" i="4"/>
  <c r="AT278" i="4"/>
  <c r="BS568" i="4"/>
  <c r="AR568" i="4"/>
  <c r="BR568" i="4"/>
  <c r="AJ568" i="4"/>
  <c r="AQ568" i="4"/>
  <c r="BU293" i="4"/>
  <c r="J18" i="4"/>
  <c r="BU592" i="4"/>
  <c r="BU570" i="4"/>
  <c r="BU413" i="4"/>
  <c r="BU562" i="4"/>
  <c r="AJ344" i="4"/>
  <c r="BV344" i="4"/>
  <c r="BB184" i="4"/>
  <c r="BH184" i="4"/>
  <c r="BU297" i="4"/>
  <c r="BS537" i="4"/>
  <c r="BU537" i="4"/>
  <c r="BU512" i="4"/>
  <c r="AR265" i="4"/>
  <c r="BU127" i="4"/>
  <c r="BS622" i="4"/>
  <c r="BU622" i="4"/>
  <c r="BB277" i="4"/>
  <c r="BR619" i="4"/>
  <c r="BR344" i="4"/>
  <c r="BR622" i="4"/>
  <c r="BU619" i="4"/>
  <c r="BB355" i="4"/>
  <c r="AS355" i="4"/>
  <c r="AT355" i="4"/>
  <c r="AJ456" i="4"/>
  <c r="BS456" i="4"/>
  <c r="BR456" i="4"/>
  <c r="AR456" i="4"/>
  <c r="AQ456" i="4"/>
  <c r="AP282" i="4"/>
  <c r="AW282" i="4"/>
  <c r="AX282" i="4"/>
  <c r="BU295" i="4"/>
  <c r="BU145" i="4"/>
  <c r="BU354" i="4"/>
  <c r="BU557" i="4"/>
  <c r="BS344" i="4"/>
  <c r="BU132" i="4"/>
  <c r="BU238" i="4"/>
  <c r="AW308" i="4"/>
  <c r="AP308" i="4"/>
  <c r="BM308" i="4"/>
  <c r="BN308" i="4"/>
  <c r="AX308" i="4"/>
  <c r="BV278" i="4"/>
  <c r="AR588" i="4"/>
  <c r="AQ588" i="4"/>
  <c r="AJ548" i="4"/>
  <c r="BS548" i="4"/>
  <c r="BR548" i="4"/>
  <c r="AR548" i="4"/>
  <c r="AQ548" i="4"/>
  <c r="AW511" i="4"/>
  <c r="AX511" i="4"/>
  <c r="AP511" i="4"/>
  <c r="BU278" i="4"/>
  <c r="BB282" i="4"/>
  <c r="AS282" i="4"/>
  <c r="AT282" i="4"/>
  <c r="AX178" i="4"/>
  <c r="AW178" i="4"/>
  <c r="AP178" i="4"/>
  <c r="BV178" i="4"/>
  <c r="BV436" i="4"/>
  <c r="AW436" i="4"/>
  <c r="AP436" i="4"/>
  <c r="AX436" i="4"/>
  <c r="AW141" i="4"/>
  <c r="AX141" i="4"/>
  <c r="AP141" i="4"/>
  <c r="BV141" i="4"/>
  <c r="AX343" i="4"/>
  <c r="AP343" i="4"/>
  <c r="AW343" i="4"/>
  <c r="BV343" i="4"/>
  <c r="AX228" i="4"/>
  <c r="AW228" i="4"/>
  <c r="AP228" i="4"/>
  <c r="BV228" i="4"/>
  <c r="AX450" i="4"/>
  <c r="AP450" i="4"/>
  <c r="BV450" i="4"/>
  <c r="AW450" i="4"/>
  <c r="AX614" i="4"/>
  <c r="AW614" i="4"/>
  <c r="AP614" i="4"/>
  <c r="BV614" i="4"/>
  <c r="AW490" i="4"/>
  <c r="AX490" i="4"/>
  <c r="AP490" i="4"/>
  <c r="BV490" i="4"/>
  <c r="AW345" i="4"/>
  <c r="AX345" i="4"/>
  <c r="AP345" i="4"/>
  <c r="BV345" i="4"/>
  <c r="AX287" i="4"/>
  <c r="AP287" i="4"/>
  <c r="AW287" i="4"/>
  <c r="BV287" i="4"/>
  <c r="AW580" i="4"/>
  <c r="AX580" i="4"/>
  <c r="AP580" i="4"/>
  <c r="BV580" i="4"/>
  <c r="AW540" i="4"/>
  <c r="AX540" i="4"/>
  <c r="AP540" i="4"/>
  <c r="BV540" i="4"/>
  <c r="AW138" i="4"/>
  <c r="AX138" i="4"/>
  <c r="AP138" i="4"/>
  <c r="BV138" i="4"/>
  <c r="AW590" i="4"/>
  <c r="AX590" i="4"/>
  <c r="AP590" i="4"/>
  <c r="BV590" i="4"/>
  <c r="AX408" i="4"/>
  <c r="AW408" i="4"/>
  <c r="AP408" i="4"/>
  <c r="BV408" i="4"/>
  <c r="BV466" i="4"/>
  <c r="AX466" i="4"/>
  <c r="AW466" i="4"/>
  <c r="AP466" i="4"/>
  <c r="AX483" i="4"/>
  <c r="AW483" i="4"/>
  <c r="BV483" i="4"/>
  <c r="AP483" i="4"/>
  <c r="AW516" i="4"/>
  <c r="AX516" i="4"/>
  <c r="AP516" i="4"/>
  <c r="BV516" i="4"/>
  <c r="AX494" i="4"/>
  <c r="AW494" i="4"/>
  <c r="AP494" i="4"/>
  <c r="BV494" i="4"/>
  <c r="BV598" i="4"/>
  <c r="AX598" i="4"/>
  <c r="AW598" i="4"/>
  <c r="AP598" i="4"/>
  <c r="AX406" i="4"/>
  <c r="AP406" i="4"/>
  <c r="AW406" i="4"/>
  <c r="BV406" i="4"/>
  <c r="AW390" i="4"/>
  <c r="AX390" i="4"/>
  <c r="AP390" i="4"/>
  <c r="BV390" i="4"/>
  <c r="AW255" i="4"/>
  <c r="AX255" i="4"/>
  <c r="AP255" i="4"/>
  <c r="BV255" i="4"/>
  <c r="AW299" i="4"/>
  <c r="AX299" i="4"/>
  <c r="AP299" i="4"/>
  <c r="BV299" i="4"/>
  <c r="AP656" i="4"/>
  <c r="AW656" i="4"/>
  <c r="AX656" i="4"/>
  <c r="BV656" i="4"/>
  <c r="AX550" i="4"/>
  <c r="AW550" i="4"/>
  <c r="AP550" i="4"/>
  <c r="BV550" i="4"/>
  <c r="AW405" i="4"/>
  <c r="AX405" i="4"/>
  <c r="AP405" i="4"/>
  <c r="BV405" i="4"/>
  <c r="AP269" i="4"/>
  <c r="AX269" i="4"/>
  <c r="AW269" i="4"/>
  <c r="BV269" i="4"/>
  <c r="AX577" i="4"/>
  <c r="AW577" i="4"/>
  <c r="AP577" i="4"/>
  <c r="BV577" i="4"/>
  <c r="AW280" i="4"/>
  <c r="AX280" i="4"/>
  <c r="AP280" i="4"/>
  <c r="BV280" i="4"/>
  <c r="AX611" i="4"/>
  <c r="AW611" i="4"/>
  <c r="AP611" i="4"/>
  <c r="BV611" i="4"/>
  <c r="AP253" i="4"/>
  <c r="AW253" i="4"/>
  <c r="AX253" i="4"/>
  <c r="BV253" i="4"/>
  <c r="AX435" i="4"/>
  <c r="AW435" i="4"/>
  <c r="AP435" i="4"/>
  <c r="BV435" i="4"/>
  <c r="AP488" i="4"/>
  <c r="AX488" i="4"/>
  <c r="AW488" i="4"/>
  <c r="BV488" i="4"/>
  <c r="AX522" i="4"/>
  <c r="AW522" i="4"/>
  <c r="AP522" i="4"/>
  <c r="BV522" i="4"/>
  <c r="AP281" i="4"/>
  <c r="AX281" i="4"/>
  <c r="AW281" i="4"/>
  <c r="BV281" i="4"/>
  <c r="BV396" i="4"/>
  <c r="AP396" i="4"/>
  <c r="AW396" i="4"/>
  <c r="AX396" i="4"/>
  <c r="AX502" i="4"/>
  <c r="AP502" i="4"/>
  <c r="BV502" i="4"/>
  <c r="AW502" i="4"/>
  <c r="AX241" i="4"/>
  <c r="AW241" i="4"/>
  <c r="AP241" i="4"/>
  <c r="BV241" i="4"/>
  <c r="BC133" i="4"/>
  <c r="BD133" i="4"/>
  <c r="BE133" i="4"/>
  <c r="BH133" i="4"/>
  <c r="AX651" i="4"/>
  <c r="AW651" i="4"/>
  <c r="AP651" i="4"/>
  <c r="BV651" i="4"/>
  <c r="AX135" i="4"/>
  <c r="AW135" i="4"/>
  <c r="AP135" i="4"/>
  <c r="BV135" i="4"/>
  <c r="AW294" i="4"/>
  <c r="AX294" i="4"/>
  <c r="AP294" i="4"/>
  <c r="BV294" i="4"/>
  <c r="AW552" i="4"/>
  <c r="AP552" i="4"/>
  <c r="AX552" i="4"/>
  <c r="BV552" i="4"/>
  <c r="BV394" i="4"/>
  <c r="AX394" i="4"/>
  <c r="AW394" i="4"/>
  <c r="AP394" i="4"/>
  <c r="AW630" i="4"/>
  <c r="AX630" i="4"/>
  <c r="AP630" i="4"/>
  <c r="BV630" i="4"/>
  <c r="AX364" i="4"/>
  <c r="AW364" i="4"/>
  <c r="AP364" i="4"/>
  <c r="BV364" i="4"/>
  <c r="AX189" i="4"/>
  <c r="AW189" i="4"/>
  <c r="AP189" i="4"/>
  <c r="BV189" i="4"/>
  <c r="AX599" i="4"/>
  <c r="AW599" i="4"/>
  <c r="BV599" i="4"/>
  <c r="AP599" i="4"/>
  <c r="BV303" i="4"/>
  <c r="AW303" i="4"/>
  <c r="AP303" i="4"/>
  <c r="AX303" i="4"/>
  <c r="AW123" i="4"/>
  <c r="AX123" i="4"/>
  <c r="AP123" i="4"/>
  <c r="BV123" i="4"/>
  <c r="AW240" i="4"/>
  <c r="AX240" i="4"/>
  <c r="AP240" i="4"/>
  <c r="BV240" i="4"/>
  <c r="AX263" i="4"/>
  <c r="AW263" i="4"/>
  <c r="AP263" i="4"/>
  <c r="BV263" i="4"/>
  <c r="AW549" i="4"/>
  <c r="AX549" i="4"/>
  <c r="AP549" i="4"/>
  <c r="BV549" i="4"/>
  <c r="BV541" i="4"/>
  <c r="AX541" i="4"/>
  <c r="AW541" i="4"/>
  <c r="AP541" i="4"/>
  <c r="AP362" i="4"/>
  <c r="AX362" i="4"/>
  <c r="AW362" i="4"/>
  <c r="BV362" i="4"/>
  <c r="BV441" i="4"/>
  <c r="AW441" i="4"/>
  <c r="AX441" i="4"/>
  <c r="AP441" i="4"/>
  <c r="BV251" i="4"/>
  <c r="AX251" i="4"/>
  <c r="AW251" i="4"/>
  <c r="AP251" i="4"/>
  <c r="AW338" i="4"/>
  <c r="AP338" i="4"/>
  <c r="AX338" i="4"/>
  <c r="BV338" i="4"/>
  <c r="AW370" i="4"/>
  <c r="AX370" i="4"/>
  <c r="AP370" i="4"/>
  <c r="BV370" i="4"/>
  <c r="AX242" i="4"/>
  <c r="AW242" i="4"/>
  <c r="AP242" i="4"/>
  <c r="BV242" i="4"/>
  <c r="BH560" i="4"/>
  <c r="BC560" i="4"/>
  <c r="AX652" i="4"/>
  <c r="AW652" i="4"/>
  <c r="AP652" i="4"/>
  <c r="BV652" i="4"/>
  <c r="AW420" i="4"/>
  <c r="AX420" i="4"/>
  <c r="AP420" i="4"/>
  <c r="BV420" i="4"/>
  <c r="AP137" i="4"/>
  <c r="AX137" i="4"/>
  <c r="AW137" i="4"/>
  <c r="BV137" i="4"/>
  <c r="AX259" i="4"/>
  <c r="AW259" i="4"/>
  <c r="AP259" i="4"/>
  <c r="BV259" i="4"/>
  <c r="BV232" i="4"/>
  <c r="AX232" i="4"/>
  <c r="AW232" i="4"/>
  <c r="AP232" i="4"/>
  <c r="AW385" i="4"/>
  <c r="AX385" i="4"/>
  <c r="AP385" i="4"/>
  <c r="BV385" i="4"/>
  <c r="AW166" i="4"/>
  <c r="AX166" i="4"/>
  <c r="AP166" i="4"/>
  <c r="BV166" i="4"/>
  <c r="AX589" i="4"/>
  <c r="AW589" i="4"/>
  <c r="AP589" i="4"/>
  <c r="BV589" i="4"/>
  <c r="AW597" i="4"/>
  <c r="AX597" i="4"/>
  <c r="AP597" i="4"/>
  <c r="BV597" i="4"/>
  <c r="BV496" i="4"/>
  <c r="AW496" i="4"/>
  <c r="AX496" i="4"/>
  <c r="AP496" i="4"/>
  <c r="AP340" i="4"/>
  <c r="AX340" i="4"/>
  <c r="AW340" i="4"/>
  <c r="BV340" i="4"/>
  <c r="AX476" i="4"/>
  <c r="AP476" i="4"/>
  <c r="AW476" i="4"/>
  <c r="BV476" i="4"/>
  <c r="AX174" i="4"/>
  <c r="AW174" i="4"/>
  <c r="BV174" i="4"/>
  <c r="AP174" i="4"/>
  <c r="AW586" i="4"/>
  <c r="AX586" i="4"/>
  <c r="AP586" i="4"/>
  <c r="BV586" i="4"/>
  <c r="AX376" i="4"/>
  <c r="AW376" i="4"/>
  <c r="AP376" i="4"/>
  <c r="BV376" i="4"/>
  <c r="AW331" i="4"/>
  <c r="AP331" i="4"/>
  <c r="AX331" i="4"/>
  <c r="BV331" i="4"/>
  <c r="AW536" i="4"/>
  <c r="AP536" i="4"/>
  <c r="AX536" i="4"/>
  <c r="BV536" i="4"/>
  <c r="AX359" i="4"/>
  <c r="AW359" i="4"/>
  <c r="AP359" i="4"/>
  <c r="BV359" i="4"/>
  <c r="AW195" i="4"/>
  <c r="AX195" i="4"/>
  <c r="AP195" i="4"/>
  <c r="BV195" i="4"/>
  <c r="BV457" i="4"/>
  <c r="AX457" i="4"/>
  <c r="AW457" i="4"/>
  <c r="AP457" i="4"/>
  <c r="AW521" i="4"/>
  <c r="AX521" i="4"/>
  <c r="AP521" i="4"/>
  <c r="BV521" i="4"/>
  <c r="AW445" i="4"/>
  <c r="AP445" i="4"/>
  <c r="BV445" i="4"/>
  <c r="AX445" i="4"/>
  <c r="BV360" i="4"/>
  <c r="AW360" i="4"/>
  <c r="AX360" i="4"/>
  <c r="AP360" i="4"/>
  <c r="AW641" i="4"/>
  <c r="AP641" i="4"/>
  <c r="AX641" i="4"/>
  <c r="BV641" i="4"/>
  <c r="AP461" i="4"/>
  <c r="AW461" i="4"/>
  <c r="AX461" i="4"/>
  <c r="BV461" i="4"/>
  <c r="AW207" i="4"/>
  <c r="AX207" i="4"/>
  <c r="AP207" i="4"/>
  <c r="BV207" i="4"/>
  <c r="AW620" i="4"/>
  <c r="AX620" i="4"/>
  <c r="AP620" i="4"/>
  <c r="BV620" i="4"/>
  <c r="AW527" i="4"/>
  <c r="AP527" i="4"/>
  <c r="AX527" i="4"/>
  <c r="BV527" i="4"/>
  <c r="AW412" i="4"/>
  <c r="AP412" i="4"/>
  <c r="AX412" i="4"/>
  <c r="BV412" i="4"/>
  <c r="AW440" i="4"/>
  <c r="AX440" i="4"/>
  <c r="AP440" i="4"/>
  <c r="BV440" i="4"/>
  <c r="BS427" i="4"/>
  <c r="BR427" i="4"/>
  <c r="AQ427" i="4"/>
  <c r="AR427" i="4"/>
  <c r="AJ427" i="4"/>
  <c r="BR271" i="4"/>
  <c r="BS271" i="4"/>
  <c r="AQ271" i="4"/>
  <c r="AR271" i="4"/>
  <c r="BB530" i="4"/>
  <c r="AS530" i="4"/>
  <c r="AT530" i="4"/>
  <c r="AS148" i="4"/>
  <c r="AT148" i="4"/>
  <c r="BB148" i="4"/>
  <c r="BB349" i="4"/>
  <c r="AS349" i="4"/>
  <c r="AT349" i="4"/>
  <c r="BS608" i="4"/>
  <c r="BR608" i="4"/>
  <c r="AR608" i="4"/>
  <c r="AQ608" i="4"/>
  <c r="BS205" i="4"/>
  <c r="BR205" i="4"/>
  <c r="AR205" i="4"/>
  <c r="AQ205" i="4"/>
  <c r="AJ205" i="4"/>
  <c r="BR546" i="4"/>
  <c r="AQ546" i="4"/>
  <c r="AR546" i="4"/>
  <c r="BS546" i="4"/>
  <c r="AJ610" i="4"/>
  <c r="BR610" i="4"/>
  <c r="BS610" i="4"/>
  <c r="AQ610" i="4"/>
  <c r="AR610" i="4"/>
  <c r="AP145" i="4"/>
  <c r="BV145" i="4"/>
  <c r="AW145" i="4"/>
  <c r="AX145" i="4"/>
  <c r="AW146" i="4"/>
  <c r="AX146" i="4"/>
  <c r="AP146" i="4"/>
  <c r="BS139" i="4"/>
  <c r="AQ139" i="4"/>
  <c r="BR139" i="4"/>
  <c r="AR139" i="4"/>
  <c r="BS578" i="4"/>
  <c r="BR578" i="4"/>
  <c r="AQ578" i="4"/>
  <c r="AR578" i="4"/>
  <c r="AW162" i="4"/>
  <c r="AP162" i="4"/>
  <c r="AX162" i="4"/>
  <c r="AW374" i="4"/>
  <c r="AX374" i="4"/>
  <c r="AP374" i="4"/>
  <c r="BV374" i="4"/>
  <c r="BR612" i="4"/>
  <c r="BS612" i="4"/>
  <c r="AQ612" i="4"/>
  <c r="AR612" i="4"/>
  <c r="BS395" i="4"/>
  <c r="BU395" i="4"/>
  <c r="BR395" i="4"/>
  <c r="AR395" i="4"/>
  <c r="AQ395" i="4"/>
  <c r="BB260" i="4"/>
  <c r="AS260" i="4"/>
  <c r="AT260" i="4"/>
  <c r="BM260" i="4"/>
  <c r="BN260" i="4"/>
  <c r="BB519" i="4"/>
  <c r="AS519" i="4"/>
  <c r="AT519" i="4"/>
  <c r="BU443" i="4"/>
  <c r="AW418" i="4"/>
  <c r="AP418" i="4"/>
  <c r="AX418" i="4"/>
  <c r="AX165" i="4"/>
  <c r="AW165" i="4"/>
  <c r="AP165" i="4"/>
  <c r="AJ225" i="4"/>
  <c r="BS225" i="4"/>
  <c r="BR225" i="4"/>
  <c r="AR225" i="4"/>
  <c r="AQ225" i="4"/>
  <c r="AX398" i="4"/>
  <c r="AW398" i="4"/>
  <c r="AP398" i="4"/>
  <c r="BR171" i="4"/>
  <c r="BS171" i="4"/>
  <c r="AQ171" i="4"/>
  <c r="AR171" i="4"/>
  <c r="BB628" i="4"/>
  <c r="AS628" i="4"/>
  <c r="AT628" i="4"/>
  <c r="BM628" i="4"/>
  <c r="BN628" i="4"/>
  <c r="BV573" i="4"/>
  <c r="AP573" i="4"/>
  <c r="AW573" i="4"/>
  <c r="AX573" i="4"/>
  <c r="BR248" i="4"/>
  <c r="BS248" i="4"/>
  <c r="AR248" i="4"/>
  <c r="AQ248" i="4"/>
  <c r="BR211" i="4"/>
  <c r="BS211" i="4"/>
  <c r="AR211" i="4"/>
  <c r="AQ211" i="4"/>
  <c r="AW465" i="4"/>
  <c r="AX465" i="4"/>
  <c r="AP465" i="4"/>
  <c r="AW585" i="4"/>
  <c r="AX585" i="4"/>
  <c r="AP585" i="4"/>
  <c r="BU418" i="4"/>
  <c r="AY628" i="4"/>
  <c r="BA628" i="4"/>
  <c r="BQ628" i="4"/>
  <c r="AW498" i="4"/>
  <c r="AX498" i="4"/>
  <c r="AP498" i="4"/>
  <c r="BS639" i="4"/>
  <c r="AQ639" i="4"/>
  <c r="AR639" i="4"/>
  <c r="BR639" i="4"/>
  <c r="AY392" i="4"/>
  <c r="BA392" i="4"/>
  <c r="BQ392" i="4"/>
  <c r="BV165" i="4"/>
  <c r="AX185" i="4"/>
  <c r="AP185" i="4"/>
  <c r="AW185" i="4"/>
  <c r="AW584" i="4"/>
  <c r="AX584" i="4"/>
  <c r="AP584" i="4"/>
  <c r="BS424" i="4"/>
  <c r="BR424" i="4"/>
  <c r="AR424" i="4"/>
  <c r="AQ424" i="4"/>
  <c r="BS477" i="4"/>
  <c r="BR477" i="4"/>
  <c r="AQ477" i="4"/>
  <c r="AR477" i="4"/>
  <c r="AJ428" i="4"/>
  <c r="BR428" i="4"/>
  <c r="BS428" i="4"/>
  <c r="AR428" i="4"/>
  <c r="AQ428" i="4"/>
  <c r="AX542" i="4"/>
  <c r="AW542" i="4"/>
  <c r="AP542" i="4"/>
  <c r="BV542" i="4"/>
  <c r="BB382" i="4"/>
  <c r="AS382" i="4"/>
  <c r="AT382" i="4"/>
  <c r="BS633" i="4"/>
  <c r="BU633" i="4"/>
  <c r="BR633" i="4"/>
  <c r="AQ633" i="4"/>
  <c r="AR633" i="4"/>
  <c r="AY245" i="4"/>
  <c r="BA245" i="4"/>
  <c r="BQ245" i="4"/>
  <c r="BR247" i="4"/>
  <c r="BS247" i="4"/>
  <c r="AQ247" i="4"/>
  <c r="AR247" i="4"/>
  <c r="AW307" i="4"/>
  <c r="AX307" i="4"/>
  <c r="AP307" i="4"/>
  <c r="BB649" i="4"/>
  <c r="AS649" i="4"/>
  <c r="AT649" i="4"/>
  <c r="BH470" i="4"/>
  <c r="BC470" i="4"/>
  <c r="AR574" i="4"/>
  <c r="BR574" i="4"/>
  <c r="AQ574" i="4"/>
  <c r="BS574" i="4"/>
  <c r="AJ574" i="4"/>
  <c r="BR384" i="4"/>
  <c r="BS384" i="4"/>
  <c r="AR384" i="4"/>
  <c r="AQ384" i="4"/>
  <c r="BS454" i="4"/>
  <c r="BR454" i="4"/>
  <c r="AR454" i="4"/>
  <c r="AQ454" i="4"/>
  <c r="AS621" i="4"/>
  <c r="AT621" i="4"/>
  <c r="BB621" i="4"/>
  <c r="AJ399" i="4"/>
  <c r="BS399" i="4"/>
  <c r="BR399" i="4"/>
  <c r="AR399" i="4"/>
  <c r="AQ399" i="4"/>
  <c r="AW467" i="4"/>
  <c r="AX467" i="4"/>
  <c r="AP467" i="4"/>
  <c r="AX326" i="4"/>
  <c r="AW326" i="4"/>
  <c r="AP326" i="4"/>
  <c r="BU279" i="4"/>
  <c r="BB415" i="4"/>
  <c r="AS415" i="4"/>
  <c r="AT415" i="4"/>
  <c r="AY587" i="4"/>
  <c r="BA587" i="4"/>
  <c r="BQ587" i="4"/>
  <c r="BC184" i="4"/>
  <c r="BD184" i="4"/>
  <c r="BE184" i="4"/>
  <c r="BU595" i="4"/>
  <c r="BB361" i="4"/>
  <c r="BB537" i="4"/>
  <c r="BU358" i="4"/>
  <c r="AW417" i="4"/>
  <c r="AP417" i="4"/>
  <c r="AX417" i="4"/>
  <c r="AQ216" i="4"/>
  <c r="BS216" i="4"/>
  <c r="AR216" i="4"/>
  <c r="BR216" i="4"/>
  <c r="BB227" i="4"/>
  <c r="AS227" i="4"/>
  <c r="AT227" i="4"/>
  <c r="BU264" i="4"/>
  <c r="BC579" i="4"/>
  <c r="BD579" i="4"/>
  <c r="BE579" i="4"/>
  <c r="BH579" i="4"/>
  <c r="BB147" i="4"/>
  <c r="AS147" i="4"/>
  <c r="AT147" i="4"/>
  <c r="BC245" i="4"/>
  <c r="BH245" i="4"/>
  <c r="AS301" i="4"/>
  <c r="AT301" i="4"/>
  <c r="BB301" i="4"/>
  <c r="BB433" i="4"/>
  <c r="AS433" i="4"/>
  <c r="AT433" i="4"/>
  <c r="AP319" i="4"/>
  <c r="AX319" i="4"/>
  <c r="AW319" i="4"/>
  <c r="AX469" i="4"/>
  <c r="AW469" i="4"/>
  <c r="AP469" i="4"/>
  <c r="AX270" i="4"/>
  <c r="AW270" i="4"/>
  <c r="AP270" i="4"/>
  <c r="BB507" i="4"/>
  <c r="AS507" i="4"/>
  <c r="AT507" i="4"/>
  <c r="BB214" i="4"/>
  <c r="AS214" i="4"/>
  <c r="AT214" i="4"/>
  <c r="BS296" i="4"/>
  <c r="AR296" i="4"/>
  <c r="BR296" i="4"/>
  <c r="AQ296" i="4"/>
  <c r="BB640" i="4"/>
  <c r="AS640" i="4"/>
  <c r="AT640" i="4"/>
  <c r="BR564" i="4"/>
  <c r="BS564" i="4"/>
  <c r="AR564" i="4"/>
  <c r="AQ564" i="4"/>
  <c r="AY520" i="4"/>
  <c r="BA520" i="4"/>
  <c r="BQ520" i="4"/>
  <c r="AX529" i="4"/>
  <c r="AW529" i="4"/>
  <c r="AP529" i="4"/>
  <c r="BC277" i="4"/>
  <c r="BH277" i="4"/>
  <c r="AY221" i="4"/>
  <c r="BA221" i="4"/>
  <c r="BQ221" i="4"/>
  <c r="AS551" i="4"/>
  <c r="AT551" i="4"/>
  <c r="BB551" i="4"/>
  <c r="AW347" i="4"/>
  <c r="AX347" i="4"/>
  <c r="AP347" i="4"/>
  <c r="BU302" i="4"/>
  <c r="AW267" i="4"/>
  <c r="AX267" i="4"/>
  <c r="AP267" i="4"/>
  <c r="BS183" i="4"/>
  <c r="BR183" i="4"/>
  <c r="AR183" i="4"/>
  <c r="AQ183" i="4"/>
  <c r="BB619" i="4"/>
  <c r="AS619" i="4"/>
  <c r="AT619" i="4"/>
  <c r="BR237" i="4"/>
  <c r="BS237" i="4"/>
  <c r="AR237" i="4"/>
  <c r="AQ237" i="4"/>
  <c r="BB134" i="4"/>
  <c r="AS134" i="4"/>
  <c r="AT134" i="4"/>
  <c r="BM134" i="4"/>
  <c r="BN134" i="4"/>
  <c r="AS181" i="4"/>
  <c r="AT181" i="4"/>
  <c r="BM181" i="4"/>
  <c r="BN181" i="4"/>
  <c r="BB181" i="4"/>
  <c r="AX342" i="4"/>
  <c r="AW342" i="4"/>
  <c r="AP342" i="4"/>
  <c r="BR580" i="4"/>
  <c r="BS580" i="4"/>
  <c r="BU580" i="4"/>
  <c r="AQ580" i="4"/>
  <c r="AR580" i="4"/>
  <c r="BR228" i="4"/>
  <c r="AR228" i="4"/>
  <c r="BS228" i="4"/>
  <c r="BU228" i="4"/>
  <c r="AQ228" i="4"/>
  <c r="BS166" i="4"/>
  <c r="BU166" i="4"/>
  <c r="BR166" i="4"/>
  <c r="AQ166" i="4"/>
  <c r="AR166" i="4"/>
  <c r="BV349" i="4"/>
  <c r="AW349" i="4"/>
  <c r="AX349" i="4"/>
  <c r="AP349" i="4"/>
  <c r="AW367" i="4"/>
  <c r="AX367" i="4"/>
  <c r="AP367" i="4"/>
  <c r="BR406" i="4"/>
  <c r="BS406" i="4"/>
  <c r="BU406" i="4"/>
  <c r="AR406" i="4"/>
  <c r="AQ406" i="4"/>
  <c r="AJ321" i="4"/>
  <c r="BR321" i="4"/>
  <c r="AQ321" i="4"/>
  <c r="AR321" i="4"/>
  <c r="BS321" i="4"/>
  <c r="BB145" i="4"/>
  <c r="AS145" i="4"/>
  <c r="AT145" i="4"/>
  <c r="AR436" i="4"/>
  <c r="AQ436" i="4"/>
  <c r="BS436" i="4"/>
  <c r="BU436" i="4"/>
  <c r="BR436" i="4"/>
  <c r="AX607" i="4"/>
  <c r="AW607" i="4"/>
  <c r="AP607" i="4"/>
  <c r="AJ386" i="4"/>
  <c r="BS386" i="4"/>
  <c r="BR386" i="4"/>
  <c r="AQ386" i="4"/>
  <c r="AR386" i="4"/>
  <c r="AW177" i="4"/>
  <c r="AX177" i="4"/>
  <c r="AP177" i="4"/>
  <c r="AW246" i="4"/>
  <c r="AX246" i="4"/>
  <c r="AP246" i="4"/>
  <c r="BS488" i="4"/>
  <c r="BU488" i="4"/>
  <c r="BR488" i="4"/>
  <c r="AQ488" i="4"/>
  <c r="AR488" i="4"/>
  <c r="AP323" i="4"/>
  <c r="AX323" i="4"/>
  <c r="AW323" i="4"/>
  <c r="AX395" i="4"/>
  <c r="AW395" i="4"/>
  <c r="AP395" i="4"/>
  <c r="BS540" i="4"/>
  <c r="BU540" i="4"/>
  <c r="BR540" i="4"/>
  <c r="AQ540" i="4"/>
  <c r="AR540" i="4"/>
  <c r="BU600" i="4"/>
  <c r="AW254" i="4"/>
  <c r="AX254" i="4"/>
  <c r="AP254" i="4"/>
  <c r="AW524" i="4"/>
  <c r="AX524" i="4"/>
  <c r="AP524" i="4"/>
  <c r="AR269" i="4"/>
  <c r="BR269" i="4"/>
  <c r="BS269" i="4"/>
  <c r="BU269" i="4"/>
  <c r="AQ269" i="4"/>
  <c r="AW448" i="4"/>
  <c r="AX448" i="4"/>
  <c r="AP448" i="4"/>
  <c r="BM448" i="4"/>
  <c r="BN448" i="4"/>
  <c r="BR457" i="4"/>
  <c r="BS457" i="4"/>
  <c r="BU457" i="4"/>
  <c r="AR457" i="4"/>
  <c r="AQ457" i="4"/>
  <c r="BS340" i="4"/>
  <c r="BU340" i="4"/>
  <c r="AQ340" i="4"/>
  <c r="AR340" i="4"/>
  <c r="BR340" i="4"/>
  <c r="AX373" i="4"/>
  <c r="AW373" i="4"/>
  <c r="AP373" i="4"/>
  <c r="BB243" i="4"/>
  <c r="AS243" i="4"/>
  <c r="AT243" i="4"/>
  <c r="BR476" i="4"/>
  <c r="AQ476" i="4"/>
  <c r="AR476" i="4"/>
  <c r="BS476" i="4"/>
  <c r="BU476" i="4"/>
  <c r="AX434" i="4"/>
  <c r="AW434" i="4"/>
  <c r="AP434" i="4"/>
  <c r="BV434" i="4"/>
  <c r="AP180" i="4"/>
  <c r="AW180" i="4"/>
  <c r="AX180" i="4"/>
  <c r="AP226" i="4"/>
  <c r="BM226" i="4"/>
  <c r="BN226" i="4"/>
  <c r="AW226" i="4"/>
  <c r="AX226" i="4"/>
  <c r="AJ201" i="4"/>
  <c r="BS201" i="4"/>
  <c r="BU201" i="4"/>
  <c r="AR201" i="4"/>
  <c r="AQ201" i="4"/>
  <c r="BR201" i="4"/>
  <c r="BS408" i="4"/>
  <c r="BU408" i="4"/>
  <c r="BR408" i="4"/>
  <c r="AR408" i="4"/>
  <c r="AQ408" i="4"/>
  <c r="AP551" i="4"/>
  <c r="AW551" i="4"/>
  <c r="AX551" i="4"/>
  <c r="AW262" i="4"/>
  <c r="AX262" i="4"/>
  <c r="AP262" i="4"/>
  <c r="BV226" i="4"/>
  <c r="AX203" i="4"/>
  <c r="AW203" i="4"/>
  <c r="AP203" i="4"/>
  <c r="BS146" i="4"/>
  <c r="BU146" i="4"/>
  <c r="BR146" i="4"/>
  <c r="AQ146" i="4"/>
  <c r="AR146" i="4"/>
  <c r="AX531" i="4"/>
  <c r="AP531" i="4"/>
  <c r="AW531" i="4"/>
  <c r="BR577" i="4"/>
  <c r="BS577" i="4"/>
  <c r="BU577" i="4"/>
  <c r="AQ577" i="4"/>
  <c r="AR577" i="4"/>
  <c r="AR396" i="4"/>
  <c r="BR396" i="4"/>
  <c r="BS396" i="4"/>
  <c r="BU396" i="4"/>
  <c r="AQ396" i="4"/>
  <c r="AS585" i="4"/>
  <c r="AT585" i="4"/>
  <c r="AX312" i="4"/>
  <c r="AW312" i="4"/>
  <c r="AP312" i="4"/>
  <c r="BU463" i="4"/>
  <c r="AX291" i="4"/>
  <c r="AW291" i="4"/>
  <c r="AP291" i="4"/>
  <c r="AX506" i="4"/>
  <c r="AW506" i="4"/>
  <c r="AP506" i="4"/>
  <c r="BV506" i="4"/>
  <c r="BB409" i="4"/>
  <c r="AS409" i="4"/>
  <c r="AT409" i="4"/>
  <c r="AP413" i="4"/>
  <c r="AW413" i="4"/>
  <c r="AX413" i="4"/>
  <c r="AJ156" i="4"/>
  <c r="BR156" i="4"/>
  <c r="BS156" i="4"/>
  <c r="AR156" i="4"/>
  <c r="AQ156" i="4"/>
  <c r="AJ407" i="4"/>
  <c r="BS407" i="4"/>
  <c r="AQ407" i="4"/>
  <c r="BR407" i="4"/>
  <c r="AR407" i="4"/>
  <c r="BR584" i="4"/>
  <c r="BS584" i="4"/>
  <c r="BU584" i="4"/>
  <c r="AQ584" i="4"/>
  <c r="AR584" i="4"/>
  <c r="BR565" i="4"/>
  <c r="BS565" i="4"/>
  <c r="AR565" i="4"/>
  <c r="AQ565" i="4"/>
  <c r="AR345" i="4"/>
  <c r="BS345" i="4"/>
  <c r="BU345" i="4"/>
  <c r="AQ345" i="4"/>
  <c r="BR345" i="4"/>
  <c r="BS420" i="4"/>
  <c r="BU420" i="4"/>
  <c r="BR420" i="4"/>
  <c r="AQ420" i="4"/>
  <c r="AR420" i="4"/>
  <c r="AJ366" i="4"/>
  <c r="BR366" i="4"/>
  <c r="BS366" i="4"/>
  <c r="AR366" i="4"/>
  <c r="AQ366" i="4"/>
  <c r="AR241" i="4"/>
  <c r="BS241" i="4"/>
  <c r="BU241" i="4"/>
  <c r="BR241" i="4"/>
  <c r="AQ241" i="4"/>
  <c r="BB510" i="4"/>
  <c r="AS510" i="4"/>
  <c r="AT510" i="4"/>
  <c r="BM510" i="4"/>
  <c r="BN510" i="4"/>
  <c r="BC140" i="4"/>
  <c r="BD140" i="4"/>
  <c r="BE140" i="4"/>
  <c r="BH140" i="4"/>
  <c r="BR483" i="4"/>
  <c r="BS483" i="4"/>
  <c r="BU483" i="4"/>
  <c r="AQ483" i="4"/>
  <c r="AR483" i="4"/>
  <c r="BR207" i="4"/>
  <c r="BS207" i="4"/>
  <c r="BU207" i="4"/>
  <c r="AR207" i="4"/>
  <c r="AQ207" i="4"/>
  <c r="BR576" i="4"/>
  <c r="BS576" i="4"/>
  <c r="BU576" i="4"/>
  <c r="AQ576" i="4"/>
  <c r="AR576" i="4"/>
  <c r="BS432" i="4"/>
  <c r="AR432" i="4"/>
  <c r="BR432" i="4"/>
  <c r="AQ432" i="4"/>
  <c r="AJ288" i="4"/>
  <c r="AQ288" i="4"/>
  <c r="AR288" i="4"/>
  <c r="BS288" i="4"/>
  <c r="BR288" i="4"/>
  <c r="BS206" i="4"/>
  <c r="BU206" i="4"/>
  <c r="BR206" i="4"/>
  <c r="AR206" i="4"/>
  <c r="AQ206" i="4"/>
  <c r="AJ432" i="4"/>
  <c r="AR287" i="4"/>
  <c r="BR287" i="4"/>
  <c r="BS287" i="4"/>
  <c r="BU287" i="4"/>
  <c r="AQ287" i="4"/>
  <c r="BR445" i="4"/>
  <c r="BS445" i="4"/>
  <c r="BU445" i="4"/>
  <c r="AQ445" i="4"/>
  <c r="AR445" i="4"/>
  <c r="AJ401" i="4"/>
  <c r="BS401" i="4"/>
  <c r="AR401" i="4"/>
  <c r="AQ401" i="4"/>
  <c r="BR401" i="4"/>
  <c r="AW369" i="4"/>
  <c r="AX369" i="4"/>
  <c r="AP369" i="4"/>
  <c r="AR332" i="4"/>
  <c r="BS332" i="4"/>
  <c r="AQ332" i="4"/>
  <c r="BR332" i="4"/>
  <c r="AR527" i="4"/>
  <c r="AQ527" i="4"/>
  <c r="BS527" i="4"/>
  <c r="BU527" i="4"/>
  <c r="BR527" i="4"/>
  <c r="AQ137" i="4"/>
  <c r="BS137" i="4"/>
  <c r="BU137" i="4"/>
  <c r="BR137" i="4"/>
  <c r="AR137" i="4"/>
  <c r="BS581" i="4"/>
  <c r="BU581" i="4"/>
  <c r="BR581" i="4"/>
  <c r="AQ581" i="4"/>
  <c r="AR581" i="4"/>
  <c r="AR394" i="4"/>
  <c r="AQ394" i="4"/>
  <c r="BR394" i="4"/>
  <c r="BS394" i="4"/>
  <c r="BU394" i="4"/>
  <c r="BV560" i="4"/>
  <c r="AX560" i="4"/>
  <c r="AW560" i="4"/>
  <c r="AP560" i="4"/>
  <c r="AJ328" i="4"/>
  <c r="AQ328" i="4"/>
  <c r="AR328" i="4"/>
  <c r="BR328" i="4"/>
  <c r="BS328" i="4"/>
  <c r="BU328" i="4"/>
  <c r="BS598" i="4"/>
  <c r="BU598" i="4"/>
  <c r="BR598" i="4"/>
  <c r="AR598" i="4"/>
  <c r="AQ598" i="4"/>
  <c r="AW400" i="4"/>
  <c r="AP400" i="4"/>
  <c r="AX400" i="4"/>
  <c r="BR630" i="4"/>
  <c r="AQ630" i="4"/>
  <c r="BS630" i="4"/>
  <c r="BU630" i="4"/>
  <c r="AR630" i="4"/>
  <c r="AX344" i="4"/>
  <c r="AW344" i="4"/>
  <c r="AR259" i="4"/>
  <c r="BR259" i="4"/>
  <c r="BS259" i="4"/>
  <c r="BU259" i="4"/>
  <c r="AQ259" i="4"/>
  <c r="AX462" i="4"/>
  <c r="AW462" i="4"/>
  <c r="AP462" i="4"/>
  <c r="AW525" i="4"/>
  <c r="AX525" i="4"/>
  <c r="AP525" i="4"/>
  <c r="BV525" i="4"/>
  <c r="BB128" i="4"/>
  <c r="AS128" i="4"/>
  <c r="AT128" i="4"/>
  <c r="AS388" i="4"/>
  <c r="AT388" i="4"/>
  <c r="BA479" i="4"/>
  <c r="BQ479" i="4"/>
  <c r="AY479" i="4"/>
  <c r="BU339" i="4"/>
  <c r="BB623" i="4"/>
  <c r="AS623" i="4"/>
  <c r="AT623" i="4"/>
  <c r="AX375" i="4"/>
  <c r="AW375" i="4"/>
  <c r="AP375" i="4"/>
  <c r="BB417" i="4"/>
  <c r="AS417" i="4"/>
  <c r="AT417" i="4"/>
  <c r="AJ216" i="4"/>
  <c r="BB648" i="4"/>
  <c r="AS648" i="4"/>
  <c r="AT648" i="4"/>
  <c r="BB387" i="4"/>
  <c r="AS387" i="4"/>
  <c r="AT387" i="4"/>
  <c r="BU320" i="4"/>
  <c r="AW433" i="4"/>
  <c r="AX433" i="4"/>
  <c r="AP433" i="4"/>
  <c r="BB270" i="4"/>
  <c r="AS270" i="4"/>
  <c r="AT270" i="4"/>
  <c r="BM270" i="4"/>
  <c r="BN270" i="4"/>
  <c r="BA191" i="4"/>
  <c r="BQ191" i="4"/>
  <c r="AY191" i="4"/>
  <c r="BB324" i="4"/>
  <c r="AS324" i="4"/>
  <c r="AT324" i="4"/>
  <c r="BB562" i="4"/>
  <c r="BB539" i="4"/>
  <c r="AS539" i="4"/>
  <c r="AT539" i="4"/>
  <c r="AW163" i="4"/>
  <c r="AX163" i="4"/>
  <c r="AP163" i="4"/>
  <c r="BB529" i="4"/>
  <c r="AS529" i="4"/>
  <c r="AT529" i="4"/>
  <c r="AX631" i="4"/>
  <c r="AW631" i="4"/>
  <c r="AP631" i="4"/>
  <c r="BM221" i="4"/>
  <c r="BN221" i="4"/>
  <c r="AQ283" i="4"/>
  <c r="BS283" i="4"/>
  <c r="BR283" i="4"/>
  <c r="AR283" i="4"/>
  <c r="BB167" i="4"/>
  <c r="AS167" i="4"/>
  <c r="AT167" i="4"/>
  <c r="BH538" i="4"/>
  <c r="BC538" i="4"/>
  <c r="BB638" i="4"/>
  <c r="AS638" i="4"/>
  <c r="AT638" i="4"/>
  <c r="AW320" i="4"/>
  <c r="AX320" i="4"/>
  <c r="AP320" i="4"/>
  <c r="AW142" i="4"/>
  <c r="AP142" i="4"/>
  <c r="AX142" i="4"/>
  <c r="BB484" i="4"/>
  <c r="AS625" i="4"/>
  <c r="AT625" i="4"/>
  <c r="BB625" i="4"/>
  <c r="AS659" i="4"/>
  <c r="AT659" i="4"/>
  <c r="BB659" i="4"/>
  <c r="AX175" i="4"/>
  <c r="AP175" i="4"/>
  <c r="AW175" i="4"/>
  <c r="AX571" i="4"/>
  <c r="AW571" i="4"/>
  <c r="AP571" i="4"/>
  <c r="AX160" i="4"/>
  <c r="AW160" i="4"/>
  <c r="AP160" i="4"/>
  <c r="BC336" i="4"/>
  <c r="BD336" i="4"/>
  <c r="BE336" i="4"/>
  <c r="BH336" i="4"/>
  <c r="AQ499" i="4"/>
  <c r="BS499" i="4"/>
  <c r="AR499" i="4"/>
  <c r="BR499" i="4"/>
  <c r="AS443" i="4"/>
  <c r="AT443" i="4"/>
  <c r="BB443" i="4"/>
  <c r="AW443" i="4"/>
  <c r="AP443" i="4"/>
  <c r="AX443" i="4"/>
  <c r="AY517" i="4"/>
  <c r="BA517" i="4"/>
  <c r="BQ517" i="4"/>
  <c r="AJ237" i="4"/>
  <c r="BR246" i="4"/>
  <c r="BS246" i="4"/>
  <c r="BU246" i="4"/>
  <c r="AQ246" i="4"/>
  <c r="AR246" i="4"/>
  <c r="BH585" i="4"/>
  <c r="BC585" i="4"/>
  <c r="BS276" i="4"/>
  <c r="BR276" i="4"/>
  <c r="AQ276" i="4"/>
  <c r="AR276" i="4"/>
  <c r="AX210" i="4"/>
  <c r="AW210" i="4"/>
  <c r="AP210" i="4"/>
  <c r="AW199" i="4"/>
  <c r="AX199" i="4"/>
  <c r="AP199" i="4"/>
  <c r="AQ254" i="4"/>
  <c r="AR254" i="4"/>
  <c r="BS254" i="4"/>
  <c r="BU254" i="4"/>
  <c r="BR254" i="4"/>
  <c r="AS515" i="4"/>
  <c r="AT515" i="4"/>
  <c r="BB515" i="4"/>
  <c r="BS524" i="4"/>
  <c r="BU524" i="4"/>
  <c r="BR524" i="4"/>
  <c r="AR524" i="4"/>
  <c r="AQ524" i="4"/>
  <c r="AP309" i="4"/>
  <c r="AW309" i="4"/>
  <c r="AX309" i="4"/>
  <c r="BU519" i="4"/>
  <c r="AW368" i="4"/>
  <c r="AX368" i="4"/>
  <c r="AP368" i="4"/>
  <c r="BV309" i="4"/>
  <c r="AX650" i="4"/>
  <c r="AP650" i="4"/>
  <c r="AW650" i="4"/>
  <c r="AQ373" i="4"/>
  <c r="BR373" i="4"/>
  <c r="BS373" i="4"/>
  <c r="BU373" i="4"/>
  <c r="AR373" i="4"/>
  <c r="AP243" i="4"/>
  <c r="AX243" i="4"/>
  <c r="AW243" i="4"/>
  <c r="AX606" i="4"/>
  <c r="AW606" i="4"/>
  <c r="AP606" i="4"/>
  <c r="AX157" i="4"/>
  <c r="AP157" i="4"/>
  <c r="AW157" i="4"/>
  <c r="AP272" i="4"/>
  <c r="AX272" i="4"/>
  <c r="AW272" i="4"/>
  <c r="AR434" i="4"/>
  <c r="BR434" i="4"/>
  <c r="BS434" i="4"/>
  <c r="BU434" i="4"/>
  <c r="AQ434" i="4"/>
  <c r="BR180" i="4"/>
  <c r="BS180" i="4"/>
  <c r="BU180" i="4"/>
  <c r="AR180" i="4"/>
  <c r="AQ180" i="4"/>
  <c r="BU226" i="4"/>
  <c r="AY260" i="4"/>
  <c r="BA260" i="4"/>
  <c r="BQ260" i="4"/>
  <c r="AP602" i="4"/>
  <c r="BV602" i="4"/>
  <c r="AW602" i="4"/>
  <c r="AX602" i="4"/>
  <c r="BV523" i="4"/>
  <c r="AW523" i="4"/>
  <c r="AX523" i="4"/>
  <c r="AP523" i="4"/>
  <c r="AS592" i="4"/>
  <c r="AT592" i="4"/>
  <c r="BB592" i="4"/>
  <c r="AW544" i="4"/>
  <c r="AX544" i="4"/>
  <c r="AP544" i="4"/>
  <c r="AQ262" i="4"/>
  <c r="BR262" i="4"/>
  <c r="BS262" i="4"/>
  <c r="BU262" i="4"/>
  <c r="AR262" i="4"/>
  <c r="BU414" i="4"/>
  <c r="AR492" i="4"/>
  <c r="BS492" i="4"/>
  <c r="BR492" i="4"/>
  <c r="AQ492" i="4"/>
  <c r="AX229" i="4"/>
  <c r="AW229" i="4"/>
  <c r="AP229" i="4"/>
  <c r="AW333" i="4"/>
  <c r="AX333" i="4"/>
  <c r="AP333" i="4"/>
  <c r="AX382" i="4"/>
  <c r="AP382" i="4"/>
  <c r="AW382" i="4"/>
  <c r="BS531" i="4"/>
  <c r="BU531" i="4"/>
  <c r="BR531" i="4"/>
  <c r="AR531" i="4"/>
  <c r="AQ531" i="4"/>
  <c r="AX649" i="4"/>
  <c r="AW649" i="4"/>
  <c r="AP649" i="4"/>
  <c r="BB465" i="4"/>
  <c r="AS465" i="4"/>
  <c r="AT465" i="4"/>
  <c r="BB266" i="4"/>
  <c r="AS266" i="4"/>
  <c r="AT266" i="4"/>
  <c r="AX557" i="4"/>
  <c r="AW557" i="4"/>
  <c r="AP557" i="4"/>
  <c r="BM557" i="4"/>
  <c r="BN557" i="4"/>
  <c r="BS291" i="4"/>
  <c r="BU291" i="4"/>
  <c r="BR291" i="4"/>
  <c r="AQ291" i="4"/>
  <c r="AR291" i="4"/>
  <c r="AR506" i="4"/>
  <c r="BR506" i="4"/>
  <c r="AQ506" i="4"/>
  <c r="BS506" i="4"/>
  <c r="BU506" i="4"/>
  <c r="BB498" i="4"/>
  <c r="AS498" i="4"/>
  <c r="AT498" i="4"/>
  <c r="BV258" i="4"/>
  <c r="AX258" i="4"/>
  <c r="AW258" i="4"/>
  <c r="AP258" i="4"/>
  <c r="AS467" i="4"/>
  <c r="AT467" i="4"/>
  <c r="BB467" i="4"/>
  <c r="AP311" i="4"/>
  <c r="AW311" i="4"/>
  <c r="AX311" i="4"/>
  <c r="BV180" i="4"/>
  <c r="AJ642" i="4"/>
  <c r="BS642" i="4"/>
  <c r="AQ642" i="4"/>
  <c r="BR642" i="4"/>
  <c r="AR642" i="4"/>
  <c r="AR549" i="4"/>
  <c r="BR549" i="4"/>
  <c r="AQ549" i="4"/>
  <c r="BS549" i="4"/>
  <c r="BU549" i="4"/>
  <c r="AJ565" i="4"/>
  <c r="BS312" i="4"/>
  <c r="BU312" i="4"/>
  <c r="AR312" i="4"/>
  <c r="BR312" i="4"/>
  <c r="AQ312" i="4"/>
  <c r="AQ586" i="4"/>
  <c r="AR586" i="4"/>
  <c r="BR586" i="4"/>
  <c r="BS586" i="4"/>
  <c r="BU586" i="4"/>
  <c r="BV585" i="4"/>
  <c r="AX206" i="4"/>
  <c r="AP206" i="4"/>
  <c r="AW206" i="4"/>
  <c r="BR502" i="4"/>
  <c r="BS502" i="4"/>
  <c r="BU502" i="4"/>
  <c r="AR502" i="4"/>
  <c r="AQ502" i="4"/>
  <c r="BR316" i="4"/>
  <c r="BS316" i="4"/>
  <c r="AJ316" i="4"/>
  <c r="AQ316" i="4"/>
  <c r="AR316" i="4"/>
  <c r="AJ329" i="4"/>
  <c r="BS329" i="4"/>
  <c r="BR329" i="4"/>
  <c r="AR329" i="4"/>
  <c r="AQ329" i="4"/>
  <c r="BB326" i="4"/>
  <c r="AS326" i="4"/>
  <c r="AT326" i="4"/>
  <c r="AX133" i="4"/>
  <c r="AW133" i="4"/>
  <c r="AP133" i="4"/>
  <c r="BV551" i="4"/>
  <c r="BB426" i="4"/>
  <c r="AS426" i="4"/>
  <c r="AT426" i="4"/>
  <c r="AJ218" i="4"/>
  <c r="AQ218" i="4"/>
  <c r="BS218" i="4"/>
  <c r="BR218" i="4"/>
  <c r="AR218" i="4"/>
  <c r="AX341" i="4"/>
  <c r="AW341" i="4"/>
  <c r="AP341" i="4"/>
  <c r="BS199" i="4"/>
  <c r="BU199" i="4"/>
  <c r="BR199" i="4"/>
  <c r="AQ199" i="4"/>
  <c r="AR199" i="4"/>
  <c r="BV142" i="4"/>
  <c r="BV312" i="4"/>
  <c r="AW658" i="4"/>
  <c r="AX658" i="4"/>
  <c r="AP658" i="4"/>
  <c r="AR369" i="4"/>
  <c r="BR369" i="4"/>
  <c r="BS369" i="4"/>
  <c r="BU369" i="4"/>
  <c r="AQ369" i="4"/>
  <c r="AY230" i="4"/>
  <c r="BA230" i="4"/>
  <c r="BQ230" i="4"/>
  <c r="BU649" i="4"/>
  <c r="AX416" i="4"/>
  <c r="AP416" i="4"/>
  <c r="AW416" i="4"/>
  <c r="AJ332" i="4"/>
  <c r="AP169" i="4"/>
  <c r="AW169" i="4"/>
  <c r="AX169" i="4"/>
  <c r="BV169" i="4"/>
  <c r="AW429" i="4"/>
  <c r="AX429" i="4"/>
  <c r="AP429" i="4"/>
  <c r="BV333" i="4"/>
  <c r="AX562" i="4"/>
  <c r="AW562" i="4"/>
  <c r="AP562" i="4"/>
  <c r="BM562" i="4"/>
  <c r="BN562" i="4"/>
  <c r="AP131" i="4"/>
  <c r="BV131" i="4"/>
  <c r="AW131" i="4"/>
  <c r="AX131" i="4"/>
  <c r="BA538" i="4"/>
  <c r="BQ538" i="4"/>
  <c r="AY538" i="4"/>
  <c r="BR400" i="4"/>
  <c r="AQ400" i="4"/>
  <c r="BS400" i="4"/>
  <c r="BU400" i="4"/>
  <c r="AR400" i="4"/>
  <c r="AX377" i="4"/>
  <c r="AW377" i="4"/>
  <c r="AP377" i="4"/>
  <c r="BU151" i="4"/>
  <c r="AS560" i="4"/>
  <c r="AT560" i="4"/>
  <c r="AX132" i="4"/>
  <c r="AW132" i="4"/>
  <c r="AP132" i="4"/>
  <c r="BB356" i="4"/>
  <c r="AS356" i="4"/>
  <c r="AT356" i="4"/>
  <c r="BS462" i="4"/>
  <c r="BU462" i="4"/>
  <c r="BR462" i="4"/>
  <c r="AQ462" i="4"/>
  <c r="AR462" i="4"/>
  <c r="AW358" i="4"/>
  <c r="AX358" i="4"/>
  <c r="AP358" i="4"/>
  <c r="BU388" i="4"/>
  <c r="BU623" i="4"/>
  <c r="AQ375" i="4"/>
  <c r="AR375" i="4"/>
  <c r="BR375" i="4"/>
  <c r="BS375" i="4"/>
  <c r="BU375" i="4"/>
  <c r="AX357" i="4"/>
  <c r="AW357" i="4"/>
  <c r="AP357" i="4"/>
  <c r="BV357" i="4"/>
  <c r="AX648" i="4"/>
  <c r="AW648" i="4"/>
  <c r="AP648" i="4"/>
  <c r="AP387" i="4"/>
  <c r="AW387" i="4"/>
  <c r="AX387" i="4"/>
  <c r="BV387" i="4"/>
  <c r="BB453" i="4"/>
  <c r="AS453" i="4"/>
  <c r="AT453" i="4"/>
  <c r="AW147" i="4"/>
  <c r="BV147" i="4"/>
  <c r="AX147" i="4"/>
  <c r="AP147" i="4"/>
  <c r="BM147" i="4"/>
  <c r="BN147" i="4"/>
  <c r="AX159" i="4"/>
  <c r="AW159" i="4"/>
  <c r="AP159" i="4"/>
  <c r="AW460" i="4"/>
  <c r="AX460" i="4"/>
  <c r="AP460" i="4"/>
  <c r="AS319" i="4"/>
  <c r="AT319" i="4"/>
  <c r="BB319" i="4"/>
  <c r="BU214" i="4"/>
  <c r="BB173" i="4"/>
  <c r="AS173" i="4"/>
  <c r="AT173" i="4"/>
  <c r="BB594" i="4"/>
  <c r="AS594" i="4"/>
  <c r="AT594" i="4"/>
  <c r="BB591" i="4"/>
  <c r="AS591" i="4"/>
  <c r="AT591" i="4"/>
  <c r="AX637" i="4"/>
  <c r="AW637" i="4"/>
  <c r="AP637" i="4"/>
  <c r="AP442" i="4"/>
  <c r="AW442" i="4"/>
  <c r="AX442" i="4"/>
  <c r="AX277" i="4"/>
  <c r="AP277" i="4"/>
  <c r="AW277" i="4"/>
  <c r="AJ283" i="4"/>
  <c r="BU551" i="4"/>
  <c r="BU167" i="4"/>
  <c r="BB267" i="4"/>
  <c r="AS267" i="4"/>
  <c r="AT267" i="4"/>
  <c r="BM267" i="4"/>
  <c r="BN267" i="4"/>
  <c r="AY134" i="4"/>
  <c r="BA134" i="4"/>
  <c r="BQ134" i="4"/>
  <c r="BV277" i="4"/>
  <c r="BB344" i="4"/>
  <c r="BU239" i="4"/>
  <c r="AX239" i="4"/>
  <c r="AW239" i="4"/>
  <c r="AP239" i="4"/>
  <c r="BM239" i="4"/>
  <c r="BN239" i="4"/>
  <c r="BS142" i="4"/>
  <c r="BU142" i="4"/>
  <c r="BR142" i="4"/>
  <c r="AR142" i="4"/>
  <c r="AQ142" i="4"/>
  <c r="BB571" i="4"/>
  <c r="AS571" i="4"/>
  <c r="AT571" i="4"/>
  <c r="BV426" i="4"/>
  <c r="AX426" i="4"/>
  <c r="AP426" i="4"/>
  <c r="BM426" i="4"/>
  <c r="BN426" i="4"/>
  <c r="AW426" i="4"/>
  <c r="AW379" i="4"/>
  <c r="AP379" i="4"/>
  <c r="AX379" i="4"/>
  <c r="BR160" i="4"/>
  <c r="AQ160" i="4"/>
  <c r="AR160" i="4"/>
  <c r="BS160" i="4"/>
  <c r="BU160" i="4"/>
  <c r="BU543" i="4"/>
  <c r="AX293" i="4"/>
  <c r="AW293" i="4"/>
  <c r="AP293" i="4"/>
  <c r="AW470" i="4"/>
  <c r="AP470" i="4"/>
  <c r="BM470" i="4"/>
  <c r="BN470" i="4"/>
  <c r="AX470" i="4"/>
  <c r="AS379" i="4"/>
  <c r="AT379" i="4"/>
  <c r="BB379" i="4"/>
  <c r="BB481" i="4"/>
  <c r="AS481" i="4"/>
  <c r="AT481" i="4"/>
  <c r="BM517" i="4"/>
  <c r="BN517" i="4"/>
  <c r="BR486" i="4"/>
  <c r="BS486" i="4"/>
  <c r="BU486" i="4"/>
  <c r="AR486" i="4"/>
  <c r="AQ486" i="4"/>
  <c r="BU323" i="4"/>
  <c r="BU374" i="4"/>
  <c r="AX310" i="4"/>
  <c r="BV310" i="4"/>
  <c r="AW310" i="4"/>
  <c r="AP310" i="4"/>
  <c r="AJ276" i="4"/>
  <c r="BR210" i="4"/>
  <c r="BS210" i="4"/>
  <c r="BU210" i="4"/>
  <c r="AR210" i="4"/>
  <c r="AQ210" i="4"/>
  <c r="AQ309" i="4"/>
  <c r="BS309" i="4"/>
  <c r="BU309" i="4"/>
  <c r="BR309" i="4"/>
  <c r="AR309" i="4"/>
  <c r="BR368" i="4"/>
  <c r="BS368" i="4"/>
  <c r="BU368" i="4"/>
  <c r="AR368" i="4"/>
  <c r="AQ368" i="4"/>
  <c r="BB217" i="4"/>
  <c r="AS217" i="4"/>
  <c r="AT217" i="4"/>
  <c r="BS650" i="4"/>
  <c r="BU650" i="4"/>
  <c r="BR650" i="4"/>
  <c r="AQ650" i="4"/>
  <c r="AR650" i="4"/>
  <c r="BB479" i="4"/>
  <c r="AS479" i="4"/>
  <c r="AT479" i="4"/>
  <c r="BM479" i="4"/>
  <c r="BN479" i="4"/>
  <c r="BB606" i="4"/>
  <c r="AS606" i="4"/>
  <c r="AT606" i="4"/>
  <c r="AR425" i="4"/>
  <c r="BR425" i="4"/>
  <c r="BS425" i="4"/>
  <c r="AQ425" i="4"/>
  <c r="BR157" i="4"/>
  <c r="AR157" i="4"/>
  <c r="BS157" i="4"/>
  <c r="BU157" i="4"/>
  <c r="AQ157" i="4"/>
  <c r="AR272" i="4"/>
  <c r="BR272" i="4"/>
  <c r="BS272" i="4"/>
  <c r="BU272" i="4"/>
  <c r="AQ272" i="4"/>
  <c r="AW383" i="4"/>
  <c r="AX383" i="4"/>
  <c r="AP383" i="4"/>
  <c r="BH295" i="4"/>
  <c r="BC295" i="4"/>
  <c r="BD295" i="4"/>
  <c r="BE295" i="4"/>
  <c r="BS602" i="4"/>
  <c r="BU602" i="4"/>
  <c r="BR602" i="4"/>
  <c r="AR602" i="4"/>
  <c r="AQ602" i="4"/>
  <c r="AQ523" i="4"/>
  <c r="AR523" i="4"/>
  <c r="BS523" i="4"/>
  <c r="BU523" i="4"/>
  <c r="BR523" i="4"/>
  <c r="BB392" i="4"/>
  <c r="AS392" i="4"/>
  <c r="AT392" i="4"/>
  <c r="BM392" i="4"/>
  <c r="BN392" i="4"/>
  <c r="BR544" i="4"/>
  <c r="BS544" i="4"/>
  <c r="BU544" i="4"/>
  <c r="AQ544" i="4"/>
  <c r="AR544" i="4"/>
  <c r="BV448" i="4"/>
  <c r="AJ492" i="4"/>
  <c r="BS229" i="4"/>
  <c r="BU229" i="4"/>
  <c r="BR229" i="4"/>
  <c r="AR229" i="4"/>
  <c r="AQ229" i="4"/>
  <c r="BS333" i="4"/>
  <c r="BU333" i="4"/>
  <c r="BR333" i="4"/>
  <c r="AR333" i="4"/>
  <c r="AQ333" i="4"/>
  <c r="BR363" i="4"/>
  <c r="BS363" i="4"/>
  <c r="AR363" i="4"/>
  <c r="AQ363" i="4"/>
  <c r="BU465" i="4"/>
  <c r="AW266" i="4"/>
  <c r="AX266" i="4"/>
  <c r="AP266" i="4"/>
  <c r="BM266" i="4"/>
  <c r="BN266" i="4"/>
  <c r="BB514" i="4"/>
  <c r="AS514" i="4"/>
  <c r="AT514" i="4"/>
  <c r="BH533" i="4"/>
  <c r="BC533" i="4"/>
  <c r="BD533" i="4"/>
  <c r="BE533" i="4"/>
  <c r="BU409" i="4"/>
  <c r="AP388" i="4"/>
  <c r="AW388" i="4"/>
  <c r="AX388" i="4"/>
  <c r="AY306" i="4"/>
  <c r="BA306" i="4"/>
  <c r="BQ306" i="4"/>
  <c r="BB413" i="4"/>
  <c r="AS413" i="4"/>
  <c r="AT413" i="4"/>
  <c r="AQ258" i="4"/>
  <c r="BS258" i="4"/>
  <c r="BU258" i="4"/>
  <c r="AR258" i="4"/>
  <c r="BR258" i="4"/>
  <c r="BS605" i="4"/>
  <c r="BU605" i="4"/>
  <c r="BR605" i="4"/>
  <c r="AR605" i="4"/>
  <c r="AQ605" i="4"/>
  <c r="AJ318" i="4"/>
  <c r="BR318" i="4"/>
  <c r="BS318" i="4"/>
  <c r="AQ318" i="4"/>
  <c r="AR318" i="4"/>
  <c r="AJ499" i="4"/>
  <c r="BU426" i="4"/>
  <c r="AJ593" i="4"/>
  <c r="BS593" i="4"/>
  <c r="AQ593" i="4"/>
  <c r="AR593" i="4"/>
  <c r="BR593" i="4"/>
  <c r="BR341" i="4"/>
  <c r="BS341" i="4"/>
  <c r="BU341" i="4"/>
  <c r="AR341" i="4"/>
  <c r="AQ341" i="4"/>
  <c r="BU397" i="4"/>
  <c r="BS658" i="4"/>
  <c r="BU658" i="4"/>
  <c r="BR658" i="4"/>
  <c r="AQ658" i="4"/>
  <c r="AR658" i="4"/>
  <c r="BM616" i="4"/>
  <c r="BN616" i="4"/>
  <c r="BM336" i="4"/>
  <c r="BN336" i="4"/>
  <c r="BB317" i="4"/>
  <c r="AS317" i="4"/>
  <c r="AT317" i="4"/>
  <c r="BU313" i="4"/>
  <c r="AW473" i="4"/>
  <c r="AX473" i="4"/>
  <c r="AP473" i="4"/>
  <c r="BM473" i="4"/>
  <c r="BN473" i="4"/>
  <c r="BS169" i="4"/>
  <c r="BU169" i="4"/>
  <c r="AQ169" i="4"/>
  <c r="AR169" i="4"/>
  <c r="BR169" i="4"/>
  <c r="AW621" i="4"/>
  <c r="AX621" i="4"/>
  <c r="AP621" i="4"/>
  <c r="BM621" i="4"/>
  <c r="BN621" i="4"/>
  <c r="AJ252" i="4"/>
  <c r="BR252" i="4"/>
  <c r="BS252" i="4"/>
  <c r="AR252" i="4"/>
  <c r="AQ252" i="4"/>
  <c r="BV177" i="4"/>
  <c r="BU560" i="4"/>
  <c r="AR131" i="4"/>
  <c r="BR131" i="4"/>
  <c r="AQ131" i="4"/>
  <c r="BS131" i="4"/>
  <c r="BU131" i="4"/>
  <c r="AJ204" i="4"/>
  <c r="BS204" i="4"/>
  <c r="AR204" i="4"/>
  <c r="AQ204" i="4"/>
  <c r="BR204" i="4"/>
  <c r="BC153" i="4"/>
  <c r="BD153" i="4"/>
  <c r="BE153" i="4"/>
  <c r="BH153" i="4"/>
  <c r="AX257" i="4"/>
  <c r="AW257" i="4"/>
  <c r="AP257" i="4"/>
  <c r="BU344" i="4"/>
  <c r="AX356" i="4"/>
  <c r="AW356" i="4"/>
  <c r="AP356" i="4"/>
  <c r="AY268" i="4"/>
  <c r="BA268" i="4"/>
  <c r="BQ268" i="4"/>
  <c r="BS244" i="4"/>
  <c r="BU244" i="4"/>
  <c r="AQ244" i="4"/>
  <c r="AR244" i="4"/>
  <c r="BR244" i="4"/>
  <c r="BV297" i="4"/>
  <c r="AP297" i="4"/>
  <c r="AX297" i="4"/>
  <c r="AW297" i="4"/>
  <c r="AY380" i="4"/>
  <c r="BA380" i="4"/>
  <c r="BQ380" i="4"/>
  <c r="BV443" i="4"/>
  <c r="BS357" i="4"/>
  <c r="BU357" i="4"/>
  <c r="AR357" i="4"/>
  <c r="AQ357" i="4"/>
  <c r="BR357" i="4"/>
  <c r="AX512" i="4"/>
  <c r="AW512" i="4"/>
  <c r="AP512" i="4"/>
  <c r="BB152" i="4"/>
  <c r="AS152" i="4"/>
  <c r="AT152" i="4"/>
  <c r="AW227" i="4"/>
  <c r="AX227" i="4"/>
  <c r="AP227" i="4"/>
  <c r="AR195" i="4"/>
  <c r="AQ195" i="4"/>
  <c r="BS195" i="4"/>
  <c r="BU195" i="4"/>
  <c r="BR195" i="4"/>
  <c r="BV453" i="4"/>
  <c r="AW453" i="4"/>
  <c r="AX453" i="4"/>
  <c r="AP453" i="4"/>
  <c r="BU147" i="4"/>
  <c r="BS159" i="4"/>
  <c r="BU159" i="4"/>
  <c r="BR159" i="4"/>
  <c r="AR159" i="4"/>
  <c r="AQ159" i="4"/>
  <c r="BR460" i="4"/>
  <c r="BS460" i="4"/>
  <c r="BU460" i="4"/>
  <c r="AQ460" i="4"/>
  <c r="AR460" i="4"/>
  <c r="BU433" i="4"/>
  <c r="BV265" i="4"/>
  <c r="AX265" i="4"/>
  <c r="AP265" i="4"/>
  <c r="AW265" i="4"/>
  <c r="BU319" i="4"/>
  <c r="BB469" i="4"/>
  <c r="AS469" i="4"/>
  <c r="AT469" i="4"/>
  <c r="BU270" i="4"/>
  <c r="AX507" i="4"/>
  <c r="AW507" i="4"/>
  <c r="AP507" i="4"/>
  <c r="BM507" i="4"/>
  <c r="BN507" i="4"/>
  <c r="AJ504" i="4"/>
  <c r="AQ504" i="4"/>
  <c r="AR504" i="4"/>
  <c r="BR504" i="4"/>
  <c r="BS504" i="4"/>
  <c r="BU504" i="4"/>
  <c r="BV498" i="4"/>
  <c r="BU591" i="4"/>
  <c r="AW127" i="4"/>
  <c r="AX127" i="4"/>
  <c r="AP127" i="4"/>
  <c r="BV127" i="4"/>
  <c r="BB487" i="4"/>
  <c r="AS487" i="4"/>
  <c r="AT487" i="4"/>
  <c r="BB637" i="4"/>
  <c r="AS637" i="4"/>
  <c r="AT637" i="4"/>
  <c r="BH473" i="4"/>
  <c r="BC473" i="4"/>
  <c r="BD473" i="4"/>
  <c r="BE473" i="4"/>
  <c r="AQ442" i="4"/>
  <c r="BR442" i="4"/>
  <c r="BS442" i="4"/>
  <c r="BU442" i="4"/>
  <c r="AR442" i="4"/>
  <c r="BB631" i="4"/>
  <c r="AS631" i="4"/>
  <c r="AT631" i="4"/>
  <c r="BU208" i="4"/>
  <c r="AW619" i="4"/>
  <c r="AX619" i="4"/>
  <c r="AP619" i="4"/>
  <c r="AX654" i="4"/>
  <c r="AW654" i="4"/>
  <c r="AP654" i="4"/>
  <c r="AX613" i="4"/>
  <c r="AP613" i="4"/>
  <c r="AW613" i="4"/>
  <c r="BV613" i="4"/>
  <c r="AW264" i="4"/>
  <c r="AX264" i="4"/>
  <c r="AP264" i="4"/>
  <c r="AJ451" i="4"/>
  <c r="BS451" i="4"/>
  <c r="BR451" i="4"/>
  <c r="AR451" i="4"/>
  <c r="AQ451" i="4"/>
  <c r="BB528" i="4"/>
  <c r="AS528" i="4"/>
  <c r="AT528" i="4"/>
  <c r="BV302" i="4"/>
  <c r="AX302" i="4"/>
  <c r="AW302" i="4"/>
  <c r="AP302" i="4"/>
  <c r="AX130" i="4"/>
  <c r="AP130" i="4"/>
  <c r="AW130" i="4"/>
  <c r="BR405" i="4"/>
  <c r="BS405" i="4"/>
  <c r="BU405" i="4"/>
  <c r="AR405" i="4"/>
  <c r="AQ405" i="4"/>
  <c r="BR435" i="4"/>
  <c r="BS435" i="4"/>
  <c r="BU435" i="4"/>
  <c r="AR435" i="4"/>
  <c r="AQ435" i="4"/>
  <c r="AW484" i="4"/>
  <c r="AX484" i="4"/>
  <c r="AP484" i="4"/>
  <c r="BM484" i="4"/>
  <c r="BN484" i="4"/>
  <c r="BR255" i="4"/>
  <c r="BS255" i="4"/>
  <c r="BU255" i="4"/>
  <c r="AR255" i="4"/>
  <c r="AQ255" i="4"/>
  <c r="BU349" i="4"/>
  <c r="AQ303" i="4"/>
  <c r="BS303" i="4"/>
  <c r="BU303" i="4"/>
  <c r="BR303" i="4"/>
  <c r="AR303" i="4"/>
  <c r="AQ589" i="4"/>
  <c r="BR589" i="4"/>
  <c r="AR589" i="4"/>
  <c r="BS589" i="4"/>
  <c r="BU589" i="4"/>
  <c r="BV339" i="4"/>
  <c r="AW339" i="4"/>
  <c r="AX339" i="4"/>
  <c r="AP339" i="4"/>
  <c r="AW543" i="4"/>
  <c r="AX543" i="4"/>
  <c r="AP543" i="4"/>
  <c r="BM543" i="4"/>
  <c r="BN543" i="4"/>
  <c r="AX600" i="4"/>
  <c r="AW600" i="4"/>
  <c r="AP600" i="4"/>
  <c r="BM600" i="4"/>
  <c r="BN600" i="4"/>
  <c r="BS597" i="4"/>
  <c r="BU597" i="4"/>
  <c r="BR597" i="4"/>
  <c r="AR597" i="4"/>
  <c r="AQ597" i="4"/>
  <c r="AJ655" i="4"/>
  <c r="BS655" i="4"/>
  <c r="BR655" i="4"/>
  <c r="AR655" i="4"/>
  <c r="AQ655" i="4"/>
  <c r="AX486" i="4"/>
  <c r="AP486" i="4"/>
  <c r="AW486" i="4"/>
  <c r="AR370" i="4"/>
  <c r="BS370" i="4"/>
  <c r="BU370" i="4"/>
  <c r="BR370" i="4"/>
  <c r="AQ370" i="4"/>
  <c r="AJ493" i="4"/>
  <c r="AR493" i="4"/>
  <c r="AQ493" i="4"/>
  <c r="BR493" i="4"/>
  <c r="BS493" i="4"/>
  <c r="BB374" i="4"/>
  <c r="AS374" i="4"/>
  <c r="AT374" i="4"/>
  <c r="AQ614" i="4"/>
  <c r="BS614" i="4"/>
  <c r="BU614" i="4"/>
  <c r="AR614" i="4"/>
  <c r="BR614" i="4"/>
  <c r="BR496" i="4"/>
  <c r="BS496" i="4"/>
  <c r="BU496" i="4"/>
  <c r="AQ496" i="4"/>
  <c r="AR496" i="4"/>
  <c r="BH191" i="4"/>
  <c r="BC191" i="4"/>
  <c r="BD191" i="4"/>
  <c r="BE191" i="4"/>
  <c r="AX519" i="4"/>
  <c r="AW519" i="4"/>
  <c r="AP519" i="4"/>
  <c r="AX591" i="4"/>
  <c r="AW591" i="4"/>
  <c r="AP591" i="4"/>
  <c r="AX350" i="4"/>
  <c r="AP350" i="4"/>
  <c r="AW350" i="4"/>
  <c r="AS534" i="4"/>
  <c r="AT534" i="4"/>
  <c r="BM534" i="4"/>
  <c r="BN534" i="4"/>
  <c r="BB534" i="4"/>
  <c r="AP397" i="4"/>
  <c r="BM397" i="4"/>
  <c r="BN397" i="4"/>
  <c r="AW397" i="4"/>
  <c r="AX397" i="4"/>
  <c r="AJ604" i="4"/>
  <c r="BS604" i="4"/>
  <c r="AQ604" i="4"/>
  <c r="AR604" i="4"/>
  <c r="BR604" i="4"/>
  <c r="BV367" i="4"/>
  <c r="AX592" i="4"/>
  <c r="AP592" i="4"/>
  <c r="AW592" i="4"/>
  <c r="BV470" i="4"/>
  <c r="AP414" i="4"/>
  <c r="AX414" i="4"/>
  <c r="AW414" i="4"/>
  <c r="BR289" i="4"/>
  <c r="BS289" i="4"/>
  <c r="AQ289" i="4"/>
  <c r="AR289" i="4"/>
  <c r="AS570" i="4"/>
  <c r="AT570" i="4"/>
  <c r="BB570" i="4"/>
  <c r="BS652" i="4"/>
  <c r="BU652" i="4"/>
  <c r="BR652" i="4"/>
  <c r="AR652" i="4"/>
  <c r="AQ652" i="4"/>
  <c r="BS490" i="4"/>
  <c r="BU490" i="4"/>
  <c r="BR490" i="4"/>
  <c r="AR490" i="4"/>
  <c r="AQ490" i="4"/>
  <c r="BB463" i="4"/>
  <c r="AS463" i="4"/>
  <c r="AT463" i="4"/>
  <c r="BB192" i="4"/>
  <c r="AS192" i="4"/>
  <c r="AT192" i="4"/>
  <c r="AJ425" i="4"/>
  <c r="AJ289" i="4"/>
  <c r="BU498" i="4"/>
  <c r="AW458" i="4"/>
  <c r="AX458" i="4"/>
  <c r="AP458" i="4"/>
  <c r="AQ521" i="4"/>
  <c r="AR521" i="4"/>
  <c r="BR521" i="4"/>
  <c r="BS521" i="4"/>
  <c r="BU521" i="4"/>
  <c r="BS280" i="4"/>
  <c r="BU280" i="4"/>
  <c r="BR280" i="4"/>
  <c r="AQ280" i="4"/>
  <c r="AR280" i="4"/>
  <c r="AX530" i="4"/>
  <c r="AW530" i="4"/>
  <c r="AP530" i="4"/>
  <c r="BM530" i="4"/>
  <c r="BN530" i="4"/>
  <c r="AQ466" i="4"/>
  <c r="BS466" i="4"/>
  <c r="BU466" i="4"/>
  <c r="AR466" i="4"/>
  <c r="BR466" i="4"/>
  <c r="BV395" i="4"/>
  <c r="BR314" i="4"/>
  <c r="AQ314" i="4"/>
  <c r="AR314" i="4"/>
  <c r="BS314" i="4"/>
  <c r="BU314" i="4"/>
  <c r="BB175" i="4"/>
  <c r="AS175" i="4"/>
  <c r="AT175" i="4"/>
  <c r="BS461" i="4"/>
  <c r="BU461" i="4"/>
  <c r="BR461" i="4"/>
  <c r="AR461" i="4"/>
  <c r="AQ461" i="4"/>
  <c r="BC615" i="4"/>
  <c r="BD615" i="4"/>
  <c r="BE615" i="4"/>
  <c r="BH615" i="4"/>
  <c r="BS651" i="4"/>
  <c r="BU651" i="4"/>
  <c r="BR651" i="4"/>
  <c r="AQ651" i="4"/>
  <c r="AR651" i="4"/>
  <c r="BS620" i="4"/>
  <c r="BU620" i="4"/>
  <c r="BR620" i="4"/>
  <c r="AQ620" i="4"/>
  <c r="AR620" i="4"/>
  <c r="BV491" i="4"/>
  <c r="AW491" i="4"/>
  <c r="AX491" i="4"/>
  <c r="AP491" i="4"/>
  <c r="BU470" i="4"/>
  <c r="BV398" i="4"/>
  <c r="BV341" i="4"/>
  <c r="BS611" i="4"/>
  <c r="BU611" i="4"/>
  <c r="BR611" i="4"/>
  <c r="AQ611" i="4"/>
  <c r="AR611" i="4"/>
  <c r="BR536" i="4"/>
  <c r="BS536" i="4"/>
  <c r="BU536" i="4"/>
  <c r="AQ536" i="4"/>
  <c r="AR536" i="4"/>
  <c r="AJ179" i="4"/>
  <c r="BS179" i="4"/>
  <c r="BR179" i="4"/>
  <c r="AR179" i="4"/>
  <c r="AQ179" i="4"/>
  <c r="AY616" i="4"/>
  <c r="BA616" i="4"/>
  <c r="BQ616" i="4"/>
  <c r="AQ494" i="4"/>
  <c r="BS494" i="4"/>
  <c r="BU494" i="4"/>
  <c r="AR494" i="4"/>
  <c r="BR494" i="4"/>
  <c r="AW317" i="4"/>
  <c r="AX317" i="4"/>
  <c r="AP317" i="4"/>
  <c r="BM317" i="4"/>
  <c r="BN317" i="4"/>
  <c r="BV317" i="4"/>
  <c r="BU196" i="4"/>
  <c r="BB149" i="4"/>
  <c r="AS149" i="4"/>
  <c r="AT149" i="4"/>
  <c r="BR552" i="4"/>
  <c r="BS552" i="4"/>
  <c r="BU552" i="4"/>
  <c r="AQ552" i="4"/>
  <c r="AR552" i="4"/>
  <c r="AJ657" i="4"/>
  <c r="BR657" i="4"/>
  <c r="BS657" i="4"/>
  <c r="AQ657" i="4"/>
  <c r="AR657" i="4"/>
  <c r="BV531" i="4"/>
  <c r="AW638" i="4"/>
  <c r="AX638" i="4"/>
  <c r="AP638" i="4"/>
  <c r="AJ477" i="4"/>
  <c r="BS607" i="4"/>
  <c r="BU607" i="4"/>
  <c r="BR607" i="4"/>
  <c r="AR607" i="4"/>
  <c r="AQ607" i="4"/>
  <c r="BV416" i="4"/>
  <c r="BB348" i="4"/>
  <c r="AS348" i="4"/>
  <c r="AT348" i="4"/>
  <c r="AY140" i="4"/>
  <c r="BA140" i="4"/>
  <c r="BQ140" i="4"/>
  <c r="BV638" i="4"/>
  <c r="BB132" i="4"/>
  <c r="AS132" i="4"/>
  <c r="AT132" i="4"/>
  <c r="BS364" i="4"/>
  <c r="BU364" i="4"/>
  <c r="BR364" i="4"/>
  <c r="AR364" i="4"/>
  <c r="AQ364" i="4"/>
  <c r="BV244" i="4"/>
  <c r="AX244" i="4"/>
  <c r="AP244" i="4"/>
  <c r="AW244" i="4"/>
  <c r="BB297" i="4"/>
  <c r="AS297" i="4"/>
  <c r="AT297" i="4"/>
  <c r="BB635" i="4"/>
  <c r="AS635" i="4"/>
  <c r="AT635" i="4"/>
  <c r="AX170" i="4"/>
  <c r="AW170" i="4"/>
  <c r="AP170" i="4"/>
  <c r="AY528" i="4"/>
  <c r="BA528" i="4"/>
  <c r="BQ528" i="4"/>
  <c r="AX537" i="4"/>
  <c r="AW537" i="4"/>
  <c r="AP537" i="4"/>
  <c r="AS268" i="4"/>
  <c r="AT268" i="4"/>
  <c r="BM268" i="4"/>
  <c r="BN268" i="4"/>
  <c r="AW152" i="4"/>
  <c r="AX152" i="4"/>
  <c r="AP152" i="4"/>
  <c r="BM152" i="4"/>
  <c r="BN152" i="4"/>
  <c r="AP301" i="4"/>
  <c r="AW301" i="4"/>
  <c r="AX301" i="4"/>
  <c r="AS163" i="4"/>
  <c r="AT163" i="4"/>
  <c r="BM163" i="4"/>
  <c r="BN163" i="4"/>
  <c r="BB163" i="4"/>
  <c r="AW475" i="4"/>
  <c r="AX475" i="4"/>
  <c r="AP475" i="4"/>
  <c r="BV475" i="4"/>
  <c r="AX300" i="4"/>
  <c r="AW300" i="4"/>
  <c r="AP300" i="4"/>
  <c r="BS186" i="4"/>
  <c r="BR186" i="4"/>
  <c r="AQ186" i="4"/>
  <c r="AJ186" i="4"/>
  <c r="AR186" i="4"/>
  <c r="BU173" i="4"/>
  <c r="AP594" i="4"/>
  <c r="AW594" i="4"/>
  <c r="AX594" i="4"/>
  <c r="BB285" i="4"/>
  <c r="BS440" i="4"/>
  <c r="BU440" i="4"/>
  <c r="BR440" i="4"/>
  <c r="AR440" i="4"/>
  <c r="AQ440" i="4"/>
  <c r="BR441" i="4"/>
  <c r="BS441" i="4"/>
  <c r="BU441" i="4"/>
  <c r="AQ441" i="4"/>
  <c r="AR441" i="4"/>
  <c r="BB256" i="4"/>
  <c r="AS127" i="4"/>
  <c r="AT127" i="4"/>
  <c r="BB127" i="4"/>
  <c r="AS133" i="4"/>
  <c r="AT133" i="4"/>
  <c r="BU529" i="4"/>
  <c r="BS189" i="4"/>
  <c r="BU189" i="4"/>
  <c r="BR189" i="4"/>
  <c r="AR189" i="4"/>
  <c r="AQ189" i="4"/>
  <c r="AW644" i="4"/>
  <c r="AX644" i="4"/>
  <c r="BV644" i="4"/>
  <c r="AP644" i="4"/>
  <c r="AW208" i="4"/>
  <c r="AX208" i="4"/>
  <c r="AP208" i="4"/>
  <c r="BV208" i="4"/>
  <c r="BV626" i="4"/>
  <c r="AW626" i="4"/>
  <c r="AX626" i="4"/>
  <c r="AP626" i="4"/>
  <c r="AX646" i="4"/>
  <c r="AP646" i="4"/>
  <c r="AW646" i="4"/>
  <c r="BU267" i="4"/>
  <c r="BV388" i="4"/>
  <c r="BB398" i="4"/>
  <c r="AS398" i="4"/>
  <c r="AT398" i="4"/>
  <c r="BR613" i="4"/>
  <c r="BS613" i="4"/>
  <c r="BU613" i="4"/>
  <c r="AQ613" i="4"/>
  <c r="AR613" i="4"/>
  <c r="BS136" i="4"/>
  <c r="BR136" i="4"/>
  <c r="AQ136" i="4"/>
  <c r="AR136" i="4"/>
  <c r="AJ315" i="4"/>
  <c r="BS315" i="4"/>
  <c r="BR315" i="4"/>
  <c r="AR315" i="4"/>
  <c r="AQ315" i="4"/>
  <c r="BB367" i="4"/>
  <c r="AS367" i="4"/>
  <c r="AT367" i="4"/>
  <c r="BV342" i="4"/>
  <c r="AQ299" i="4"/>
  <c r="BS299" i="4"/>
  <c r="BU299" i="4"/>
  <c r="BR299" i="4"/>
  <c r="AR299" i="4"/>
  <c r="AW286" i="4"/>
  <c r="AP286" i="4"/>
  <c r="AX286" i="4"/>
  <c r="BS450" i="4"/>
  <c r="BU450" i="4"/>
  <c r="BR450" i="4"/>
  <c r="AR450" i="4"/>
  <c r="AQ450" i="4"/>
  <c r="BS482" i="4"/>
  <c r="BR482" i="4"/>
  <c r="AR482" i="4"/>
  <c r="AQ482" i="4"/>
  <c r="AJ482" i="4"/>
  <c r="BV212" i="4"/>
  <c r="AX212" i="4"/>
  <c r="AW212" i="4"/>
  <c r="AP212" i="4"/>
  <c r="AP643" i="4"/>
  <c r="AW643" i="4"/>
  <c r="AX643" i="4"/>
  <c r="BB587" i="4"/>
  <c r="AS587" i="4"/>
  <c r="AT587" i="4"/>
  <c r="BM587" i="4"/>
  <c r="BN587" i="4"/>
  <c r="AX143" i="4"/>
  <c r="AP143" i="4"/>
  <c r="AW143" i="4"/>
  <c r="BH239" i="4"/>
  <c r="BC239" i="4"/>
  <c r="BD239" i="4"/>
  <c r="BE239" i="4"/>
  <c r="AX223" i="4"/>
  <c r="AW223" i="4"/>
  <c r="AP223" i="4"/>
  <c r="BV500" i="4"/>
  <c r="AW500" i="4"/>
  <c r="AX500" i="4"/>
  <c r="AP500" i="4"/>
  <c r="BR656" i="4"/>
  <c r="BS656" i="4"/>
  <c r="BU656" i="4"/>
  <c r="AQ656" i="4"/>
  <c r="AR656" i="4"/>
  <c r="AR242" i="4"/>
  <c r="BR242" i="4"/>
  <c r="AQ242" i="4"/>
  <c r="BS242" i="4"/>
  <c r="BU242" i="4"/>
  <c r="BR138" i="4"/>
  <c r="BS138" i="4"/>
  <c r="BU138" i="4"/>
  <c r="AQ138" i="4"/>
  <c r="AR138" i="4"/>
  <c r="AX231" i="4"/>
  <c r="AW231" i="4"/>
  <c r="AP231" i="4"/>
  <c r="AW513" i="4"/>
  <c r="AX513" i="4"/>
  <c r="BV513" i="4"/>
  <c r="AP513" i="4"/>
  <c r="AS213" i="4"/>
  <c r="AT213" i="4"/>
  <c r="BB213" i="4"/>
  <c r="AP234" i="4"/>
  <c r="AW234" i="4"/>
  <c r="AX234" i="4"/>
  <c r="BS123" i="4"/>
  <c r="BU123" i="4"/>
  <c r="BR123" i="4"/>
  <c r="AR123" i="4"/>
  <c r="AQ123" i="4"/>
  <c r="AX497" i="4"/>
  <c r="AW497" i="4"/>
  <c r="AP497" i="4"/>
  <c r="AY236" i="4"/>
  <c r="BA236" i="4"/>
  <c r="BQ236" i="4"/>
  <c r="BR550" i="4"/>
  <c r="BS550" i="4"/>
  <c r="BU550" i="4"/>
  <c r="AR550" i="4"/>
  <c r="AQ550" i="4"/>
  <c r="BS422" i="4"/>
  <c r="BR422" i="4"/>
  <c r="AR422" i="4"/>
  <c r="AQ422" i="4"/>
  <c r="AX192" i="4"/>
  <c r="AW192" i="4"/>
  <c r="AP192" i="4"/>
  <c r="BM192" i="4"/>
  <c r="BN192" i="4"/>
  <c r="BR284" i="4"/>
  <c r="BS284" i="4"/>
  <c r="AR284" i="4"/>
  <c r="AQ284" i="4"/>
  <c r="AJ485" i="4"/>
  <c r="BR485" i="4"/>
  <c r="AR485" i="4"/>
  <c r="AQ485" i="4"/>
  <c r="BS485" i="4"/>
  <c r="BB474" i="4"/>
  <c r="AS474" i="4"/>
  <c r="AT474" i="4"/>
  <c r="AW501" i="4"/>
  <c r="AX501" i="4"/>
  <c r="AP501" i="4"/>
  <c r="BS489" i="4"/>
  <c r="BR489" i="4"/>
  <c r="AR489" i="4"/>
  <c r="AQ489" i="4"/>
  <c r="AQ522" i="4"/>
  <c r="AR522" i="4"/>
  <c r="BS522" i="4"/>
  <c r="BU522" i="4"/>
  <c r="BR522" i="4"/>
  <c r="BS590" i="4"/>
  <c r="BU590" i="4"/>
  <c r="BR590" i="4"/>
  <c r="AR590" i="4"/>
  <c r="AQ590" i="4"/>
  <c r="AJ446" i="4"/>
  <c r="BS446" i="4"/>
  <c r="BR446" i="4"/>
  <c r="AR446" i="4"/>
  <c r="AQ446" i="4"/>
  <c r="BV572" i="4"/>
  <c r="AW572" i="4"/>
  <c r="AX572" i="4"/>
  <c r="AP572" i="4"/>
  <c r="BM213" i="4"/>
  <c r="BN213" i="4"/>
  <c r="BS455" i="4"/>
  <c r="BR455" i="4"/>
  <c r="AQ455" i="4"/>
  <c r="AR455" i="4"/>
  <c r="AW553" i="4"/>
  <c r="AX553" i="4"/>
  <c r="AP553" i="4"/>
  <c r="AW313" i="4"/>
  <c r="AP313" i="4"/>
  <c r="AX313" i="4"/>
  <c r="BB380" i="4"/>
  <c r="AS380" i="4"/>
  <c r="AT380" i="4"/>
  <c r="BM380" i="4"/>
  <c r="BN380" i="4"/>
  <c r="AQ281" i="4"/>
  <c r="AR281" i="4"/>
  <c r="BS281" i="4"/>
  <c r="BU281" i="4"/>
  <c r="BR281" i="4"/>
  <c r="BV606" i="4"/>
  <c r="AW463" i="4"/>
  <c r="AX463" i="4"/>
  <c r="AP463" i="4"/>
  <c r="BU192" i="4"/>
  <c r="AX409" i="4"/>
  <c r="AW409" i="4"/>
  <c r="AP409" i="4"/>
  <c r="BV243" i="4"/>
  <c r="BH616" i="4"/>
  <c r="BC616" i="4"/>
  <c r="BV524" i="4"/>
  <c r="BR240" i="4"/>
  <c r="BS240" i="4"/>
  <c r="BU240" i="4"/>
  <c r="AQ240" i="4"/>
  <c r="AR240" i="4"/>
  <c r="BB458" i="4"/>
  <c r="AS458" i="4"/>
  <c r="AT458" i="4"/>
  <c r="BU361" i="4"/>
  <c r="BS263" i="4"/>
  <c r="BU263" i="4"/>
  <c r="BR263" i="4"/>
  <c r="AR263" i="4"/>
  <c r="AQ263" i="4"/>
  <c r="BR174" i="4"/>
  <c r="BS174" i="4"/>
  <c r="BU174" i="4"/>
  <c r="AR174" i="4"/>
  <c r="AQ174" i="4"/>
  <c r="BS532" i="4"/>
  <c r="BU532" i="4"/>
  <c r="AR532" i="4"/>
  <c r="BR532" i="4"/>
  <c r="AQ532" i="4"/>
  <c r="AR292" i="4"/>
  <c r="BS292" i="4"/>
  <c r="AQ292" i="4"/>
  <c r="BR292" i="4"/>
  <c r="AJ292" i="4"/>
  <c r="AY533" i="4"/>
  <c r="BA533" i="4"/>
  <c r="BQ533" i="4"/>
  <c r="AX314" i="4"/>
  <c r="AP314" i="4"/>
  <c r="AW314" i="4"/>
  <c r="BR362" i="4"/>
  <c r="BS362" i="4"/>
  <c r="BU362" i="4"/>
  <c r="AR362" i="4"/>
  <c r="AQ362" i="4"/>
  <c r="BV323" i="4"/>
  <c r="AW595" i="4"/>
  <c r="AX595" i="4"/>
  <c r="AP595" i="4"/>
  <c r="BV368" i="4"/>
  <c r="BS286" i="4"/>
  <c r="BU286" i="4"/>
  <c r="BR286" i="4"/>
  <c r="AR286" i="4"/>
  <c r="AQ286" i="4"/>
  <c r="BS376" i="4"/>
  <c r="BU376" i="4"/>
  <c r="BR376" i="4"/>
  <c r="AR376" i="4"/>
  <c r="AQ376" i="4"/>
  <c r="BR135" i="4"/>
  <c r="BS135" i="4"/>
  <c r="BU135" i="4"/>
  <c r="AQ135" i="4"/>
  <c r="AR135" i="4"/>
  <c r="BB151" i="4"/>
  <c r="AS151" i="4"/>
  <c r="AT151" i="4"/>
  <c r="BR331" i="4"/>
  <c r="BS331" i="4"/>
  <c r="BU331" i="4"/>
  <c r="AR331" i="4"/>
  <c r="AQ331" i="4"/>
  <c r="BR491" i="4"/>
  <c r="BS491" i="4"/>
  <c r="BU491" i="4"/>
  <c r="AQ491" i="4"/>
  <c r="AR491" i="4"/>
  <c r="BS411" i="4"/>
  <c r="BU411" i="4"/>
  <c r="BR411" i="4"/>
  <c r="AR411" i="4"/>
  <c r="AQ411" i="4"/>
  <c r="BV175" i="4"/>
  <c r="BR353" i="4"/>
  <c r="BS353" i="4"/>
  <c r="AR353" i="4"/>
  <c r="AQ353" i="4"/>
  <c r="AJ353" i="4"/>
  <c r="AY336" i="4"/>
  <c r="BA336" i="4"/>
  <c r="BQ336" i="4"/>
  <c r="BC161" i="4"/>
  <c r="BD161" i="4"/>
  <c r="BE161" i="4"/>
  <c r="BH161" i="4"/>
  <c r="BS412" i="4"/>
  <c r="BU412" i="4"/>
  <c r="BR412" i="4"/>
  <c r="AQ412" i="4"/>
  <c r="AR412" i="4"/>
  <c r="AW149" i="4"/>
  <c r="AP149" i="4"/>
  <c r="BV149" i="4"/>
  <c r="AX149" i="4"/>
  <c r="AX561" i="4"/>
  <c r="AW561" i="4"/>
  <c r="AP561" i="4"/>
  <c r="AP393" i="4"/>
  <c r="AW393" i="4"/>
  <c r="AX393" i="4"/>
  <c r="BV382" i="4"/>
  <c r="AW410" i="4"/>
  <c r="AX410" i="4"/>
  <c r="AP410" i="4"/>
  <c r="BV431" i="4"/>
  <c r="AW431" i="4"/>
  <c r="AX431" i="4"/>
  <c r="AP431" i="4"/>
  <c r="AQ438" i="4"/>
  <c r="BR438" i="4"/>
  <c r="BS438" i="4"/>
  <c r="AR438" i="4"/>
  <c r="AJ558" i="4"/>
  <c r="BS558" i="4"/>
  <c r="BR558" i="4"/>
  <c r="AQ558" i="4"/>
  <c r="AR558" i="4"/>
  <c r="AW214" i="4"/>
  <c r="AX214" i="4"/>
  <c r="AP214" i="4"/>
  <c r="BU379" i="4"/>
  <c r="BH448" i="4"/>
  <c r="BC448" i="4"/>
  <c r="BD448" i="4"/>
  <c r="BE448" i="4"/>
  <c r="AW415" i="4"/>
  <c r="AP415" i="4"/>
  <c r="BM415" i="4"/>
  <c r="BN415" i="4"/>
  <c r="AX415" i="4"/>
  <c r="BB257" i="4"/>
  <c r="AS257" i="4"/>
  <c r="AT257" i="4"/>
  <c r="BU348" i="4"/>
  <c r="BM140" i="4"/>
  <c r="BN140" i="4"/>
  <c r="AX618" i="4"/>
  <c r="AW618" i="4"/>
  <c r="AP618" i="4"/>
  <c r="AP184" i="4"/>
  <c r="BM184" i="4"/>
  <c r="BN184" i="4"/>
  <c r="AW184" i="4"/>
  <c r="AX184" i="4"/>
  <c r="BV160" i="4"/>
  <c r="AX235" i="4"/>
  <c r="AW235" i="4"/>
  <c r="AP235" i="4"/>
  <c r="BB437" i="4"/>
  <c r="AS437" i="4"/>
  <c r="AT437" i="4"/>
  <c r="BB444" i="4"/>
  <c r="AS444" i="4"/>
  <c r="AT444" i="4"/>
  <c r="BV635" i="4"/>
  <c r="AX635" i="4"/>
  <c r="AW635" i="4"/>
  <c r="AP635" i="4"/>
  <c r="BM635" i="4"/>
  <c r="BN635" i="4"/>
  <c r="BB170" i="4"/>
  <c r="AS170" i="4"/>
  <c r="AT170" i="4"/>
  <c r="BM528" i="4"/>
  <c r="BN528" i="4"/>
  <c r="BB182" i="4"/>
  <c r="AS182" i="4"/>
  <c r="AT182" i="4"/>
  <c r="BB512" i="4"/>
  <c r="AS512" i="4"/>
  <c r="AT512" i="4"/>
  <c r="AQ360" i="4"/>
  <c r="BR360" i="4"/>
  <c r="BS360" i="4"/>
  <c r="BU360" i="4"/>
  <c r="AR360" i="4"/>
  <c r="BM383" i="4"/>
  <c r="BN383" i="4"/>
  <c r="BB165" i="4"/>
  <c r="AS165" i="4"/>
  <c r="AT165" i="4"/>
  <c r="BS475" i="4"/>
  <c r="BU475" i="4"/>
  <c r="BR475" i="4"/>
  <c r="AQ475" i="4"/>
  <c r="AR475" i="4"/>
  <c r="BU300" i="4"/>
  <c r="AS198" i="4"/>
  <c r="AT198" i="4"/>
  <c r="BB198" i="4"/>
  <c r="BV214" i="4"/>
  <c r="BU594" i="4"/>
  <c r="BV419" i="4"/>
  <c r="AW419" i="4"/>
  <c r="AX419" i="4"/>
  <c r="AP419" i="4"/>
  <c r="BB209" i="4"/>
  <c r="AS209" i="4"/>
  <c r="AT209" i="4"/>
  <c r="BU637" i="4"/>
  <c r="AS177" i="4"/>
  <c r="AT177" i="4"/>
  <c r="BB177" i="4"/>
  <c r="AX545" i="4"/>
  <c r="AW545" i="4"/>
  <c r="AP545" i="4"/>
  <c r="BU631" i="4"/>
  <c r="BB347" i="4"/>
  <c r="AS347" i="4"/>
  <c r="AT347" i="4"/>
  <c r="BM347" i="4"/>
  <c r="BN347" i="4"/>
  <c r="BB208" i="4"/>
  <c r="AS208" i="4"/>
  <c r="AT208" i="4"/>
  <c r="AQ626" i="4"/>
  <c r="AR626" i="4"/>
  <c r="BS626" i="4"/>
  <c r="BU626" i="4"/>
  <c r="BR626" i="4"/>
  <c r="BB646" i="4"/>
  <c r="AS646" i="4"/>
  <c r="AT646" i="4"/>
  <c r="AW559" i="4"/>
  <c r="AX559" i="4"/>
  <c r="AP559" i="4"/>
  <c r="BV172" i="4"/>
  <c r="AP172" i="4"/>
  <c r="AX172" i="4"/>
  <c r="AW172" i="4"/>
  <c r="BB618" i="4"/>
  <c r="AS618" i="4"/>
  <c r="AT618" i="4"/>
  <c r="BC230" i="4"/>
  <c r="BD230" i="4"/>
  <c r="BE230" i="4"/>
  <c r="BH230" i="4"/>
  <c r="BR480" i="4"/>
  <c r="AQ480" i="4"/>
  <c r="AR480" i="4"/>
  <c r="BS480" i="4"/>
  <c r="BS251" i="4"/>
  <c r="BU251" i="4"/>
  <c r="BR251" i="4"/>
  <c r="AQ251" i="4"/>
  <c r="AR251" i="4"/>
  <c r="BS253" i="4"/>
  <c r="BU253" i="4"/>
  <c r="BR253" i="4"/>
  <c r="AQ253" i="4"/>
  <c r="AR253" i="4"/>
  <c r="BS141" i="4"/>
  <c r="BU141" i="4"/>
  <c r="BR141" i="4"/>
  <c r="AQ141" i="4"/>
  <c r="AR141" i="4"/>
  <c r="BR390" i="4"/>
  <c r="BS390" i="4"/>
  <c r="BU390" i="4"/>
  <c r="AR390" i="4"/>
  <c r="AQ390" i="4"/>
  <c r="AJ503" i="4"/>
  <c r="BR503" i="4"/>
  <c r="BS503" i="4"/>
  <c r="AQ503" i="4"/>
  <c r="AR503" i="4"/>
  <c r="AJ136" i="4"/>
  <c r="AW495" i="4"/>
  <c r="AP495" i="4"/>
  <c r="AX495" i="4"/>
  <c r="AQ599" i="4"/>
  <c r="BS599" i="4"/>
  <c r="BU599" i="4"/>
  <c r="BR599" i="4"/>
  <c r="AR599" i="4"/>
  <c r="AW576" i="4"/>
  <c r="AX576" i="4"/>
  <c r="AP576" i="4"/>
  <c r="AJ478" i="4"/>
  <c r="BS478" i="4"/>
  <c r="BR478" i="4"/>
  <c r="AR478" i="4"/>
  <c r="AQ478" i="4"/>
  <c r="BU367" i="4"/>
  <c r="BR274" i="4"/>
  <c r="BS274" i="4"/>
  <c r="AR274" i="4"/>
  <c r="AQ274" i="4"/>
  <c r="BU571" i="4"/>
  <c r="BS338" i="4"/>
  <c r="BU338" i="4"/>
  <c r="BR338" i="4"/>
  <c r="AQ338" i="4"/>
  <c r="AR338" i="4"/>
  <c r="AX348" i="4"/>
  <c r="AW348" i="4"/>
  <c r="AP348" i="4"/>
  <c r="BM348" i="4"/>
  <c r="BN348" i="4"/>
  <c r="BR629" i="4"/>
  <c r="BS629" i="4"/>
  <c r="AQ629" i="4"/>
  <c r="AR629" i="4"/>
  <c r="AW423" i="4"/>
  <c r="AX423" i="4"/>
  <c r="AP423" i="4"/>
  <c r="AJ224" i="4"/>
  <c r="BR224" i="4"/>
  <c r="BS224" i="4"/>
  <c r="AQ224" i="4"/>
  <c r="AR224" i="4"/>
  <c r="AR212" i="4"/>
  <c r="BS212" i="4"/>
  <c r="BU212" i="4"/>
  <c r="BR212" i="4"/>
  <c r="AQ212" i="4"/>
  <c r="BR643" i="4"/>
  <c r="BS643" i="4"/>
  <c r="BU643" i="4"/>
  <c r="AQ643" i="4"/>
  <c r="AR643" i="4"/>
  <c r="AQ352" i="4"/>
  <c r="AR352" i="4"/>
  <c r="BR352" i="4"/>
  <c r="BS352" i="4"/>
  <c r="AW514" i="4"/>
  <c r="AP514" i="4"/>
  <c r="AX514" i="4"/>
  <c r="AQ143" i="4"/>
  <c r="BS143" i="4"/>
  <c r="BU143" i="4"/>
  <c r="BR143" i="4"/>
  <c r="AR143" i="4"/>
  <c r="AQ223" i="4"/>
  <c r="BS223" i="4"/>
  <c r="BU223" i="4"/>
  <c r="BR223" i="4"/>
  <c r="AR223" i="4"/>
  <c r="BU342" i="4"/>
  <c r="AW305" i="4"/>
  <c r="AX305" i="4"/>
  <c r="AP305" i="4"/>
  <c r="AR500" i="4"/>
  <c r="BS500" i="4"/>
  <c r="BU500" i="4"/>
  <c r="AQ500" i="4"/>
  <c r="BR500" i="4"/>
  <c r="AQ624" i="4"/>
  <c r="BR624" i="4"/>
  <c r="AR624" i="4"/>
  <c r="BS624" i="4"/>
  <c r="BV210" i="4"/>
  <c r="BR231" i="4"/>
  <c r="BS231" i="4"/>
  <c r="BU231" i="4"/>
  <c r="AQ231" i="4"/>
  <c r="AR231" i="4"/>
  <c r="BR513" i="4"/>
  <c r="BS513" i="4"/>
  <c r="BU513" i="4"/>
  <c r="AR513" i="4"/>
  <c r="AQ513" i="4"/>
  <c r="AQ234" i="4"/>
  <c r="BS234" i="4"/>
  <c r="BU234" i="4"/>
  <c r="BR234" i="4"/>
  <c r="AR234" i="4"/>
  <c r="AW337" i="4"/>
  <c r="AX337" i="4"/>
  <c r="AP337" i="4"/>
  <c r="AR497" i="4"/>
  <c r="AQ497" i="4"/>
  <c r="BR497" i="4"/>
  <c r="BS497" i="4"/>
  <c r="BU497" i="4"/>
  <c r="AW217" i="4"/>
  <c r="AP217" i="4"/>
  <c r="BM217" i="4"/>
  <c r="BN217" i="4"/>
  <c r="AX217" i="4"/>
  <c r="AJ422" i="4"/>
  <c r="AJ284" i="4"/>
  <c r="AY148" i="4"/>
  <c r="BA148" i="4"/>
  <c r="BQ148" i="4"/>
  <c r="BS501" i="4"/>
  <c r="BU501" i="4"/>
  <c r="BR501" i="4"/>
  <c r="AR501" i="4"/>
  <c r="AQ501" i="4"/>
  <c r="AW354" i="4"/>
  <c r="AX354" i="4"/>
  <c r="AP354" i="4"/>
  <c r="AJ489" i="4"/>
  <c r="AW627" i="4"/>
  <c r="AX627" i="4"/>
  <c r="AP627" i="4"/>
  <c r="AW194" i="4"/>
  <c r="AX194" i="4"/>
  <c r="AP194" i="4"/>
  <c r="BR572" i="4"/>
  <c r="BS572" i="4"/>
  <c r="BU572" i="4"/>
  <c r="AR572" i="4"/>
  <c r="AQ572" i="4"/>
  <c r="AW555" i="4"/>
  <c r="AX555" i="4"/>
  <c r="AP555" i="4"/>
  <c r="BR203" i="4"/>
  <c r="BS203" i="4"/>
  <c r="BU203" i="4"/>
  <c r="AQ203" i="4"/>
  <c r="AR203" i="4"/>
  <c r="AJ322" i="4"/>
  <c r="BS322" i="4"/>
  <c r="BR322" i="4"/>
  <c r="AQ322" i="4"/>
  <c r="AR322" i="4"/>
  <c r="AX452" i="4"/>
  <c r="AW452" i="4"/>
  <c r="AP452" i="4"/>
  <c r="BV452" i="4"/>
  <c r="AW151" i="4"/>
  <c r="AX151" i="4"/>
  <c r="AP151" i="4"/>
  <c r="AW167" i="4"/>
  <c r="AX167" i="4"/>
  <c r="AP167" i="4"/>
  <c r="BM167" i="4"/>
  <c r="BN167" i="4"/>
  <c r="AW645" i="4"/>
  <c r="AX645" i="4"/>
  <c r="AP645" i="4"/>
  <c r="BH306" i="4"/>
  <c r="BC306" i="4"/>
  <c r="BH557" i="4"/>
  <c r="BC557" i="4"/>
  <c r="AW588" i="4"/>
  <c r="AX588" i="4"/>
  <c r="AP588" i="4"/>
  <c r="AY510" i="4"/>
  <c r="BA510" i="4"/>
  <c r="BQ510" i="4"/>
  <c r="AJ578" i="4"/>
  <c r="AJ455" i="4"/>
  <c r="AX653" i="4"/>
  <c r="AW653" i="4"/>
  <c r="AP653" i="4"/>
  <c r="BV653" i="4"/>
  <c r="BV261" i="4"/>
  <c r="AX261" i="4"/>
  <c r="AW261" i="4"/>
  <c r="AP261" i="4"/>
  <c r="BU458" i="4"/>
  <c r="AS311" i="4"/>
  <c r="AT311" i="4"/>
  <c r="BB311" i="4"/>
  <c r="AW389" i="4"/>
  <c r="AX389" i="4"/>
  <c r="AP389" i="4"/>
  <c r="BV389" i="4"/>
  <c r="BV126" i="4"/>
  <c r="AW126" i="4"/>
  <c r="AX126" i="4"/>
  <c r="AP126" i="4"/>
  <c r="BV379" i="4"/>
  <c r="AP570" i="4"/>
  <c r="BM570" i="4"/>
  <c r="BN570" i="4"/>
  <c r="AX570" i="4"/>
  <c r="AW570" i="4"/>
  <c r="AP532" i="4"/>
  <c r="AW532" i="4"/>
  <c r="AX532" i="4"/>
  <c r="BR641" i="4"/>
  <c r="BS641" i="4"/>
  <c r="BU641" i="4"/>
  <c r="AQ641" i="4"/>
  <c r="AR641" i="4"/>
  <c r="AP378" i="4"/>
  <c r="AW378" i="4"/>
  <c r="AX378" i="4"/>
  <c r="BR541" i="4"/>
  <c r="AR541" i="4"/>
  <c r="BS541" i="4"/>
  <c r="BU541" i="4"/>
  <c r="AQ541" i="4"/>
  <c r="AX583" i="4"/>
  <c r="AW583" i="4"/>
  <c r="AP583" i="4"/>
  <c r="BU175" i="4"/>
  <c r="AJ334" i="4"/>
  <c r="AR334" i="4"/>
  <c r="BS334" i="4"/>
  <c r="BR334" i="4"/>
  <c r="AQ334" i="4"/>
  <c r="BB310" i="4"/>
  <c r="AS310" i="4"/>
  <c r="AT310" i="4"/>
  <c r="BC543" i="4"/>
  <c r="BH543" i="4"/>
  <c r="AX196" i="4"/>
  <c r="AW196" i="4"/>
  <c r="AP196" i="4"/>
  <c r="AW250" i="4"/>
  <c r="BV250" i="4"/>
  <c r="AP250" i="4"/>
  <c r="AX250" i="4"/>
  <c r="AW404" i="4"/>
  <c r="AX404" i="4"/>
  <c r="AP404" i="4"/>
  <c r="BR190" i="4"/>
  <c r="BS190" i="4"/>
  <c r="AQ190" i="4"/>
  <c r="AR190" i="4"/>
  <c r="BV196" i="4"/>
  <c r="AX411" i="4"/>
  <c r="AW411" i="4"/>
  <c r="AP411" i="4"/>
  <c r="BV411" i="4"/>
  <c r="BV645" i="4"/>
  <c r="AW351" i="4"/>
  <c r="AP351" i="4"/>
  <c r="BV351" i="4"/>
  <c r="AX351" i="4"/>
  <c r="AQ632" i="4"/>
  <c r="AR632" i="4"/>
  <c r="BR632" i="4"/>
  <c r="BS632" i="4"/>
  <c r="BR516" i="4"/>
  <c r="BS516" i="4"/>
  <c r="BU516" i="4"/>
  <c r="AQ516" i="4"/>
  <c r="AR516" i="4"/>
  <c r="AS520" i="4"/>
  <c r="AT520" i="4"/>
  <c r="BM520" i="4"/>
  <c r="BN520" i="4"/>
  <c r="BB520" i="4"/>
  <c r="AQ359" i="4"/>
  <c r="BS359" i="4"/>
  <c r="BU359" i="4"/>
  <c r="AR359" i="4"/>
  <c r="BR359" i="4"/>
  <c r="BS294" i="4"/>
  <c r="BU294" i="4"/>
  <c r="BR294" i="4"/>
  <c r="AQ294" i="4"/>
  <c r="AR294" i="4"/>
  <c r="BU317" i="4"/>
  <c r="BB313" i="4"/>
  <c r="AS313" i="4"/>
  <c r="AT313" i="4"/>
  <c r="AW421" i="4"/>
  <c r="AP421" i="4"/>
  <c r="AX421" i="4"/>
  <c r="AQ403" i="4"/>
  <c r="AR403" i="4"/>
  <c r="BR403" i="4"/>
  <c r="BS403" i="4"/>
  <c r="AX569" i="4"/>
  <c r="AW569" i="4"/>
  <c r="AP569" i="4"/>
  <c r="BV264" i="4"/>
  <c r="BS561" i="4"/>
  <c r="BU561" i="4"/>
  <c r="BR561" i="4"/>
  <c r="AR561" i="4"/>
  <c r="AQ561" i="4"/>
  <c r="BS393" i="4"/>
  <c r="BU393" i="4"/>
  <c r="AR393" i="4"/>
  <c r="AQ393" i="4"/>
  <c r="BR393" i="4"/>
  <c r="AS429" i="4"/>
  <c r="AT429" i="4"/>
  <c r="BM429" i="4"/>
  <c r="BN429" i="4"/>
  <c r="BB429" i="4"/>
  <c r="AQ410" i="4"/>
  <c r="AR410" i="4"/>
  <c r="BR410" i="4"/>
  <c r="BS410" i="4"/>
  <c r="BU410" i="4"/>
  <c r="BS431" i="4"/>
  <c r="BU431" i="4"/>
  <c r="BR431" i="4"/>
  <c r="AR431" i="4"/>
  <c r="AQ431" i="4"/>
  <c r="BV463" i="4"/>
  <c r="BH221" i="4"/>
  <c r="BC221" i="4"/>
  <c r="AJ438" i="4"/>
  <c r="BU326" i="4"/>
  <c r="BB377" i="4"/>
  <c r="AS377" i="4"/>
  <c r="AT377" i="4"/>
  <c r="AX459" i="4"/>
  <c r="AW459" i="4"/>
  <c r="AP459" i="4"/>
  <c r="BV561" i="4"/>
  <c r="BV437" i="4"/>
  <c r="AP437" i="4"/>
  <c r="BM437" i="4"/>
  <c r="BN437" i="4"/>
  <c r="AX437" i="4"/>
  <c r="AW437" i="4"/>
  <c r="BB130" i="4"/>
  <c r="AS130" i="4"/>
  <c r="AT130" i="4"/>
  <c r="AY153" i="4"/>
  <c r="BA153" i="4"/>
  <c r="BQ153" i="4"/>
  <c r="BB595" i="4"/>
  <c r="AS595" i="4"/>
  <c r="AT595" i="4"/>
  <c r="AQ235" i="4"/>
  <c r="BS235" i="4"/>
  <c r="BU235" i="4"/>
  <c r="AR235" i="4"/>
  <c r="BR235" i="4"/>
  <c r="BS472" i="4"/>
  <c r="BR472" i="4"/>
  <c r="AR472" i="4"/>
  <c r="AQ472" i="4"/>
  <c r="AW444" i="4"/>
  <c r="AX444" i="4"/>
  <c r="AP444" i="4"/>
  <c r="BM444" i="4"/>
  <c r="BN444" i="4"/>
  <c r="BC397" i="4"/>
  <c r="BH397" i="4"/>
  <c r="BU635" i="4"/>
  <c r="BB358" i="4"/>
  <c r="AS358" i="4"/>
  <c r="AT358" i="4"/>
  <c r="BU417" i="4"/>
  <c r="BV182" i="4"/>
  <c r="AW182" i="4"/>
  <c r="AX182" i="4"/>
  <c r="AP182" i="4"/>
  <c r="BU152" i="4"/>
  <c r="BV373" i="4"/>
  <c r="BH383" i="4"/>
  <c r="BC383" i="4"/>
  <c r="BD383" i="4"/>
  <c r="BE383" i="4"/>
  <c r="BC600" i="4"/>
  <c r="BD600" i="4"/>
  <c r="BE600" i="4"/>
  <c r="BH600" i="4"/>
  <c r="BH238" i="4"/>
  <c r="BC238" i="4"/>
  <c r="BD238" i="4"/>
  <c r="BE238" i="4"/>
  <c r="BV350" i="4"/>
  <c r="AW603" i="4"/>
  <c r="AX603" i="4"/>
  <c r="AP603" i="4"/>
  <c r="AX556" i="4"/>
  <c r="AW556" i="4"/>
  <c r="BV556" i="4"/>
  <c r="AP556" i="4"/>
  <c r="BB300" i="4"/>
  <c r="AS300" i="4"/>
  <c r="AT300" i="4"/>
  <c r="AW198" i="4"/>
  <c r="AX198" i="4"/>
  <c r="AP198" i="4"/>
  <c r="BB660" i="4"/>
  <c r="AS660" i="4"/>
  <c r="AT660" i="4"/>
  <c r="AX660" i="4"/>
  <c r="AW660" i="4"/>
  <c r="AP660" i="4"/>
  <c r="AS569" i="4"/>
  <c r="AT569" i="4"/>
  <c r="AW324" i="4"/>
  <c r="AX324" i="4"/>
  <c r="AP324" i="4"/>
  <c r="BM324" i="4"/>
  <c r="BN324" i="4"/>
  <c r="BR419" i="4"/>
  <c r="BS419" i="4"/>
  <c r="BU419" i="4"/>
  <c r="AQ419" i="4"/>
  <c r="AR419" i="4"/>
  <c r="AW209" i="4"/>
  <c r="AX209" i="4"/>
  <c r="AP209" i="4"/>
  <c r="BV209" i="4"/>
  <c r="AW402" i="4"/>
  <c r="AX402" i="4"/>
  <c r="AP402" i="4"/>
  <c r="BU185" i="4"/>
  <c r="BU177" i="4"/>
  <c r="AR545" i="4"/>
  <c r="AQ545" i="4"/>
  <c r="BS545" i="4"/>
  <c r="BU545" i="4"/>
  <c r="BR545" i="4"/>
  <c r="BB567" i="4"/>
  <c r="AS567" i="4"/>
  <c r="AT567" i="4"/>
  <c r="BM567" i="4"/>
  <c r="BN567" i="4"/>
  <c r="AS277" i="4"/>
  <c r="AT277" i="4"/>
  <c r="BM615" i="4"/>
  <c r="BN615" i="4"/>
  <c r="BB644" i="4"/>
  <c r="AS644" i="4"/>
  <c r="AT644" i="4"/>
  <c r="AY534" i="4"/>
  <c r="BA534" i="4"/>
  <c r="BQ534" i="4"/>
  <c r="AW449" i="4"/>
  <c r="AX449" i="4"/>
  <c r="AP449" i="4"/>
  <c r="BU646" i="4"/>
  <c r="BR559" i="4"/>
  <c r="BS559" i="4"/>
  <c r="BU559" i="4"/>
  <c r="AR559" i="4"/>
  <c r="AQ559" i="4"/>
  <c r="AR172" i="4"/>
  <c r="BS172" i="4"/>
  <c r="BU172" i="4"/>
  <c r="BR172" i="4"/>
  <c r="AQ172" i="4"/>
  <c r="BU398" i="4"/>
  <c r="AX200" i="4"/>
  <c r="AW200" i="4"/>
  <c r="AP200" i="4"/>
  <c r="AJ480" i="4"/>
  <c r="AS350" i="4"/>
  <c r="AT350" i="4"/>
  <c r="BB350" i="4"/>
  <c r="AJ271" i="4"/>
  <c r="BS178" i="4"/>
  <c r="BU178" i="4"/>
  <c r="BR178" i="4"/>
  <c r="AQ178" i="4"/>
  <c r="AR178" i="4"/>
  <c r="AJ391" i="4"/>
  <c r="BS391" i="4"/>
  <c r="BR391" i="4"/>
  <c r="AR391" i="4"/>
  <c r="AQ391" i="4"/>
  <c r="BS495" i="4"/>
  <c r="BU495" i="4"/>
  <c r="BR495" i="4"/>
  <c r="AQ495" i="4"/>
  <c r="AR495" i="4"/>
  <c r="AS414" i="4"/>
  <c r="AT414" i="4"/>
  <c r="BB414" i="4"/>
  <c r="AX295" i="4"/>
  <c r="AP295" i="4"/>
  <c r="BM295" i="4"/>
  <c r="BN295" i="4"/>
  <c r="AW295" i="4"/>
  <c r="AJ330" i="4"/>
  <c r="BS330" i="4"/>
  <c r="BR330" i="4"/>
  <c r="AR330" i="4"/>
  <c r="AQ330" i="4"/>
  <c r="AJ274" i="4"/>
  <c r="AJ608" i="4"/>
  <c r="AJ546" i="4"/>
  <c r="AW279" i="4"/>
  <c r="AX279" i="4"/>
  <c r="AP279" i="4"/>
  <c r="AS293" i="4"/>
  <c r="AT293" i="4"/>
  <c r="BM293" i="4"/>
  <c r="BN293" i="4"/>
  <c r="BB293" i="4"/>
  <c r="AJ629" i="4"/>
  <c r="AW361" i="4"/>
  <c r="AX361" i="4"/>
  <c r="AP361" i="4"/>
  <c r="BM361" i="4"/>
  <c r="BN361" i="4"/>
  <c r="BS423" i="4"/>
  <c r="BU423" i="4"/>
  <c r="BR423" i="4"/>
  <c r="AR423" i="4"/>
  <c r="AQ423" i="4"/>
  <c r="AJ139" i="4"/>
  <c r="AP481" i="4"/>
  <c r="AX481" i="4"/>
  <c r="AW481" i="4"/>
  <c r="BV130" i="4"/>
  <c r="AJ352" i="4"/>
  <c r="BR162" i="4"/>
  <c r="BS162" i="4"/>
  <c r="BU162" i="4"/>
  <c r="AQ162" i="4"/>
  <c r="AR162" i="4"/>
  <c r="AW623" i="4"/>
  <c r="AX623" i="4"/>
  <c r="AP623" i="4"/>
  <c r="BM623" i="4"/>
  <c r="BN623" i="4"/>
  <c r="BB342" i="4"/>
  <c r="AS342" i="4"/>
  <c r="AT342" i="4"/>
  <c r="BR305" i="4"/>
  <c r="BS305" i="4"/>
  <c r="BU305" i="4"/>
  <c r="AR305" i="4"/>
  <c r="AQ305" i="4"/>
  <c r="AJ612" i="4"/>
  <c r="AJ624" i="4"/>
  <c r="AW633" i="4"/>
  <c r="AP633" i="4"/>
  <c r="AX633" i="4"/>
  <c r="AX622" i="4"/>
  <c r="AP622" i="4"/>
  <c r="BM622" i="4"/>
  <c r="BN622" i="4"/>
  <c r="AW622" i="4"/>
  <c r="AW515" i="4"/>
  <c r="AX515" i="4"/>
  <c r="AP515" i="4"/>
  <c r="BM515" i="4"/>
  <c r="BN515" i="4"/>
  <c r="BV515" i="4"/>
  <c r="BV361" i="4"/>
  <c r="BR343" i="4"/>
  <c r="BS343" i="4"/>
  <c r="BU343" i="4"/>
  <c r="AQ343" i="4"/>
  <c r="AR343" i="4"/>
  <c r="BU448" i="4"/>
  <c r="BR337" i="4"/>
  <c r="BS337" i="4"/>
  <c r="BU337" i="4"/>
  <c r="AR337" i="4"/>
  <c r="AQ337" i="4"/>
  <c r="AX285" i="4"/>
  <c r="AW285" i="4"/>
  <c r="AP285" i="4"/>
  <c r="BM285" i="4"/>
  <c r="BN285" i="4"/>
  <c r="BV643" i="4"/>
  <c r="AJ176" i="4"/>
  <c r="BR176" i="4"/>
  <c r="AQ176" i="4"/>
  <c r="AR176" i="4"/>
  <c r="BS176" i="4"/>
  <c r="AS196" i="4"/>
  <c r="AT196" i="4"/>
  <c r="BB196" i="4"/>
  <c r="BM148" i="4"/>
  <c r="BN148" i="4"/>
  <c r="AX474" i="4"/>
  <c r="AP474" i="4"/>
  <c r="BV474" i="4"/>
  <c r="AW474" i="4"/>
  <c r="AJ171" i="4"/>
  <c r="BB354" i="4"/>
  <c r="AS354" i="4"/>
  <c r="AT354" i="4"/>
  <c r="AX581" i="4"/>
  <c r="AW581" i="4"/>
  <c r="AP581" i="4"/>
  <c r="BR627" i="4"/>
  <c r="AQ627" i="4"/>
  <c r="BS627" i="4"/>
  <c r="BU627" i="4"/>
  <c r="AR627" i="4"/>
  <c r="AQ573" i="4"/>
  <c r="AR573" i="4"/>
  <c r="BS573" i="4"/>
  <c r="BU573" i="4"/>
  <c r="BR573" i="4"/>
  <c r="BB471" i="4"/>
  <c r="AS471" i="4"/>
  <c r="AT471" i="4"/>
  <c r="BM471" i="4"/>
  <c r="BN471" i="4"/>
  <c r="AQ194" i="4"/>
  <c r="AR194" i="4"/>
  <c r="BR194" i="4"/>
  <c r="BS194" i="4"/>
  <c r="BU194" i="4"/>
  <c r="BH323" i="4"/>
  <c r="BC323" i="4"/>
  <c r="AJ211" i="4"/>
  <c r="AY213" i="4"/>
  <c r="BA213" i="4"/>
  <c r="BQ213" i="4"/>
  <c r="AQ555" i="4"/>
  <c r="BS555" i="4"/>
  <c r="BU555" i="4"/>
  <c r="BR555" i="4"/>
  <c r="AR555" i="4"/>
  <c r="BV192" i="4"/>
  <c r="AQ452" i="4"/>
  <c r="BR452" i="4"/>
  <c r="BS452" i="4"/>
  <c r="BU452" i="4"/>
  <c r="AR452" i="4"/>
  <c r="BU585" i="4"/>
  <c r="BR645" i="4"/>
  <c r="AR645" i="4"/>
  <c r="AQ645" i="4"/>
  <c r="BS645" i="4"/>
  <c r="BU645" i="4"/>
  <c r="BB418" i="4"/>
  <c r="AS418" i="4"/>
  <c r="AT418" i="4"/>
  <c r="AY579" i="4"/>
  <c r="BA579" i="4"/>
  <c r="BQ579" i="4"/>
  <c r="AJ639" i="4"/>
  <c r="AP605" i="4"/>
  <c r="AX605" i="4"/>
  <c r="AW605" i="4"/>
  <c r="BR653" i="4"/>
  <c r="BS653" i="4"/>
  <c r="BU653" i="4"/>
  <c r="AQ653" i="4"/>
  <c r="AR653" i="4"/>
  <c r="AW173" i="4"/>
  <c r="AX173" i="4"/>
  <c r="AP173" i="4"/>
  <c r="BM173" i="4"/>
  <c r="BN173" i="4"/>
  <c r="BR261" i="4"/>
  <c r="BS261" i="4"/>
  <c r="BU261" i="4"/>
  <c r="AR261" i="4"/>
  <c r="AQ261" i="4"/>
  <c r="BV591" i="4"/>
  <c r="BS389" i="4"/>
  <c r="BU389" i="4"/>
  <c r="BR389" i="4"/>
  <c r="AR389" i="4"/>
  <c r="AQ389" i="4"/>
  <c r="BR126" i="4"/>
  <c r="AQ126" i="4"/>
  <c r="AR126" i="4"/>
  <c r="BS126" i="4"/>
  <c r="BU126" i="4"/>
  <c r="AJ424" i="4"/>
  <c r="AX625" i="4"/>
  <c r="AW625" i="4"/>
  <c r="AP625" i="4"/>
  <c r="AX659" i="4"/>
  <c r="AW659" i="4"/>
  <c r="AP659" i="4"/>
  <c r="BM659" i="4"/>
  <c r="BN659" i="4"/>
  <c r="AR378" i="4"/>
  <c r="BS378" i="4"/>
  <c r="BU378" i="4"/>
  <c r="BR378" i="4"/>
  <c r="AQ378" i="4"/>
  <c r="BS542" i="4"/>
  <c r="BU542" i="4"/>
  <c r="BR542" i="4"/>
  <c r="AQ542" i="4"/>
  <c r="AR542" i="4"/>
  <c r="BV484" i="4"/>
  <c r="BS583" i="4"/>
  <c r="BU583" i="4"/>
  <c r="BR583" i="4"/>
  <c r="AR583" i="4"/>
  <c r="AQ583" i="4"/>
  <c r="BU310" i="4"/>
  <c r="BU133" i="4"/>
  <c r="BU514" i="4"/>
  <c r="BV185" i="4"/>
  <c r="BV650" i="4"/>
  <c r="BS250" i="4"/>
  <c r="BU250" i="4"/>
  <c r="AR250" i="4"/>
  <c r="BR250" i="4"/>
  <c r="AQ250" i="4"/>
  <c r="BB279" i="4"/>
  <c r="AS279" i="4"/>
  <c r="AT279" i="4"/>
  <c r="AQ404" i="4"/>
  <c r="BS404" i="4"/>
  <c r="BU404" i="4"/>
  <c r="AR404" i="4"/>
  <c r="BR404" i="4"/>
  <c r="AJ190" i="4"/>
  <c r="AJ150" i="4"/>
  <c r="BR150" i="4"/>
  <c r="BS150" i="4"/>
  <c r="AQ150" i="4"/>
  <c r="AR150" i="4"/>
  <c r="AJ363" i="4"/>
  <c r="BR351" i="4"/>
  <c r="BS351" i="4"/>
  <c r="BU351" i="4"/>
  <c r="AR351" i="4"/>
  <c r="AQ351" i="4"/>
  <c r="AJ632" i="4"/>
  <c r="AJ247" i="4"/>
  <c r="BS307" i="4"/>
  <c r="BU307" i="4"/>
  <c r="AR307" i="4"/>
  <c r="AQ307" i="4"/>
  <c r="BR307" i="4"/>
  <c r="AY161" i="4"/>
  <c r="BA161" i="4"/>
  <c r="BQ161" i="4"/>
  <c r="AS416" i="4"/>
  <c r="AT416" i="4"/>
  <c r="BB416" i="4"/>
  <c r="BV592" i="4"/>
  <c r="AR421" i="4"/>
  <c r="BS421" i="4"/>
  <c r="BU421" i="4"/>
  <c r="BR421" i="4"/>
  <c r="AQ421" i="4"/>
  <c r="AJ403" i="4"/>
  <c r="BS553" i="4"/>
  <c r="BU553" i="4"/>
  <c r="BR553" i="4"/>
  <c r="AQ553" i="4"/>
  <c r="AR553" i="4"/>
  <c r="BU149" i="4"/>
  <c r="AJ454" i="4"/>
  <c r="AJ219" i="4"/>
  <c r="BS219" i="4"/>
  <c r="BR219" i="4"/>
  <c r="AR219" i="4"/>
  <c r="AQ219" i="4"/>
  <c r="BV486" i="4"/>
  <c r="BV514" i="4"/>
  <c r="AR647" i="4"/>
  <c r="BR647" i="4"/>
  <c r="AQ647" i="4"/>
  <c r="BS647" i="4"/>
  <c r="AJ647" i="4"/>
  <c r="BV293" i="4"/>
  <c r="AJ384" i="4"/>
  <c r="BU415" i="4"/>
  <c r="BS459" i="4"/>
  <c r="BU459" i="4"/>
  <c r="AR459" i="4"/>
  <c r="AQ459" i="4"/>
  <c r="BR459" i="4"/>
  <c r="BS155" i="4"/>
  <c r="BR155" i="4"/>
  <c r="AR155" i="4"/>
  <c r="AQ155" i="4"/>
  <c r="AJ155" i="4"/>
  <c r="BV418" i="4"/>
  <c r="BU130" i="4"/>
  <c r="BU184" i="4"/>
  <c r="BU525" i="4"/>
  <c r="AX128" i="4"/>
  <c r="AP128" i="4"/>
  <c r="BM128" i="4"/>
  <c r="BN128" i="4"/>
  <c r="AW128" i="4"/>
  <c r="AJ472" i="4"/>
  <c r="BU437" i="4"/>
  <c r="AS339" i="4"/>
  <c r="AT339" i="4"/>
  <c r="BB339" i="4"/>
  <c r="BV501" i="4"/>
  <c r="BU182" i="4"/>
  <c r="AJ248" i="4"/>
  <c r="AR232" i="4"/>
  <c r="BS232" i="4"/>
  <c r="BU232" i="4"/>
  <c r="AQ232" i="4"/>
  <c r="BR232" i="4"/>
  <c r="BB264" i="4"/>
  <c r="AS264" i="4"/>
  <c r="AT264" i="4"/>
  <c r="BV607" i="4"/>
  <c r="BU387" i="4"/>
  <c r="BB320" i="4"/>
  <c r="AS320" i="4"/>
  <c r="AT320" i="4"/>
  <c r="BU301" i="4"/>
  <c r="BU165" i="4"/>
  <c r="AX238" i="4"/>
  <c r="AW238" i="4"/>
  <c r="AP238" i="4"/>
  <c r="BU469" i="4"/>
  <c r="BS603" i="4"/>
  <c r="BU603" i="4"/>
  <c r="BR603" i="4"/>
  <c r="AR603" i="4"/>
  <c r="AQ603" i="4"/>
  <c r="BB556" i="4"/>
  <c r="AS556" i="4"/>
  <c r="AT556" i="4"/>
  <c r="BV320" i="4"/>
  <c r="BM191" i="4"/>
  <c r="BN191" i="4"/>
  <c r="BU324" i="4"/>
  <c r="AJ296" i="4"/>
  <c r="BV640" i="4"/>
  <c r="AX640" i="4"/>
  <c r="AW640" i="4"/>
  <c r="AP640" i="4"/>
  <c r="BM640" i="4"/>
  <c r="BN640" i="4"/>
  <c r="AJ564" i="4"/>
  <c r="BB402" i="4"/>
  <c r="AS402" i="4"/>
  <c r="AT402" i="4"/>
  <c r="BM402" i="4"/>
  <c r="BN402" i="4"/>
  <c r="BU163" i="4"/>
  <c r="BV487" i="4"/>
  <c r="AW487" i="4"/>
  <c r="AP487" i="4"/>
  <c r="BM487" i="4"/>
  <c r="BN487" i="4"/>
  <c r="AX487" i="4"/>
  <c r="BB185" i="4"/>
  <c r="AS185" i="4"/>
  <c r="AT185" i="4"/>
  <c r="BU277" i="4"/>
  <c r="AY615" i="4"/>
  <c r="BA615" i="4"/>
  <c r="BQ615" i="4"/>
  <c r="BS385" i="4"/>
  <c r="BU385" i="4"/>
  <c r="AQ385" i="4"/>
  <c r="AR385" i="4"/>
  <c r="BR385" i="4"/>
  <c r="BU644" i="4"/>
  <c r="BV319" i="4"/>
  <c r="BU347" i="4"/>
  <c r="AQ449" i="4"/>
  <c r="BS449" i="4"/>
  <c r="BU449" i="4"/>
  <c r="BR449" i="4"/>
  <c r="AR449" i="4"/>
  <c r="BB302" i="4"/>
  <c r="AS302" i="4"/>
  <c r="AT302" i="4"/>
  <c r="AJ183" i="4"/>
  <c r="BU618" i="4"/>
  <c r="BB654" i="4"/>
  <c r="AS654" i="4"/>
  <c r="AT654" i="4"/>
  <c r="BM654" i="4"/>
  <c r="BN654" i="4"/>
  <c r="AS200" i="4"/>
  <c r="AT200" i="4"/>
  <c r="BB200" i="4"/>
  <c r="AY567" i="4"/>
  <c r="BA567" i="4"/>
  <c r="BQ567" i="4"/>
  <c r="AS238" i="4"/>
  <c r="AT238" i="4"/>
  <c r="BM298" i="4"/>
  <c r="BN298" i="4"/>
  <c r="BM371" i="4"/>
  <c r="BN371" i="4"/>
  <c r="BC582" i="4"/>
  <c r="BH582" i="4"/>
  <c r="BM563" i="4"/>
  <c r="BN563" i="4"/>
  <c r="BM526" i="4"/>
  <c r="BN526" i="4"/>
  <c r="BH505" i="4"/>
  <c r="BC505" i="4"/>
  <c r="BM582" i="4"/>
  <c r="BN582" i="4"/>
  <c r="BH125" i="4"/>
  <c r="BC125" i="4"/>
  <c r="BC447" i="4"/>
  <c r="BH447" i="4"/>
  <c r="BM525" i="4"/>
  <c r="BN525" i="4"/>
  <c r="BH526" i="4"/>
  <c r="BC526" i="4"/>
  <c r="BC124" i="4"/>
  <c r="BH124" i="4"/>
  <c r="BM509" i="4"/>
  <c r="BN509" i="4"/>
  <c r="AY144" i="4"/>
  <c r="BA144" i="4"/>
  <c r="BQ144" i="4"/>
  <c r="BH617" i="4"/>
  <c r="BC617" i="4"/>
  <c r="BC193" i="4"/>
  <c r="BH193" i="4"/>
  <c r="BH298" i="4"/>
  <c r="BC298" i="4"/>
  <c r="BC158" i="4"/>
  <c r="BH158" i="4"/>
  <c r="BH154" i="4"/>
  <c r="BC154" i="4"/>
  <c r="BH188" i="4"/>
  <c r="BC188" i="4"/>
  <c r="BC275" i="4"/>
  <c r="BH275" i="4"/>
  <c r="BU120" i="4"/>
  <c r="AY371" i="4"/>
  <c r="BA371" i="4"/>
  <c r="BQ371" i="4"/>
  <c r="BM327" i="4"/>
  <c r="BN327" i="4"/>
  <c r="BM430" i="4"/>
  <c r="BN430" i="4"/>
  <c r="AY526" i="4"/>
  <c r="BA526" i="4"/>
  <c r="BQ526" i="4"/>
  <c r="BP120" i="4"/>
  <c r="J34" i="4"/>
  <c r="J23" i="4"/>
  <c r="BC290" i="4"/>
  <c r="BH290" i="4"/>
  <c r="BH468" i="4"/>
  <c r="BC468" i="4"/>
  <c r="BH547" i="4"/>
  <c r="BC547" i="4"/>
  <c r="BH164" i="4"/>
  <c r="BC164" i="4"/>
  <c r="BH222" i="4"/>
  <c r="BC222" i="4"/>
  <c r="AY327" i="4"/>
  <c r="BA327" i="4"/>
  <c r="BQ327" i="4"/>
  <c r="BB129" i="4"/>
  <c r="AS129" i="4"/>
  <c r="AT129" i="4"/>
  <c r="BM129" i="4"/>
  <c r="BN129" i="4"/>
  <c r="BC233" i="4"/>
  <c r="BH233" i="4"/>
  <c r="AY122" i="4"/>
  <c r="BA122" i="4"/>
  <c r="BQ122" i="4"/>
  <c r="AY430" i="4"/>
  <c r="BA430" i="4"/>
  <c r="BQ430" i="4"/>
  <c r="BH566" i="4"/>
  <c r="BC566" i="4"/>
  <c r="BM372" i="4"/>
  <c r="BN372" i="4"/>
  <c r="BH525" i="4"/>
  <c r="BC525" i="4"/>
  <c r="BC304" i="4"/>
  <c r="BH304" i="4"/>
  <c r="BH325" i="4"/>
  <c r="BC325" i="4"/>
  <c r="AY129" i="4"/>
  <c r="BA129" i="4"/>
  <c r="BQ129" i="4"/>
  <c r="AY298" i="4"/>
  <c r="BA298" i="4"/>
  <c r="BQ298" i="4"/>
  <c r="BM122" i="4"/>
  <c r="BN122" i="4"/>
  <c r="BH168" i="4"/>
  <c r="BC168" i="4"/>
  <c r="BC509" i="4"/>
  <c r="BH509" i="4"/>
  <c r="AY125" i="4"/>
  <c r="BA125" i="4"/>
  <c r="BQ125" i="4"/>
  <c r="BM636" i="4"/>
  <c r="BN636" i="4"/>
  <c r="BM168" i="4"/>
  <c r="BN168" i="4"/>
  <c r="BM154" i="4"/>
  <c r="BN154" i="4"/>
  <c r="AY372" i="4"/>
  <c r="BA372" i="4"/>
  <c r="BQ372" i="4"/>
  <c r="BC144" i="4"/>
  <c r="BH144" i="4"/>
  <c r="BC563" i="4"/>
  <c r="BH563" i="4"/>
  <c r="BH202" i="4"/>
  <c r="BC202" i="4"/>
  <c r="BH634" i="4"/>
  <c r="BC634" i="4"/>
  <c r="BC464" i="4"/>
  <c r="BH464" i="4"/>
  <c r="BC122" i="4"/>
  <c r="BH122" i="4"/>
  <c r="BM125" i="4"/>
  <c r="BN125" i="4"/>
  <c r="AY547" i="4"/>
  <c r="BA547" i="4"/>
  <c r="BQ547" i="4"/>
  <c r="AY636" i="4"/>
  <c r="BA636" i="4"/>
  <c r="BQ636" i="4"/>
  <c r="AY168" i="4"/>
  <c r="BA168" i="4"/>
  <c r="BQ168" i="4"/>
  <c r="AY154" i="4"/>
  <c r="BA154" i="4"/>
  <c r="BQ154" i="4"/>
  <c r="BB121" i="4"/>
  <c r="AS121" i="4"/>
  <c r="AT121" i="4"/>
  <c r="BM121" i="4"/>
  <c r="BN121" i="4"/>
  <c r="BM164" i="4"/>
  <c r="BN164" i="4"/>
  <c r="BC346" i="4"/>
  <c r="BH346" i="4"/>
  <c r="BC430" i="4"/>
  <c r="BH430" i="4"/>
  <c r="AY563" i="4"/>
  <c r="BA563" i="4"/>
  <c r="BQ563" i="4"/>
  <c r="BM547" i="4"/>
  <c r="BN547" i="4"/>
  <c r="BH249" i="4"/>
  <c r="BC249" i="4"/>
  <c r="BH365" i="4"/>
  <c r="BC365" i="4"/>
  <c r="BB120" i="4"/>
  <c r="AS120" i="4"/>
  <c r="AT120" i="4"/>
  <c r="AY121" i="4"/>
  <c r="BA121" i="4"/>
  <c r="BQ121" i="4"/>
  <c r="BM144" i="4"/>
  <c r="BN144" i="4"/>
  <c r="BH636" i="4"/>
  <c r="BC636" i="4"/>
  <c r="BC371" i="4"/>
  <c r="BH371" i="4"/>
  <c r="AW120" i="4"/>
  <c r="AP120" i="4"/>
  <c r="BH372" i="4"/>
  <c r="BC372" i="4"/>
  <c r="AY220" i="4"/>
  <c r="BA220" i="4"/>
  <c r="BQ220" i="4"/>
  <c r="AY164" i="4"/>
  <c r="BA164" i="4"/>
  <c r="BQ164" i="4"/>
  <c r="BC327" i="4"/>
  <c r="BH327" i="4"/>
  <c r="AY215" i="4"/>
  <c r="BA215" i="4"/>
  <c r="BQ215" i="4"/>
  <c r="BH268" i="4"/>
  <c r="BC268" i="4"/>
  <c r="BI230" i="4"/>
  <c r="BJ230" i="4"/>
  <c r="BL230" i="4"/>
  <c r="BM388" i="4"/>
  <c r="BN388" i="4"/>
  <c r="BU569" i="4"/>
  <c r="BU308" i="4"/>
  <c r="BB569" i="4"/>
  <c r="BU601" i="4"/>
  <c r="BB554" i="4"/>
  <c r="AS554" i="4"/>
  <c r="AT554" i="4"/>
  <c r="BB215" i="4"/>
  <c r="AS215" i="4"/>
  <c r="AT215" i="4"/>
  <c r="BB237" i="4"/>
  <c r="AX215" i="4"/>
  <c r="AP215" i="4"/>
  <c r="BM215" i="4"/>
  <c r="BN215" i="4"/>
  <c r="AW601" i="4"/>
  <c r="AX601" i="4"/>
  <c r="AP601" i="4"/>
  <c r="BV601" i="4"/>
  <c r="BU215" i="4"/>
  <c r="BB508" i="4"/>
  <c r="AS508" i="4"/>
  <c r="AT508" i="4"/>
  <c r="AS609" i="4"/>
  <c r="AT609" i="4"/>
  <c r="BB609" i="4"/>
  <c r="BM537" i="4"/>
  <c r="BN537" i="4"/>
  <c r="BB603" i="4"/>
  <c r="BU219" i="4"/>
  <c r="BM481" i="4"/>
  <c r="BN481" i="4"/>
  <c r="BM367" i="4"/>
  <c r="BN367" i="4"/>
  <c r="BM453" i="4"/>
  <c r="BN453" i="4"/>
  <c r="BM319" i="4"/>
  <c r="BN319" i="4"/>
  <c r="BM649" i="4"/>
  <c r="BN649" i="4"/>
  <c r="BM382" i="4"/>
  <c r="BN382" i="4"/>
  <c r="AP344" i="4"/>
  <c r="BM344" i="4"/>
  <c r="BN344" i="4"/>
  <c r="AS236" i="4"/>
  <c r="AT236" i="4"/>
  <c r="BM575" i="4"/>
  <c r="BN575" i="4"/>
  <c r="AX554" i="4"/>
  <c r="AW554" i="4"/>
  <c r="AP554" i="4"/>
  <c r="BV554" i="4"/>
  <c r="AW539" i="4"/>
  <c r="BV539" i="4"/>
  <c r="AX539" i="4"/>
  <c r="AP539" i="4"/>
  <c r="BM539" i="4"/>
  <c r="BN539" i="4"/>
  <c r="BB601" i="4"/>
  <c r="AS601" i="4"/>
  <c r="AT601" i="4"/>
  <c r="AX508" i="4"/>
  <c r="AP508" i="4"/>
  <c r="AW508" i="4"/>
  <c r="BV508" i="4"/>
  <c r="AW609" i="4"/>
  <c r="AX609" i="4"/>
  <c r="AP609" i="4"/>
  <c r="BV609" i="4"/>
  <c r="BC569" i="4"/>
  <c r="BD569" i="4"/>
  <c r="BE569" i="4"/>
  <c r="BH569" i="4"/>
  <c r="BU548" i="4"/>
  <c r="BM214" i="4"/>
  <c r="BN214" i="4"/>
  <c r="AS237" i="4"/>
  <c r="AT237" i="4"/>
  <c r="BM625" i="4"/>
  <c r="BN625" i="4"/>
  <c r="BM514" i="4"/>
  <c r="BN514" i="4"/>
  <c r="BU197" i="4"/>
  <c r="AY575" i="4"/>
  <c r="BA575" i="4"/>
  <c r="BQ575" i="4"/>
  <c r="BM170" i="4"/>
  <c r="BN170" i="4"/>
  <c r="BU657" i="4"/>
  <c r="BB466" i="4"/>
  <c r="BU451" i="4"/>
  <c r="BM518" i="4"/>
  <c r="BN518" i="4"/>
  <c r="BB622" i="4"/>
  <c r="BM182" i="4"/>
  <c r="BN182" i="4"/>
  <c r="BU353" i="4"/>
  <c r="BU604" i="4"/>
  <c r="BI191" i="4"/>
  <c r="BJ191" i="4"/>
  <c r="BU204" i="4"/>
  <c r="BU329" i="4"/>
  <c r="BM243" i="4"/>
  <c r="BN243" i="4"/>
  <c r="BB524" i="4"/>
  <c r="BH524" i="4"/>
  <c r="BB254" i="4"/>
  <c r="BU444" i="4"/>
  <c r="BB236" i="4"/>
  <c r="BM301" i="4"/>
  <c r="BN301" i="4"/>
  <c r="BM638" i="4"/>
  <c r="BN638" i="4"/>
  <c r="BB521" i="4"/>
  <c r="BB442" i="4"/>
  <c r="BU225" i="4"/>
  <c r="BU456" i="4"/>
  <c r="BU439" i="4"/>
  <c r="BH517" i="4"/>
  <c r="BC517" i="4"/>
  <c r="BD517" i="4"/>
  <c r="BE517" i="4"/>
  <c r="BA365" i="4"/>
  <c r="BQ365" i="4"/>
  <c r="AY365" i="4"/>
  <c r="BB220" i="4"/>
  <c r="AS220" i="4"/>
  <c r="AT220" i="4"/>
  <c r="BM220" i="4"/>
  <c r="BN220" i="4"/>
  <c r="BM591" i="4"/>
  <c r="BN591" i="4"/>
  <c r="BU252" i="4"/>
  <c r="BH575" i="4"/>
  <c r="BC575" i="4"/>
  <c r="BD575" i="4"/>
  <c r="BE575" i="4"/>
  <c r="BV256" i="4"/>
  <c r="AX256" i="4"/>
  <c r="AW256" i="4"/>
  <c r="AP256" i="4"/>
  <c r="BM256" i="4"/>
  <c r="BN256" i="4"/>
  <c r="BM200" i="4"/>
  <c r="BN200" i="4"/>
  <c r="BU647" i="4"/>
  <c r="BU150" i="4"/>
  <c r="BM209" i="4"/>
  <c r="BN209" i="4"/>
  <c r="BM198" i="4"/>
  <c r="BN198" i="4"/>
  <c r="BM149" i="4"/>
  <c r="BN149" i="4"/>
  <c r="BB362" i="4"/>
  <c r="BU655" i="4"/>
  <c r="BM227" i="4"/>
  <c r="BN227" i="4"/>
  <c r="BM326" i="4"/>
  <c r="BN326" i="4"/>
  <c r="BM529" i="4"/>
  <c r="BN529" i="4"/>
  <c r="BM433" i="4"/>
  <c r="BN433" i="4"/>
  <c r="AS555" i="4"/>
  <c r="AT555" i="4"/>
  <c r="BM555" i="4"/>
  <c r="BN555" i="4"/>
  <c r="AS194" i="4"/>
  <c r="AT194" i="4"/>
  <c r="BU176" i="4"/>
  <c r="BB223" i="4"/>
  <c r="BU273" i="4"/>
  <c r="BU224" i="4"/>
  <c r="AW273" i="4"/>
  <c r="BV273" i="4"/>
  <c r="AX273" i="4"/>
  <c r="AP273" i="4"/>
  <c r="BM474" i="4"/>
  <c r="BN474" i="4"/>
  <c r="BU391" i="4"/>
  <c r="BU401" i="4"/>
  <c r="J17" i="4"/>
  <c r="J16" i="4"/>
  <c r="C68" i="4"/>
  <c r="AS360" i="4"/>
  <c r="AT360" i="4"/>
  <c r="BB309" i="4"/>
  <c r="BU574" i="4"/>
  <c r="BB235" i="4"/>
  <c r="BU334" i="4"/>
  <c r="BU381" i="4"/>
  <c r="BU558" i="4"/>
  <c r="BM379" i="4"/>
  <c r="BN379" i="4"/>
  <c r="BU407" i="4"/>
  <c r="BM236" i="4"/>
  <c r="BN236" i="4"/>
  <c r="BB273" i="4"/>
  <c r="AS273" i="4"/>
  <c r="AT273" i="4"/>
  <c r="BM273" i="4"/>
  <c r="BN273" i="4"/>
  <c r="BM356" i="4"/>
  <c r="BN356" i="4"/>
  <c r="BM387" i="4"/>
  <c r="BN387" i="4"/>
  <c r="AS262" i="4"/>
  <c r="AT262" i="4"/>
  <c r="BM262" i="4"/>
  <c r="BN262" i="4"/>
  <c r="BB137" i="4"/>
  <c r="BU366" i="4"/>
  <c r="BM551" i="4"/>
  <c r="BN551" i="4"/>
  <c r="BU427" i="4"/>
  <c r="BC282" i="4"/>
  <c r="BD282" i="4"/>
  <c r="BE282" i="4"/>
  <c r="BH282" i="4"/>
  <c r="AY282" i="4"/>
  <c r="BA282" i="4"/>
  <c r="BQ282" i="4"/>
  <c r="BC355" i="4"/>
  <c r="BH355" i="4"/>
  <c r="BH518" i="4"/>
  <c r="BC518" i="4"/>
  <c r="BD518" i="4"/>
  <c r="BE518" i="4"/>
  <c r="BM596" i="4"/>
  <c r="BN596" i="4"/>
  <c r="AS309" i="4"/>
  <c r="AT309" i="4"/>
  <c r="BM648" i="4"/>
  <c r="BN648" i="4"/>
  <c r="BU432" i="4"/>
  <c r="BM349" i="4"/>
  <c r="BN349" i="4"/>
  <c r="BU428" i="4"/>
  <c r="AP548" i="4"/>
  <c r="AW548" i="4"/>
  <c r="AX548" i="4"/>
  <c r="BV548" i="4"/>
  <c r="BM282" i="4"/>
  <c r="BN282" i="4"/>
  <c r="BB265" i="4"/>
  <c r="AS265" i="4"/>
  <c r="AT265" i="4"/>
  <c r="BM265" i="4"/>
  <c r="BN265" i="4"/>
  <c r="BU535" i="4"/>
  <c r="AY518" i="4"/>
  <c r="BA518" i="4"/>
  <c r="BQ518" i="4"/>
  <c r="BM443" i="4"/>
  <c r="BN443" i="4"/>
  <c r="BB283" i="4"/>
  <c r="BU288" i="4"/>
  <c r="BU386" i="4"/>
  <c r="BB588" i="4"/>
  <c r="AS588" i="4"/>
  <c r="AT588" i="4"/>
  <c r="BB456" i="4"/>
  <c r="AS456" i="4"/>
  <c r="AT456" i="4"/>
  <c r="BU568" i="4"/>
  <c r="AS335" i="4"/>
  <c r="AT335" i="4"/>
  <c r="BB335" i="4"/>
  <c r="AS439" i="4"/>
  <c r="AT439" i="4"/>
  <c r="BB439" i="4"/>
  <c r="BM588" i="4"/>
  <c r="BN588" i="4"/>
  <c r="BU642" i="4"/>
  <c r="BU187" i="4"/>
  <c r="BB541" i="4"/>
  <c r="BU593" i="4"/>
  <c r="AY511" i="4"/>
  <c r="BA511" i="4"/>
  <c r="BQ511" i="4"/>
  <c r="BC278" i="4"/>
  <c r="BD278" i="4"/>
  <c r="BE278" i="4"/>
  <c r="BH278" i="4"/>
  <c r="BU335" i="4"/>
  <c r="BB381" i="4"/>
  <c r="AS381" i="4"/>
  <c r="AT381" i="4"/>
  <c r="BB197" i="4"/>
  <c r="AS197" i="4"/>
  <c r="AT197" i="4"/>
  <c r="AS143" i="4"/>
  <c r="AT143" i="4"/>
  <c r="BM143" i="4"/>
  <c r="BN143" i="4"/>
  <c r="BB548" i="4"/>
  <c r="AS548" i="4"/>
  <c r="AT548" i="4"/>
  <c r="BB187" i="4"/>
  <c r="AS187" i="4"/>
  <c r="AT187" i="4"/>
  <c r="AW335" i="4"/>
  <c r="AX335" i="4"/>
  <c r="AP335" i="4"/>
  <c r="BV335" i="4"/>
  <c r="BM278" i="4"/>
  <c r="BN278" i="4"/>
  <c r="AP197" i="4"/>
  <c r="BV197" i="4"/>
  <c r="AW197" i="4"/>
  <c r="AX197" i="4"/>
  <c r="BB291" i="4"/>
  <c r="AW456" i="4"/>
  <c r="AP456" i="4"/>
  <c r="BV456" i="4"/>
  <c r="AX456" i="4"/>
  <c r="AS568" i="4"/>
  <c r="AT568" i="4"/>
  <c r="BB568" i="4"/>
  <c r="BB535" i="4"/>
  <c r="AS535" i="4"/>
  <c r="AT535" i="4"/>
  <c r="AW187" i="4"/>
  <c r="AX187" i="4"/>
  <c r="AP187" i="4"/>
  <c r="BV187" i="4"/>
  <c r="BC308" i="4"/>
  <c r="BD308" i="4"/>
  <c r="BE308" i="4"/>
  <c r="BH308" i="4"/>
  <c r="AW439" i="4"/>
  <c r="AP439" i="4"/>
  <c r="AX439" i="4"/>
  <c r="BV439" i="4"/>
  <c r="BB511" i="4"/>
  <c r="AS511" i="4"/>
  <c r="AT511" i="4"/>
  <c r="BM511" i="4"/>
  <c r="BN511" i="4"/>
  <c r="BA278" i="4"/>
  <c r="BQ278" i="4"/>
  <c r="AY278" i="4"/>
  <c r="AY355" i="4"/>
  <c r="BA355" i="4"/>
  <c r="BQ355" i="4"/>
  <c r="BU170" i="4"/>
  <c r="BA308" i="4"/>
  <c r="BQ308" i="4"/>
  <c r="AY308" i="4"/>
  <c r="AX568" i="4"/>
  <c r="AW568" i="4"/>
  <c r="AP568" i="4"/>
  <c r="BM568" i="4"/>
  <c r="BN568" i="4"/>
  <c r="BV568" i="4"/>
  <c r="AP535" i="4"/>
  <c r="BM535" i="4"/>
  <c r="BN535" i="4"/>
  <c r="BV535" i="4"/>
  <c r="AX535" i="4"/>
  <c r="AW535" i="4"/>
  <c r="BC596" i="4"/>
  <c r="BD596" i="4"/>
  <c r="BE596" i="4"/>
  <c r="BH596" i="4"/>
  <c r="AP381" i="4"/>
  <c r="AW381" i="4"/>
  <c r="AX381" i="4"/>
  <c r="BV381" i="4"/>
  <c r="AY596" i="4"/>
  <c r="BA596" i="4"/>
  <c r="BQ596" i="4"/>
  <c r="BM355" i="4"/>
  <c r="BN355" i="4"/>
  <c r="BM238" i="4"/>
  <c r="BN238" i="4"/>
  <c r="AX183" i="4"/>
  <c r="AW183" i="4"/>
  <c r="AP183" i="4"/>
  <c r="BV183" i="4"/>
  <c r="BC320" i="4"/>
  <c r="BD320" i="4"/>
  <c r="BE320" i="4"/>
  <c r="BH320" i="4"/>
  <c r="BA128" i="4"/>
  <c r="BQ128" i="4"/>
  <c r="AY128" i="4"/>
  <c r="BB155" i="4"/>
  <c r="AS155" i="4"/>
  <c r="AT155" i="4"/>
  <c r="BB307" i="4"/>
  <c r="AS307" i="4"/>
  <c r="AT307" i="4"/>
  <c r="AS378" i="4"/>
  <c r="AT378" i="4"/>
  <c r="BM378" i="4"/>
  <c r="BN378" i="4"/>
  <c r="BB378" i="4"/>
  <c r="AY625" i="4"/>
  <c r="BA625" i="4"/>
  <c r="BQ625" i="4"/>
  <c r="AS645" i="4"/>
  <c r="AT645" i="4"/>
  <c r="BM645" i="4"/>
  <c r="BN645" i="4"/>
  <c r="BB645" i="4"/>
  <c r="BD323" i="4"/>
  <c r="BE323" i="4"/>
  <c r="BB419" i="4"/>
  <c r="AS419" i="4"/>
  <c r="AT419" i="4"/>
  <c r="BM419" i="4"/>
  <c r="BN419" i="4"/>
  <c r="BA660" i="4"/>
  <c r="BQ660" i="4"/>
  <c r="AY660" i="4"/>
  <c r="BH300" i="4"/>
  <c r="BC300" i="4"/>
  <c r="BD300" i="4"/>
  <c r="BE300" i="4"/>
  <c r="BD221" i="4"/>
  <c r="BE221" i="4"/>
  <c r="BI221" i="4"/>
  <c r="BJ221" i="4"/>
  <c r="AY351" i="4"/>
  <c r="BA351" i="4"/>
  <c r="BQ351" i="4"/>
  <c r="BB190" i="4"/>
  <c r="AS190" i="4"/>
  <c r="AT190" i="4"/>
  <c r="BC310" i="4"/>
  <c r="BH310" i="4"/>
  <c r="AY583" i="4"/>
  <c r="BA583" i="4"/>
  <c r="BQ583" i="4"/>
  <c r="AY570" i="4"/>
  <c r="BA570" i="4"/>
  <c r="BQ570" i="4"/>
  <c r="AY261" i="4"/>
  <c r="BA261" i="4"/>
  <c r="BQ261" i="4"/>
  <c r="AX578" i="4"/>
  <c r="AP578" i="4"/>
  <c r="AW578" i="4"/>
  <c r="BV578" i="4"/>
  <c r="BD306" i="4"/>
  <c r="BE306" i="4"/>
  <c r="BI306" i="4"/>
  <c r="BJ306" i="4"/>
  <c r="BM151" i="4"/>
  <c r="BN151" i="4"/>
  <c r="BB322" i="4"/>
  <c r="AS322" i="4"/>
  <c r="AT322" i="4"/>
  <c r="AY354" i="4"/>
  <c r="BA354" i="4"/>
  <c r="BQ354" i="4"/>
  <c r="BB497" i="4"/>
  <c r="AS497" i="4"/>
  <c r="AT497" i="4"/>
  <c r="BB234" i="4"/>
  <c r="AS234" i="4"/>
  <c r="AT234" i="4"/>
  <c r="BM234" i="4"/>
  <c r="BN234" i="4"/>
  <c r="AY514" i="4"/>
  <c r="BA514" i="4"/>
  <c r="BQ514" i="4"/>
  <c r="BU503" i="4"/>
  <c r="BB141" i="4"/>
  <c r="AS141" i="4"/>
  <c r="AT141" i="4"/>
  <c r="BM141" i="4"/>
  <c r="BN141" i="4"/>
  <c r="BB251" i="4"/>
  <c r="AS251" i="4"/>
  <c r="AT251" i="4"/>
  <c r="BM251" i="4"/>
  <c r="BN251" i="4"/>
  <c r="AS626" i="4"/>
  <c r="AT626" i="4"/>
  <c r="BM626" i="4"/>
  <c r="BN626" i="4"/>
  <c r="BB626" i="4"/>
  <c r="AY545" i="4"/>
  <c r="BA545" i="4"/>
  <c r="BQ545" i="4"/>
  <c r="BC209" i="4"/>
  <c r="BH209" i="4"/>
  <c r="AX558" i="4"/>
  <c r="AP558" i="4"/>
  <c r="AW558" i="4"/>
  <c r="BV558" i="4"/>
  <c r="AY393" i="4"/>
  <c r="BA393" i="4"/>
  <c r="BQ393" i="4"/>
  <c r="AY149" i="4"/>
  <c r="BA149" i="4"/>
  <c r="BQ149" i="4"/>
  <c r="AS174" i="4"/>
  <c r="AT174" i="4"/>
  <c r="BB174" i="4"/>
  <c r="BB590" i="4"/>
  <c r="AS590" i="4"/>
  <c r="AT590" i="4"/>
  <c r="BB489" i="4"/>
  <c r="AS489" i="4"/>
  <c r="AT489" i="4"/>
  <c r="BH474" i="4"/>
  <c r="BC474" i="4"/>
  <c r="BU284" i="4"/>
  <c r="BU422" i="4"/>
  <c r="AY497" i="4"/>
  <c r="BA497" i="4"/>
  <c r="BQ497" i="4"/>
  <c r="AY231" i="4"/>
  <c r="BA231" i="4"/>
  <c r="BQ231" i="4"/>
  <c r="BA500" i="4"/>
  <c r="BQ500" i="4"/>
  <c r="AY500" i="4"/>
  <c r="BA212" i="4"/>
  <c r="BQ212" i="4"/>
  <c r="AY212" i="4"/>
  <c r="BB450" i="4"/>
  <c r="AS450" i="4"/>
  <c r="AT450" i="4"/>
  <c r="BM450" i="4"/>
  <c r="BN450" i="4"/>
  <c r="BB189" i="4"/>
  <c r="AS189" i="4"/>
  <c r="AT189" i="4"/>
  <c r="BM189" i="4"/>
  <c r="BN189" i="4"/>
  <c r="BH256" i="4"/>
  <c r="BC256" i="4"/>
  <c r="BB186" i="4"/>
  <c r="AS186" i="4"/>
  <c r="AT186" i="4"/>
  <c r="BH297" i="4"/>
  <c r="BC297" i="4"/>
  <c r="AY638" i="4"/>
  <c r="BA638" i="4"/>
  <c r="BQ638" i="4"/>
  <c r="BB552" i="4"/>
  <c r="AS552" i="4"/>
  <c r="AT552" i="4"/>
  <c r="AS179" i="4"/>
  <c r="AT179" i="4"/>
  <c r="BB179" i="4"/>
  <c r="BM458" i="4"/>
  <c r="BN458" i="4"/>
  <c r="BB652" i="4"/>
  <c r="AS652" i="4"/>
  <c r="AT652" i="4"/>
  <c r="BM652" i="4"/>
  <c r="BN652" i="4"/>
  <c r="BU289" i="4"/>
  <c r="BA397" i="4"/>
  <c r="BQ397" i="4"/>
  <c r="AY397" i="4"/>
  <c r="AY591" i="4"/>
  <c r="BA591" i="4"/>
  <c r="BQ591" i="4"/>
  <c r="AS496" i="4"/>
  <c r="AT496" i="4"/>
  <c r="BB496" i="4"/>
  <c r="BC374" i="4"/>
  <c r="BD374" i="4"/>
  <c r="BE374" i="4"/>
  <c r="BH374" i="4"/>
  <c r="AS435" i="4"/>
  <c r="AT435" i="4"/>
  <c r="BM435" i="4"/>
  <c r="BN435" i="4"/>
  <c r="BB435" i="4"/>
  <c r="AY130" i="4"/>
  <c r="BA130" i="4"/>
  <c r="BQ130" i="4"/>
  <c r="BH528" i="4"/>
  <c r="BC528" i="4"/>
  <c r="BD528" i="4"/>
  <c r="BE528" i="4"/>
  <c r="AY264" i="4"/>
  <c r="BA264" i="4"/>
  <c r="BQ264" i="4"/>
  <c r="BH469" i="4"/>
  <c r="BC469" i="4"/>
  <c r="BD469" i="4"/>
  <c r="BE469" i="4"/>
  <c r="BB460" i="4"/>
  <c r="AS460" i="4"/>
  <c r="AT460" i="4"/>
  <c r="AS131" i="4"/>
  <c r="AT131" i="4"/>
  <c r="BB131" i="4"/>
  <c r="AP499" i="4"/>
  <c r="AW499" i="4"/>
  <c r="AX499" i="4"/>
  <c r="BV499" i="4"/>
  <c r="AS272" i="4"/>
  <c r="AT272" i="4"/>
  <c r="BB272" i="4"/>
  <c r="BB425" i="4"/>
  <c r="AS425" i="4"/>
  <c r="AT425" i="4"/>
  <c r="BH379" i="4"/>
  <c r="BC379" i="4"/>
  <c r="BA379" i="4"/>
  <c r="BQ379" i="4"/>
  <c r="AY379" i="4"/>
  <c r="BH344" i="4"/>
  <c r="BC344" i="4"/>
  <c r="BD344" i="4"/>
  <c r="BE344" i="4"/>
  <c r="AW283" i="4"/>
  <c r="AP283" i="4"/>
  <c r="AX283" i="4"/>
  <c r="BV283" i="4"/>
  <c r="AY637" i="4"/>
  <c r="BA637" i="4"/>
  <c r="BQ637" i="4"/>
  <c r="AY357" i="4"/>
  <c r="BA357" i="4"/>
  <c r="BQ357" i="4"/>
  <c r="BB369" i="4"/>
  <c r="AS369" i="4"/>
  <c r="AT369" i="4"/>
  <c r="BM369" i="4"/>
  <c r="BN369" i="4"/>
  <c r="BM133" i="4"/>
  <c r="BN133" i="4"/>
  <c r="AW642" i="4"/>
  <c r="AX642" i="4"/>
  <c r="AP642" i="4"/>
  <c r="BV642" i="4"/>
  <c r="AY258" i="4"/>
  <c r="BA258" i="4"/>
  <c r="BQ258" i="4"/>
  <c r="AY333" i="4"/>
  <c r="BA333" i="4"/>
  <c r="BQ333" i="4"/>
  <c r="BH592" i="4"/>
  <c r="BC592" i="4"/>
  <c r="AY157" i="4"/>
  <c r="BA157" i="4"/>
  <c r="BQ157" i="4"/>
  <c r="BC254" i="4"/>
  <c r="BH254" i="4"/>
  <c r="BC443" i="4"/>
  <c r="BH443" i="4"/>
  <c r="AY142" i="4"/>
  <c r="BA142" i="4"/>
  <c r="BQ142" i="4"/>
  <c r="BM631" i="4"/>
  <c r="BN631" i="4"/>
  <c r="BC387" i="4"/>
  <c r="BD387" i="4"/>
  <c r="BE387" i="4"/>
  <c r="BH387" i="4"/>
  <c r="BM560" i="4"/>
  <c r="BN560" i="4"/>
  <c r="AX432" i="4"/>
  <c r="AP432" i="4"/>
  <c r="AW432" i="4"/>
  <c r="BV432" i="4"/>
  <c r="BB288" i="4"/>
  <c r="AS288" i="4"/>
  <c r="AT288" i="4"/>
  <c r="BB420" i="4"/>
  <c r="AS420" i="4"/>
  <c r="AT420" i="4"/>
  <c r="BU156" i="4"/>
  <c r="BB146" i="4"/>
  <c r="AS146" i="4"/>
  <c r="AT146" i="4"/>
  <c r="BB540" i="4"/>
  <c r="AS540" i="4"/>
  <c r="AT540" i="4"/>
  <c r="BM323" i="4"/>
  <c r="BN323" i="4"/>
  <c r="BM177" i="4"/>
  <c r="BN177" i="4"/>
  <c r="BH145" i="4"/>
  <c r="BC145" i="4"/>
  <c r="BD145" i="4"/>
  <c r="BE145" i="4"/>
  <c r="BH181" i="4"/>
  <c r="BC181" i="4"/>
  <c r="BC640" i="4"/>
  <c r="BH640" i="4"/>
  <c r="AY319" i="4"/>
  <c r="BA319" i="4"/>
  <c r="BQ319" i="4"/>
  <c r="BD245" i="4"/>
  <c r="BE245" i="4"/>
  <c r="BI245" i="4"/>
  <c r="BJ245" i="4"/>
  <c r="BH382" i="4"/>
  <c r="BC382" i="4"/>
  <c r="BD382" i="4"/>
  <c r="BE382" i="4"/>
  <c r="BM465" i="4"/>
  <c r="BN465" i="4"/>
  <c r="BC628" i="4"/>
  <c r="BD628" i="4"/>
  <c r="BE628" i="4"/>
  <c r="BH628" i="4"/>
  <c r="BB225" i="4"/>
  <c r="AS225" i="4"/>
  <c r="AT225" i="4"/>
  <c r="BB395" i="4"/>
  <c r="AS395" i="4"/>
  <c r="AT395" i="4"/>
  <c r="BM395" i="4"/>
  <c r="BN395" i="4"/>
  <c r="AS578" i="4"/>
  <c r="AT578" i="4"/>
  <c r="BB578" i="4"/>
  <c r="BU610" i="4"/>
  <c r="BB205" i="4"/>
  <c r="AS205" i="4"/>
  <c r="AT205" i="4"/>
  <c r="BU271" i="4"/>
  <c r="BM496" i="4"/>
  <c r="BN496" i="4"/>
  <c r="AY166" i="4"/>
  <c r="BA166" i="4"/>
  <c r="BQ166" i="4"/>
  <c r="AY652" i="4"/>
  <c r="BA652" i="4"/>
  <c r="BQ652" i="4"/>
  <c r="AY253" i="4"/>
  <c r="BA253" i="4"/>
  <c r="BQ253" i="4"/>
  <c r="BA550" i="4"/>
  <c r="BQ550" i="4"/>
  <c r="AY550" i="4"/>
  <c r="BA450" i="4"/>
  <c r="BQ450" i="4"/>
  <c r="AY450" i="4"/>
  <c r="BH402" i="4"/>
  <c r="BC402" i="4"/>
  <c r="AW248" i="4"/>
  <c r="AP248" i="4"/>
  <c r="AX248" i="4"/>
  <c r="BV248" i="4"/>
  <c r="AW384" i="4"/>
  <c r="AP384" i="4"/>
  <c r="AX384" i="4"/>
  <c r="BV384" i="4"/>
  <c r="AW363" i="4"/>
  <c r="AX363" i="4"/>
  <c r="AP363" i="4"/>
  <c r="BV363" i="4"/>
  <c r="BB555" i="4"/>
  <c r="AY581" i="4"/>
  <c r="BA581" i="4"/>
  <c r="BQ581" i="4"/>
  <c r="AP176" i="4"/>
  <c r="AX176" i="4"/>
  <c r="AW176" i="4"/>
  <c r="BV176" i="4"/>
  <c r="BA633" i="4"/>
  <c r="BQ633" i="4"/>
  <c r="AY633" i="4"/>
  <c r="BH342" i="4"/>
  <c r="BC342" i="4"/>
  <c r="BD342" i="4"/>
  <c r="BE342" i="4"/>
  <c r="AP352" i="4"/>
  <c r="AX352" i="4"/>
  <c r="AW352" i="4"/>
  <c r="BV352" i="4"/>
  <c r="BM279" i="4"/>
  <c r="BN279" i="4"/>
  <c r="AW391" i="4"/>
  <c r="AX391" i="4"/>
  <c r="AP391" i="4"/>
  <c r="BV391" i="4"/>
  <c r="BV480" i="4"/>
  <c r="AP480" i="4"/>
  <c r="AW480" i="4"/>
  <c r="AX480" i="4"/>
  <c r="AY449" i="4"/>
  <c r="BA449" i="4"/>
  <c r="BQ449" i="4"/>
  <c r="BC567" i="4"/>
  <c r="BD567" i="4"/>
  <c r="BE567" i="4"/>
  <c r="BH567" i="4"/>
  <c r="BM556" i="4"/>
  <c r="BN556" i="4"/>
  <c r="BU472" i="4"/>
  <c r="BB561" i="4"/>
  <c r="AS561" i="4"/>
  <c r="AT561" i="4"/>
  <c r="BM561" i="4"/>
  <c r="BN561" i="4"/>
  <c r="BU403" i="4"/>
  <c r="BC313" i="4"/>
  <c r="BD313" i="4"/>
  <c r="BE313" i="4"/>
  <c r="BH313" i="4"/>
  <c r="BU632" i="4"/>
  <c r="BU190" i="4"/>
  <c r="AY250" i="4"/>
  <c r="BA250" i="4"/>
  <c r="BQ250" i="4"/>
  <c r="BB334" i="4"/>
  <c r="AS334" i="4"/>
  <c r="AT334" i="4"/>
  <c r="AY194" i="4"/>
  <c r="BA194" i="4"/>
  <c r="BQ194" i="4"/>
  <c r="AS501" i="4"/>
  <c r="AT501" i="4"/>
  <c r="BB501" i="4"/>
  <c r="AS513" i="4"/>
  <c r="AT513" i="4"/>
  <c r="BB513" i="4"/>
  <c r="AS223" i="4"/>
  <c r="AT223" i="4"/>
  <c r="BM223" i="4"/>
  <c r="BN223" i="4"/>
  <c r="BU352" i="4"/>
  <c r="BB212" i="4"/>
  <c r="AS212" i="4"/>
  <c r="AT212" i="4"/>
  <c r="AW224" i="4"/>
  <c r="AX224" i="4"/>
  <c r="AP224" i="4"/>
  <c r="BV224" i="4"/>
  <c r="BB274" i="4"/>
  <c r="AS274" i="4"/>
  <c r="AT274" i="4"/>
  <c r="BU478" i="4"/>
  <c r="BB599" i="4"/>
  <c r="AS599" i="4"/>
  <c r="AT599" i="4"/>
  <c r="BM599" i="4"/>
  <c r="BN599" i="4"/>
  <c r="BB360" i="4"/>
  <c r="BH182" i="4"/>
  <c r="BC182" i="4"/>
  <c r="BD182" i="4"/>
  <c r="BE182" i="4"/>
  <c r="BV353" i="4"/>
  <c r="AX353" i="4"/>
  <c r="AW353" i="4"/>
  <c r="AP353" i="4"/>
  <c r="BB376" i="4"/>
  <c r="AS376" i="4"/>
  <c r="AT376" i="4"/>
  <c r="BB292" i="4"/>
  <c r="AS292" i="4"/>
  <c r="AT292" i="4"/>
  <c r="BB281" i="4"/>
  <c r="AS281" i="4"/>
  <c r="AT281" i="4"/>
  <c r="BM281" i="4"/>
  <c r="BN281" i="4"/>
  <c r="AY553" i="4"/>
  <c r="BA553" i="4"/>
  <c r="BQ553" i="4"/>
  <c r="AY572" i="4"/>
  <c r="BA572" i="4"/>
  <c r="BQ572" i="4"/>
  <c r="BU485" i="4"/>
  <c r="AS550" i="4"/>
  <c r="AT550" i="4"/>
  <c r="BB550" i="4"/>
  <c r="BC213" i="4"/>
  <c r="BD213" i="4"/>
  <c r="BE213" i="4"/>
  <c r="BH213" i="4"/>
  <c r="BU315" i="4"/>
  <c r="BA646" i="4"/>
  <c r="BQ646" i="4"/>
  <c r="AY646" i="4"/>
  <c r="BM208" i="4"/>
  <c r="BN208" i="4"/>
  <c r="BC285" i="4"/>
  <c r="BH285" i="4"/>
  <c r="BA475" i="4"/>
  <c r="BQ475" i="4"/>
  <c r="AY475" i="4"/>
  <c r="AY244" i="4"/>
  <c r="BA244" i="4"/>
  <c r="BQ244" i="4"/>
  <c r="BB607" i="4"/>
  <c r="AS607" i="4"/>
  <c r="AT607" i="4"/>
  <c r="BM607" i="4"/>
  <c r="BN607" i="4"/>
  <c r="AY317" i="4"/>
  <c r="BA317" i="4"/>
  <c r="BQ317" i="4"/>
  <c r="AS651" i="4"/>
  <c r="AT651" i="4"/>
  <c r="BB651" i="4"/>
  <c r="BB280" i="4"/>
  <c r="AS280" i="4"/>
  <c r="AT280" i="4"/>
  <c r="BM280" i="4"/>
  <c r="BN280" i="4"/>
  <c r="BU493" i="4"/>
  <c r="AX655" i="4"/>
  <c r="AW655" i="4"/>
  <c r="AP655" i="4"/>
  <c r="BV655" i="4"/>
  <c r="BB255" i="4"/>
  <c r="AS255" i="4"/>
  <c r="AT255" i="4"/>
  <c r="BM130" i="4"/>
  <c r="BN130" i="4"/>
  <c r="AS451" i="4"/>
  <c r="AT451" i="4"/>
  <c r="BB451" i="4"/>
  <c r="AS442" i="4"/>
  <c r="AT442" i="4"/>
  <c r="BM127" i="4"/>
  <c r="BN127" i="4"/>
  <c r="BB504" i="4"/>
  <c r="AS504" i="4"/>
  <c r="AT504" i="4"/>
  <c r="AS357" i="4"/>
  <c r="AT357" i="4"/>
  <c r="BB357" i="4"/>
  <c r="BM297" i="4"/>
  <c r="BN297" i="4"/>
  <c r="BI153" i="4"/>
  <c r="BJ153" i="4"/>
  <c r="AP252" i="4"/>
  <c r="AW252" i="4"/>
  <c r="AX252" i="4"/>
  <c r="BV252" i="4"/>
  <c r="BU363" i="4"/>
  <c r="BU425" i="4"/>
  <c r="BB650" i="4"/>
  <c r="AS650" i="4"/>
  <c r="AT650" i="4"/>
  <c r="BB486" i="4"/>
  <c r="AS486" i="4"/>
  <c r="AT486" i="4"/>
  <c r="BM486" i="4"/>
  <c r="BN486" i="4"/>
  <c r="AY426" i="4"/>
  <c r="BA426" i="4"/>
  <c r="BQ426" i="4"/>
  <c r="AY277" i="4"/>
  <c r="BA277" i="4"/>
  <c r="BQ277" i="4"/>
  <c r="BH319" i="4"/>
  <c r="BC319" i="4"/>
  <c r="BD319" i="4"/>
  <c r="BE319" i="4"/>
  <c r="AY387" i="4"/>
  <c r="BA387" i="4"/>
  <c r="BQ387" i="4"/>
  <c r="BM377" i="4"/>
  <c r="BN377" i="4"/>
  <c r="AW332" i="4"/>
  <c r="AX332" i="4"/>
  <c r="AP332" i="4"/>
  <c r="BV332" i="4"/>
  <c r="AY133" i="4"/>
  <c r="BA133" i="4"/>
  <c r="BQ133" i="4"/>
  <c r="AX329" i="4"/>
  <c r="AW329" i="4"/>
  <c r="AP329" i="4"/>
  <c r="BV329" i="4"/>
  <c r="AS549" i="4"/>
  <c r="AT549" i="4"/>
  <c r="BM549" i="4"/>
  <c r="BN549" i="4"/>
  <c r="BB549" i="4"/>
  <c r="AS291" i="4"/>
  <c r="AT291" i="4"/>
  <c r="BH266" i="4"/>
  <c r="BC266" i="4"/>
  <c r="BD266" i="4"/>
  <c r="BE266" i="4"/>
  <c r="BB262" i="4"/>
  <c r="BM592" i="4"/>
  <c r="BN592" i="4"/>
  <c r="BB434" i="4"/>
  <c r="AS434" i="4"/>
  <c r="AT434" i="4"/>
  <c r="AS524" i="4"/>
  <c r="AT524" i="4"/>
  <c r="BM524" i="4"/>
  <c r="BN524" i="4"/>
  <c r="AS254" i="4"/>
  <c r="AT254" i="4"/>
  <c r="BB276" i="4"/>
  <c r="AS276" i="4"/>
  <c r="AT276" i="4"/>
  <c r="AY160" i="4"/>
  <c r="BA160" i="4"/>
  <c r="BQ160" i="4"/>
  <c r="BC659" i="4"/>
  <c r="BH659" i="4"/>
  <c r="BM320" i="4"/>
  <c r="BN320" i="4"/>
  <c r="BA631" i="4"/>
  <c r="BQ631" i="4"/>
  <c r="AY631" i="4"/>
  <c r="BH539" i="4"/>
  <c r="BC539" i="4"/>
  <c r="BC128" i="4"/>
  <c r="BH128" i="4"/>
  <c r="BB259" i="4"/>
  <c r="AS259" i="4"/>
  <c r="AT259" i="4"/>
  <c r="AY560" i="4"/>
  <c r="BA560" i="4"/>
  <c r="BQ560" i="4"/>
  <c r="BB581" i="4"/>
  <c r="AS581" i="4"/>
  <c r="AT581" i="4"/>
  <c r="BM581" i="4"/>
  <c r="BN581" i="4"/>
  <c r="BB445" i="4"/>
  <c r="AS445" i="4"/>
  <c r="AT445" i="4"/>
  <c r="BM445" i="4"/>
  <c r="BN445" i="4"/>
  <c r="BB206" i="4"/>
  <c r="AS206" i="4"/>
  <c r="AT206" i="4"/>
  <c r="AW288" i="4"/>
  <c r="AX288" i="4"/>
  <c r="AP288" i="4"/>
  <c r="BM288" i="4"/>
  <c r="BN288" i="4"/>
  <c r="BV288" i="4"/>
  <c r="BU565" i="4"/>
  <c r="BB407" i="4"/>
  <c r="AS407" i="4"/>
  <c r="AT407" i="4"/>
  <c r="AY312" i="4"/>
  <c r="BA312" i="4"/>
  <c r="BQ312" i="4"/>
  <c r="AS577" i="4"/>
  <c r="AT577" i="4"/>
  <c r="BB577" i="4"/>
  <c r="BA262" i="4"/>
  <c r="BQ262" i="4"/>
  <c r="AY262" i="4"/>
  <c r="BA607" i="4"/>
  <c r="BQ607" i="4"/>
  <c r="AY607" i="4"/>
  <c r="BU321" i="4"/>
  <c r="BB296" i="4"/>
  <c r="AS296" i="4"/>
  <c r="AT296" i="4"/>
  <c r="BH507" i="4"/>
  <c r="BC507" i="4"/>
  <c r="BD507" i="4"/>
  <c r="BE507" i="4"/>
  <c r="AY467" i="4"/>
  <c r="BA467" i="4"/>
  <c r="BQ467" i="4"/>
  <c r="AS454" i="4"/>
  <c r="AT454" i="4"/>
  <c r="BB454" i="4"/>
  <c r="AW574" i="4"/>
  <c r="AX574" i="4"/>
  <c r="AP574" i="4"/>
  <c r="BV574" i="4"/>
  <c r="BH649" i="4"/>
  <c r="BC649" i="4"/>
  <c r="BD649" i="4"/>
  <c r="BE649" i="4"/>
  <c r="AX428" i="4"/>
  <c r="AW428" i="4"/>
  <c r="BV428" i="4"/>
  <c r="AP428" i="4"/>
  <c r="BU424" i="4"/>
  <c r="AY498" i="4"/>
  <c r="BA498" i="4"/>
  <c r="BQ498" i="4"/>
  <c r="BU248" i="4"/>
  <c r="BM418" i="4"/>
  <c r="BN418" i="4"/>
  <c r="BM374" i="4"/>
  <c r="BN374" i="4"/>
  <c r="AY146" i="4"/>
  <c r="BA146" i="4"/>
  <c r="BQ146" i="4"/>
  <c r="BC349" i="4"/>
  <c r="BD349" i="4"/>
  <c r="BE349" i="4"/>
  <c r="BH349" i="4"/>
  <c r="AY457" i="4"/>
  <c r="BA457" i="4"/>
  <c r="BQ457" i="4"/>
  <c r="AY476" i="4"/>
  <c r="BA476" i="4"/>
  <c r="BQ476" i="4"/>
  <c r="AY251" i="4"/>
  <c r="BA251" i="4"/>
  <c r="BQ251" i="4"/>
  <c r="AY362" i="4"/>
  <c r="BA362" i="4"/>
  <c r="BQ362" i="4"/>
  <c r="AY280" i="4"/>
  <c r="BA280" i="4"/>
  <c r="BQ280" i="4"/>
  <c r="AY299" i="4"/>
  <c r="BA299" i="4"/>
  <c r="BQ299" i="4"/>
  <c r="BA390" i="4"/>
  <c r="BQ390" i="4"/>
  <c r="AY390" i="4"/>
  <c r="AY516" i="4"/>
  <c r="BA516" i="4"/>
  <c r="BQ516" i="4"/>
  <c r="AY590" i="4"/>
  <c r="BA590" i="4"/>
  <c r="BQ590" i="4"/>
  <c r="AY540" i="4"/>
  <c r="BA540" i="4"/>
  <c r="BQ540" i="4"/>
  <c r="AY490" i="4"/>
  <c r="BA490" i="4"/>
  <c r="BQ490" i="4"/>
  <c r="BA343" i="4"/>
  <c r="BQ343" i="4"/>
  <c r="AY343" i="4"/>
  <c r="BH302" i="4"/>
  <c r="BC302" i="4"/>
  <c r="BC185" i="4"/>
  <c r="BD185" i="4"/>
  <c r="BE185" i="4"/>
  <c r="BH185" i="4"/>
  <c r="AW564" i="4"/>
  <c r="AX564" i="4"/>
  <c r="AP564" i="4"/>
  <c r="BV564" i="4"/>
  <c r="BB219" i="4"/>
  <c r="AS219" i="4"/>
  <c r="AT219" i="4"/>
  <c r="AS553" i="4"/>
  <c r="AT553" i="4"/>
  <c r="BB553" i="4"/>
  <c r="AP424" i="4"/>
  <c r="AW424" i="4"/>
  <c r="AX424" i="4"/>
  <c r="BV424" i="4"/>
  <c r="AY173" i="4"/>
  <c r="BA173" i="4"/>
  <c r="BQ173" i="4"/>
  <c r="AW639" i="4"/>
  <c r="AX639" i="4"/>
  <c r="AP639" i="4"/>
  <c r="BV639" i="4"/>
  <c r="BV624" i="4"/>
  <c r="AW624" i="4"/>
  <c r="AX624" i="4"/>
  <c r="AP624" i="4"/>
  <c r="BU330" i="4"/>
  <c r="AS495" i="4"/>
  <c r="AT495" i="4"/>
  <c r="BM495" i="4"/>
  <c r="BN495" i="4"/>
  <c r="BB495" i="4"/>
  <c r="BB559" i="4"/>
  <c r="AS559" i="4"/>
  <c r="AT559" i="4"/>
  <c r="BM559" i="4"/>
  <c r="BN559" i="4"/>
  <c r="AY402" i="4"/>
  <c r="BA402" i="4"/>
  <c r="BQ402" i="4"/>
  <c r="BM660" i="4"/>
  <c r="BN660" i="4"/>
  <c r="BD397" i="4"/>
  <c r="BE397" i="4"/>
  <c r="AY459" i="4"/>
  <c r="BA459" i="4"/>
  <c r="BQ459" i="4"/>
  <c r="BB410" i="4"/>
  <c r="AS410" i="4"/>
  <c r="AT410" i="4"/>
  <c r="BB359" i="4"/>
  <c r="AS359" i="4"/>
  <c r="AT359" i="4"/>
  <c r="BM359" i="4"/>
  <c r="BN359" i="4"/>
  <c r="BM196" i="4"/>
  <c r="BN196" i="4"/>
  <c r="AS541" i="4"/>
  <c r="AT541" i="4"/>
  <c r="AS641" i="4"/>
  <c r="AT641" i="4"/>
  <c r="BB641" i="4"/>
  <c r="BA151" i="4"/>
  <c r="BQ151" i="4"/>
  <c r="AY151" i="4"/>
  <c r="BU322" i="4"/>
  <c r="AY555" i="4"/>
  <c r="BA555" i="4"/>
  <c r="BQ555" i="4"/>
  <c r="AP422" i="4"/>
  <c r="AX422" i="4"/>
  <c r="AW422" i="4"/>
  <c r="BV422" i="4"/>
  <c r="BU624" i="4"/>
  <c r="BB143" i="4"/>
  <c r="AY348" i="4"/>
  <c r="BA348" i="4"/>
  <c r="BQ348" i="4"/>
  <c r="AW478" i="4"/>
  <c r="AX478" i="4"/>
  <c r="BV478" i="4"/>
  <c r="AP478" i="4"/>
  <c r="AX503" i="4"/>
  <c r="AW503" i="4"/>
  <c r="AP503" i="4"/>
  <c r="BV503" i="4"/>
  <c r="AY559" i="4"/>
  <c r="BA559" i="4"/>
  <c r="BQ559" i="4"/>
  <c r="BH208" i="4"/>
  <c r="BC208" i="4"/>
  <c r="BD208" i="4"/>
  <c r="BE208" i="4"/>
  <c r="BH177" i="4"/>
  <c r="BC177" i="4"/>
  <c r="BD177" i="4"/>
  <c r="BE177" i="4"/>
  <c r="BC444" i="4"/>
  <c r="BD444" i="4"/>
  <c r="BE444" i="4"/>
  <c r="BH444" i="4"/>
  <c r="AY184" i="4"/>
  <c r="BA184" i="4"/>
  <c r="BQ184" i="4"/>
  <c r="BC257" i="4"/>
  <c r="BD257" i="4"/>
  <c r="BE257" i="4"/>
  <c r="BH257" i="4"/>
  <c r="BU438" i="4"/>
  <c r="BB412" i="4"/>
  <c r="AS412" i="4"/>
  <c r="AT412" i="4"/>
  <c r="BB353" i="4"/>
  <c r="AS353" i="4"/>
  <c r="AT353" i="4"/>
  <c r="BM595" i="4"/>
  <c r="BN595" i="4"/>
  <c r="AY314" i="4"/>
  <c r="BA314" i="4"/>
  <c r="BQ314" i="4"/>
  <c r="BU292" i="4"/>
  <c r="BC458" i="4"/>
  <c r="BH458" i="4"/>
  <c r="BD616" i="4"/>
  <c r="BE616" i="4"/>
  <c r="BI616" i="4"/>
  <c r="BJ616" i="4"/>
  <c r="BB485" i="4"/>
  <c r="AS485" i="4"/>
  <c r="AT485" i="4"/>
  <c r="BB123" i="4"/>
  <c r="AS123" i="4"/>
  <c r="AT123" i="4"/>
  <c r="BM123" i="4"/>
  <c r="BN123" i="4"/>
  <c r="BB299" i="4"/>
  <c r="AS299" i="4"/>
  <c r="AT299" i="4"/>
  <c r="AX315" i="4"/>
  <c r="AW315" i="4"/>
  <c r="BV315" i="4"/>
  <c r="AP315" i="4"/>
  <c r="BB613" i="4"/>
  <c r="AS613" i="4"/>
  <c r="AT613" i="4"/>
  <c r="BM613" i="4"/>
  <c r="BN613" i="4"/>
  <c r="BM646" i="4"/>
  <c r="BN646" i="4"/>
  <c r="BB441" i="4"/>
  <c r="AS441" i="4"/>
  <c r="AT441" i="4"/>
  <c r="BU186" i="4"/>
  <c r="BC163" i="4"/>
  <c r="BD163" i="4"/>
  <c r="BE163" i="4"/>
  <c r="BH163" i="4"/>
  <c r="BH132" i="4"/>
  <c r="BC132" i="4"/>
  <c r="BD132" i="4"/>
  <c r="BE132" i="4"/>
  <c r="BB611" i="4"/>
  <c r="AS611" i="4"/>
  <c r="AT611" i="4"/>
  <c r="BM611" i="4"/>
  <c r="BN611" i="4"/>
  <c r="AY491" i="4"/>
  <c r="BA491" i="4"/>
  <c r="BQ491" i="4"/>
  <c r="AS466" i="4"/>
  <c r="AT466" i="4"/>
  <c r="BA458" i="4"/>
  <c r="BQ458" i="4"/>
  <c r="AY458" i="4"/>
  <c r="BM463" i="4"/>
  <c r="BN463" i="4"/>
  <c r="AY414" i="4"/>
  <c r="BA414" i="4"/>
  <c r="BQ414" i="4"/>
  <c r="BC534" i="4"/>
  <c r="BH534" i="4"/>
  <c r="AY486" i="4"/>
  <c r="BA486" i="4"/>
  <c r="BQ486" i="4"/>
  <c r="BB597" i="4"/>
  <c r="AS597" i="4"/>
  <c r="AT597" i="4"/>
  <c r="AY613" i="4"/>
  <c r="BA613" i="4"/>
  <c r="BQ613" i="4"/>
  <c r="BA619" i="4"/>
  <c r="BQ619" i="4"/>
  <c r="AY619" i="4"/>
  <c r="AX504" i="4"/>
  <c r="AW504" i="4"/>
  <c r="AP504" i="4"/>
  <c r="BV504" i="4"/>
  <c r="AY265" i="4"/>
  <c r="BA265" i="4"/>
  <c r="BQ265" i="4"/>
  <c r="AY453" i="4"/>
  <c r="BA453" i="4"/>
  <c r="BQ453" i="4"/>
  <c r="BA227" i="4"/>
  <c r="BQ227" i="4"/>
  <c r="AY227" i="4"/>
  <c r="AY356" i="4"/>
  <c r="BA356" i="4"/>
  <c r="BQ356" i="4"/>
  <c r="AS658" i="4"/>
  <c r="AT658" i="4"/>
  <c r="BM658" i="4"/>
  <c r="BN658" i="4"/>
  <c r="BB658" i="4"/>
  <c r="BB318" i="4"/>
  <c r="AS318" i="4"/>
  <c r="AT318" i="4"/>
  <c r="BH514" i="4"/>
  <c r="BC514" i="4"/>
  <c r="BD514" i="4"/>
  <c r="BE514" i="4"/>
  <c r="BH392" i="4"/>
  <c r="BC392" i="4"/>
  <c r="BD392" i="4"/>
  <c r="BE392" i="4"/>
  <c r="BV276" i="4"/>
  <c r="AW276" i="4"/>
  <c r="AX276" i="4"/>
  <c r="AP276" i="4"/>
  <c r="BM277" i="4"/>
  <c r="BN277" i="4"/>
  <c r="BM358" i="4"/>
  <c r="BN358" i="4"/>
  <c r="BH356" i="4"/>
  <c r="BC356" i="4"/>
  <c r="BD356" i="4"/>
  <c r="BE356" i="4"/>
  <c r="BA377" i="4"/>
  <c r="BQ377" i="4"/>
  <c r="AY377" i="4"/>
  <c r="AY416" i="4"/>
  <c r="BA416" i="4"/>
  <c r="BQ416" i="4"/>
  <c r="BB199" i="4"/>
  <c r="AS199" i="4"/>
  <c r="AT199" i="4"/>
  <c r="BU218" i="4"/>
  <c r="BB586" i="4"/>
  <c r="AS586" i="4"/>
  <c r="AT586" i="4"/>
  <c r="BM586" i="4"/>
  <c r="BN586" i="4"/>
  <c r="BH291" i="4"/>
  <c r="BC291" i="4"/>
  <c r="BD291" i="4"/>
  <c r="BE291" i="4"/>
  <c r="AY229" i="4"/>
  <c r="BA229" i="4"/>
  <c r="BQ229" i="4"/>
  <c r="BM199" i="4"/>
  <c r="BN199" i="4"/>
  <c r="AW237" i="4"/>
  <c r="AX237" i="4"/>
  <c r="AP237" i="4"/>
  <c r="BM237" i="4"/>
  <c r="BN237" i="4"/>
  <c r="BV237" i="4"/>
  <c r="BH167" i="4"/>
  <c r="BC167" i="4"/>
  <c r="BD167" i="4"/>
  <c r="BE167" i="4"/>
  <c r="BC562" i="4"/>
  <c r="BD562" i="4"/>
  <c r="BE562" i="4"/>
  <c r="BH562" i="4"/>
  <c r="BH270" i="4"/>
  <c r="BC270" i="4"/>
  <c r="BD270" i="4"/>
  <c r="BE270" i="4"/>
  <c r="BH648" i="4"/>
  <c r="BC648" i="4"/>
  <c r="BH623" i="4"/>
  <c r="BC623" i="4"/>
  <c r="BB630" i="4"/>
  <c r="AS630" i="4"/>
  <c r="AT630" i="4"/>
  <c r="BM630" i="4"/>
  <c r="BN630" i="4"/>
  <c r="BB527" i="4"/>
  <c r="AS527" i="4"/>
  <c r="AT527" i="4"/>
  <c r="BM527" i="4"/>
  <c r="BN527" i="4"/>
  <c r="AY369" i="4"/>
  <c r="BA369" i="4"/>
  <c r="BQ369" i="4"/>
  <c r="BB432" i="4"/>
  <c r="AS432" i="4"/>
  <c r="AT432" i="4"/>
  <c r="BB207" i="4"/>
  <c r="AS207" i="4"/>
  <c r="AT207" i="4"/>
  <c r="BM207" i="4"/>
  <c r="BN207" i="4"/>
  <c r="BB366" i="4"/>
  <c r="AS366" i="4"/>
  <c r="AT366" i="4"/>
  <c r="AX156" i="4"/>
  <c r="AW156" i="4"/>
  <c r="AP156" i="4"/>
  <c r="BV156" i="4"/>
  <c r="AY506" i="4"/>
  <c r="BA506" i="4"/>
  <c r="BQ506" i="4"/>
  <c r="BB201" i="4"/>
  <c r="AS201" i="4"/>
  <c r="AT201" i="4"/>
  <c r="AY180" i="4"/>
  <c r="BA180" i="4"/>
  <c r="BQ180" i="4"/>
  <c r="BB476" i="4"/>
  <c r="AS476" i="4"/>
  <c r="AT476" i="4"/>
  <c r="BM476" i="4"/>
  <c r="BN476" i="4"/>
  <c r="AY524" i="4"/>
  <c r="BA524" i="4"/>
  <c r="BQ524" i="4"/>
  <c r="BB488" i="4"/>
  <c r="AS488" i="4"/>
  <c r="AT488" i="4"/>
  <c r="BM488" i="4"/>
  <c r="BN488" i="4"/>
  <c r="AY177" i="4"/>
  <c r="BA177" i="4"/>
  <c r="BQ177" i="4"/>
  <c r="BB166" i="4"/>
  <c r="AS166" i="4"/>
  <c r="AT166" i="4"/>
  <c r="BB580" i="4"/>
  <c r="AS580" i="4"/>
  <c r="AT580" i="4"/>
  <c r="BM619" i="4"/>
  <c r="BN619" i="4"/>
  <c r="BA267" i="4"/>
  <c r="BQ267" i="4"/>
  <c r="AY267" i="4"/>
  <c r="BH147" i="4"/>
  <c r="BC147" i="4"/>
  <c r="BU216" i="4"/>
  <c r="BC537" i="4"/>
  <c r="BH537" i="4"/>
  <c r="BC415" i="4"/>
  <c r="BD415" i="4"/>
  <c r="BE415" i="4"/>
  <c r="BH415" i="4"/>
  <c r="BB399" i="4"/>
  <c r="AS399" i="4"/>
  <c r="AT399" i="4"/>
  <c r="BM307" i="4"/>
  <c r="BN307" i="4"/>
  <c r="BA465" i="4"/>
  <c r="BQ465" i="4"/>
  <c r="AY465" i="4"/>
  <c r="BB171" i="4"/>
  <c r="AS171" i="4"/>
  <c r="AT171" i="4"/>
  <c r="BA418" i="4"/>
  <c r="BQ418" i="4"/>
  <c r="AY418" i="4"/>
  <c r="BU578" i="4"/>
  <c r="AW610" i="4"/>
  <c r="AX610" i="4"/>
  <c r="AP610" i="4"/>
  <c r="BV610" i="4"/>
  <c r="BC148" i="4"/>
  <c r="BD148" i="4"/>
  <c r="BE148" i="4"/>
  <c r="BH148" i="4"/>
  <c r="AW427" i="4"/>
  <c r="AX427" i="4"/>
  <c r="AP427" i="4"/>
  <c r="BV427" i="4"/>
  <c r="AY440" i="4"/>
  <c r="BA440" i="4"/>
  <c r="BQ440" i="4"/>
  <c r="AY527" i="4"/>
  <c r="BA527" i="4"/>
  <c r="BQ527" i="4"/>
  <c r="AY207" i="4"/>
  <c r="BA207" i="4"/>
  <c r="BQ207" i="4"/>
  <c r="BA641" i="4"/>
  <c r="BQ641" i="4"/>
  <c r="AY641" i="4"/>
  <c r="BA359" i="4"/>
  <c r="BQ359" i="4"/>
  <c r="AY359" i="4"/>
  <c r="BA496" i="4"/>
  <c r="BQ496" i="4"/>
  <c r="AY496" i="4"/>
  <c r="BD560" i="4"/>
  <c r="BE560" i="4"/>
  <c r="AY303" i="4"/>
  <c r="BA303" i="4"/>
  <c r="BQ303" i="4"/>
  <c r="AY189" i="4"/>
  <c r="BA189" i="4"/>
  <c r="BQ189" i="4"/>
  <c r="BM552" i="4"/>
  <c r="BN552" i="4"/>
  <c r="BA135" i="4"/>
  <c r="BQ135" i="4"/>
  <c r="AY135" i="4"/>
  <c r="BD268" i="4"/>
  <c r="BE268" i="4"/>
  <c r="BI268" i="4"/>
  <c r="BJ268" i="4"/>
  <c r="AY436" i="4"/>
  <c r="BA436" i="4"/>
  <c r="BQ436" i="4"/>
  <c r="BH200" i="4"/>
  <c r="BC200" i="4"/>
  <c r="AY238" i="4"/>
  <c r="BA238" i="4"/>
  <c r="BQ238" i="4"/>
  <c r="BU155" i="4"/>
  <c r="AX647" i="4"/>
  <c r="AW647" i="4"/>
  <c r="AP647" i="4"/>
  <c r="BV647" i="4"/>
  <c r="BH416" i="4"/>
  <c r="BC416" i="4"/>
  <c r="AX247" i="4"/>
  <c r="AW247" i="4"/>
  <c r="BV247" i="4"/>
  <c r="AP247" i="4"/>
  <c r="AS150" i="4"/>
  <c r="AT150" i="4"/>
  <c r="BB150" i="4"/>
  <c r="BB404" i="4"/>
  <c r="AS404" i="4"/>
  <c r="AT404" i="4"/>
  <c r="BM404" i="4"/>
  <c r="BN404" i="4"/>
  <c r="BB573" i="4"/>
  <c r="AS573" i="4"/>
  <c r="AT573" i="4"/>
  <c r="BM573" i="4"/>
  <c r="BN573" i="4"/>
  <c r="BH196" i="4"/>
  <c r="BC196" i="4"/>
  <c r="BD196" i="4"/>
  <c r="BE196" i="4"/>
  <c r="AY515" i="4"/>
  <c r="BA515" i="4"/>
  <c r="BQ515" i="4"/>
  <c r="AW612" i="4"/>
  <c r="AX612" i="4"/>
  <c r="AP612" i="4"/>
  <c r="BV612" i="4"/>
  <c r="AY481" i="4"/>
  <c r="BA481" i="4"/>
  <c r="BQ481" i="4"/>
  <c r="AY279" i="4"/>
  <c r="BA279" i="4"/>
  <c r="BQ279" i="4"/>
  <c r="AW330" i="4"/>
  <c r="AX330" i="4"/>
  <c r="AP330" i="4"/>
  <c r="BV330" i="4"/>
  <c r="BB178" i="4"/>
  <c r="AS178" i="4"/>
  <c r="AT178" i="4"/>
  <c r="BA200" i="4"/>
  <c r="BQ200" i="4"/>
  <c r="AY200" i="4"/>
  <c r="BH660" i="4"/>
  <c r="BC660" i="4"/>
  <c r="AY556" i="4"/>
  <c r="BA556" i="4"/>
  <c r="BQ556" i="4"/>
  <c r="AY182" i="4"/>
  <c r="BA182" i="4"/>
  <c r="BQ182" i="4"/>
  <c r="BH235" i="4"/>
  <c r="BC235" i="4"/>
  <c r="BD235" i="4"/>
  <c r="BE235" i="4"/>
  <c r="BH130" i="4"/>
  <c r="BC130" i="4"/>
  <c r="BB431" i="4"/>
  <c r="AS431" i="4"/>
  <c r="AT431" i="4"/>
  <c r="BH429" i="4"/>
  <c r="BC429" i="4"/>
  <c r="BD429" i="4"/>
  <c r="BE429" i="4"/>
  <c r="BC520" i="4"/>
  <c r="BH520" i="4"/>
  <c r="AY196" i="4"/>
  <c r="BA196" i="4"/>
  <c r="BQ196" i="4"/>
  <c r="AY389" i="4"/>
  <c r="BA389" i="4"/>
  <c r="BQ389" i="4"/>
  <c r="AW322" i="4"/>
  <c r="AX322" i="4"/>
  <c r="AP322" i="4"/>
  <c r="BM322" i="4"/>
  <c r="BN322" i="4"/>
  <c r="BV322" i="4"/>
  <c r="AS572" i="4"/>
  <c r="AT572" i="4"/>
  <c r="BB572" i="4"/>
  <c r="BU274" i="4"/>
  <c r="BB390" i="4"/>
  <c r="AS390" i="4"/>
  <c r="AT390" i="4"/>
  <c r="BM390" i="4"/>
  <c r="BN390" i="4"/>
  <c r="BH618" i="4"/>
  <c r="BC618" i="4"/>
  <c r="AY419" i="4"/>
  <c r="BA419" i="4"/>
  <c r="BQ419" i="4"/>
  <c r="BB475" i="4"/>
  <c r="AS475" i="4"/>
  <c r="AT475" i="4"/>
  <c r="AY214" i="4"/>
  <c r="BA214" i="4"/>
  <c r="BQ214" i="4"/>
  <c r="BM410" i="4"/>
  <c r="BN410" i="4"/>
  <c r="AY561" i="4"/>
  <c r="BA561" i="4"/>
  <c r="BQ561" i="4"/>
  <c r="BC380" i="4"/>
  <c r="BH380" i="4"/>
  <c r="BB455" i="4"/>
  <c r="AS455" i="4"/>
  <c r="AT455" i="4"/>
  <c r="BB446" i="4"/>
  <c r="AS446" i="4"/>
  <c r="AT446" i="4"/>
  <c r="BU489" i="4"/>
  <c r="AY192" i="4"/>
  <c r="BA192" i="4"/>
  <c r="BQ192" i="4"/>
  <c r="BM513" i="4"/>
  <c r="BN513" i="4"/>
  <c r="BB138" i="4"/>
  <c r="AS138" i="4"/>
  <c r="AT138" i="4"/>
  <c r="BM138" i="4"/>
  <c r="BN138" i="4"/>
  <c r="BB656" i="4"/>
  <c r="AS656" i="4"/>
  <c r="AT656" i="4"/>
  <c r="AY223" i="4"/>
  <c r="BA223" i="4"/>
  <c r="BQ223" i="4"/>
  <c r="BH587" i="4"/>
  <c r="BC587" i="4"/>
  <c r="AW482" i="4"/>
  <c r="AX482" i="4"/>
  <c r="AP482" i="4"/>
  <c r="BV482" i="4"/>
  <c r="BA208" i="4"/>
  <c r="BQ208" i="4"/>
  <c r="AY208" i="4"/>
  <c r="BA594" i="4"/>
  <c r="BQ594" i="4"/>
  <c r="AY594" i="4"/>
  <c r="BM300" i="4"/>
  <c r="BN300" i="4"/>
  <c r="AY152" i="4"/>
  <c r="BA152" i="4"/>
  <c r="BQ152" i="4"/>
  <c r="AY170" i="4"/>
  <c r="BA170" i="4"/>
  <c r="BQ170" i="4"/>
  <c r="BB657" i="4"/>
  <c r="AS657" i="4"/>
  <c r="AT657" i="4"/>
  <c r="BU179" i="4"/>
  <c r="BH175" i="4"/>
  <c r="BC175" i="4"/>
  <c r="BD175" i="4"/>
  <c r="BE175" i="4"/>
  <c r="BH463" i="4"/>
  <c r="BC463" i="4"/>
  <c r="BD463" i="4"/>
  <c r="BE463" i="4"/>
  <c r="AY519" i="4"/>
  <c r="BA519" i="4"/>
  <c r="BQ519" i="4"/>
  <c r="BB493" i="4"/>
  <c r="AS493" i="4"/>
  <c r="AT493" i="4"/>
  <c r="AY543" i="4"/>
  <c r="BA543" i="4"/>
  <c r="BQ543" i="4"/>
  <c r="BB589" i="4"/>
  <c r="AS589" i="4"/>
  <c r="AT589" i="4"/>
  <c r="BM589" i="4"/>
  <c r="BN589" i="4"/>
  <c r="BM302" i="4"/>
  <c r="BN302" i="4"/>
  <c r="AY127" i="4"/>
  <c r="BA127" i="4"/>
  <c r="BQ127" i="4"/>
  <c r="AS159" i="4"/>
  <c r="AT159" i="4"/>
  <c r="BM159" i="4"/>
  <c r="BN159" i="4"/>
  <c r="BB159" i="4"/>
  <c r="AS204" i="4"/>
  <c r="AT204" i="4"/>
  <c r="BB204" i="4"/>
  <c r="AY473" i="4"/>
  <c r="BA473" i="4"/>
  <c r="BQ473" i="4"/>
  <c r="BU318" i="4"/>
  <c r="BA388" i="4"/>
  <c r="BQ388" i="4"/>
  <c r="AY388" i="4"/>
  <c r="BB333" i="4"/>
  <c r="AS333" i="4"/>
  <c r="AT333" i="4"/>
  <c r="AW492" i="4"/>
  <c r="AP492" i="4"/>
  <c r="AX492" i="4"/>
  <c r="BV492" i="4"/>
  <c r="BM310" i="4"/>
  <c r="BN310" i="4"/>
  <c r="BC591" i="4"/>
  <c r="BH591" i="4"/>
  <c r="BM460" i="4"/>
  <c r="BN460" i="4"/>
  <c r="AY131" i="4"/>
  <c r="BA131" i="4"/>
  <c r="BQ131" i="4"/>
  <c r="BM416" i="4"/>
  <c r="BN416" i="4"/>
  <c r="BB218" i="4"/>
  <c r="AS218" i="4"/>
  <c r="AT218" i="4"/>
  <c r="BB316" i="4"/>
  <c r="AS316" i="4"/>
  <c r="AT316" i="4"/>
  <c r="AY206" i="4"/>
  <c r="BA206" i="4"/>
  <c r="BQ206" i="4"/>
  <c r="BB312" i="4"/>
  <c r="AS312" i="4"/>
  <c r="AT312" i="4"/>
  <c r="BM312" i="4"/>
  <c r="BN312" i="4"/>
  <c r="AY311" i="4"/>
  <c r="BA311" i="4"/>
  <c r="BQ311" i="4"/>
  <c r="BC465" i="4"/>
  <c r="BD465" i="4"/>
  <c r="BE465" i="4"/>
  <c r="BH465" i="4"/>
  <c r="BA382" i="4"/>
  <c r="BQ382" i="4"/>
  <c r="AY382" i="4"/>
  <c r="BM606" i="4"/>
  <c r="BN606" i="4"/>
  <c r="AY368" i="4"/>
  <c r="BA368" i="4"/>
  <c r="BQ368" i="4"/>
  <c r="BU276" i="4"/>
  <c r="BM571" i="4"/>
  <c r="BN571" i="4"/>
  <c r="BH625" i="4"/>
  <c r="BC625" i="4"/>
  <c r="BD625" i="4"/>
  <c r="BE625" i="4"/>
  <c r="AY320" i="4"/>
  <c r="BA320" i="4"/>
  <c r="BQ320" i="4"/>
  <c r="AS283" i="4"/>
  <c r="AT283" i="4"/>
  <c r="AW216" i="4"/>
  <c r="AX216" i="4"/>
  <c r="AP216" i="4"/>
  <c r="BV216" i="4"/>
  <c r="BI140" i="4"/>
  <c r="BJ140" i="4"/>
  <c r="AX407" i="4"/>
  <c r="AW407" i="4"/>
  <c r="AP407" i="4"/>
  <c r="BM407" i="4"/>
  <c r="BN407" i="4"/>
  <c r="BV407" i="4"/>
  <c r="AY551" i="4"/>
  <c r="BA551" i="4"/>
  <c r="BQ551" i="4"/>
  <c r="BB340" i="4"/>
  <c r="AS340" i="4"/>
  <c r="AT340" i="4"/>
  <c r="BA448" i="4"/>
  <c r="BQ448" i="4"/>
  <c r="AY448" i="4"/>
  <c r="BM254" i="4"/>
  <c r="BN254" i="4"/>
  <c r="BB321" i="4"/>
  <c r="AS321" i="4"/>
  <c r="AT321" i="4"/>
  <c r="BH134" i="4"/>
  <c r="BC134" i="4"/>
  <c r="BD134" i="4"/>
  <c r="BE134" i="4"/>
  <c r="BH619" i="4"/>
  <c r="BC619" i="4"/>
  <c r="BD619" i="4"/>
  <c r="BE619" i="4"/>
  <c r="BB564" i="4"/>
  <c r="AS564" i="4"/>
  <c r="AT564" i="4"/>
  <c r="AY270" i="4"/>
  <c r="BA270" i="4"/>
  <c r="BQ270" i="4"/>
  <c r="BB216" i="4"/>
  <c r="AS216" i="4"/>
  <c r="AT216" i="4"/>
  <c r="BC361" i="4"/>
  <c r="BH361" i="4"/>
  <c r="AS574" i="4"/>
  <c r="AT574" i="4"/>
  <c r="BB574" i="4"/>
  <c r="AY542" i="4"/>
  <c r="BA542" i="4"/>
  <c r="BQ542" i="4"/>
  <c r="AS477" i="4"/>
  <c r="AT477" i="4"/>
  <c r="BB477" i="4"/>
  <c r="BB211" i="4"/>
  <c r="AS211" i="4"/>
  <c r="AT211" i="4"/>
  <c r="BU171" i="4"/>
  <c r="AY374" i="4"/>
  <c r="BA374" i="4"/>
  <c r="BQ374" i="4"/>
  <c r="AY145" i="4"/>
  <c r="BA145" i="4"/>
  <c r="BQ145" i="4"/>
  <c r="BU546" i="4"/>
  <c r="BU205" i="4"/>
  <c r="BM360" i="4"/>
  <c r="BN360" i="4"/>
  <c r="AY445" i="4"/>
  <c r="BA445" i="4"/>
  <c r="BQ445" i="4"/>
  <c r="AY331" i="4"/>
  <c r="BA331" i="4"/>
  <c r="BQ331" i="4"/>
  <c r="AY586" i="4"/>
  <c r="BA586" i="4"/>
  <c r="BQ586" i="4"/>
  <c r="AY589" i="4"/>
  <c r="BA589" i="4"/>
  <c r="BQ589" i="4"/>
  <c r="BM259" i="4"/>
  <c r="BN259" i="4"/>
  <c r="BM420" i="4"/>
  <c r="BN420" i="4"/>
  <c r="AY370" i="4"/>
  <c r="BA370" i="4"/>
  <c r="BQ370" i="4"/>
  <c r="AY549" i="4"/>
  <c r="BA549" i="4"/>
  <c r="BQ549" i="4"/>
  <c r="AY240" i="4"/>
  <c r="BA240" i="4"/>
  <c r="BQ240" i="4"/>
  <c r="BA630" i="4"/>
  <c r="BQ630" i="4"/>
  <c r="AY630" i="4"/>
  <c r="BA552" i="4"/>
  <c r="BQ552" i="4"/>
  <c r="AY552" i="4"/>
  <c r="AY396" i="4"/>
  <c r="BA396" i="4"/>
  <c r="BQ396" i="4"/>
  <c r="BM577" i="4"/>
  <c r="BN577" i="4"/>
  <c r="BM255" i="4"/>
  <c r="BN255" i="4"/>
  <c r="AY406" i="4"/>
  <c r="BA406" i="4"/>
  <c r="BQ406" i="4"/>
  <c r="BM580" i="4"/>
  <c r="BN580" i="4"/>
  <c r="BB385" i="4"/>
  <c r="AS385" i="4"/>
  <c r="AT385" i="4"/>
  <c r="BM385" i="4"/>
  <c r="BN385" i="4"/>
  <c r="AY640" i="4"/>
  <c r="BA640" i="4"/>
  <c r="BQ640" i="4"/>
  <c r="BH556" i="4"/>
  <c r="BC556" i="4"/>
  <c r="BH264" i="4"/>
  <c r="BC264" i="4"/>
  <c r="BH339" i="4"/>
  <c r="BC339" i="4"/>
  <c r="BD339" i="4"/>
  <c r="BE339" i="4"/>
  <c r="AW632" i="4"/>
  <c r="AP632" i="4"/>
  <c r="AX632" i="4"/>
  <c r="BV632" i="4"/>
  <c r="AS261" i="4"/>
  <c r="AT261" i="4"/>
  <c r="BM261" i="4"/>
  <c r="BN261" i="4"/>
  <c r="BB261" i="4"/>
  <c r="BB653" i="4"/>
  <c r="AS653" i="4"/>
  <c r="AT653" i="4"/>
  <c r="BM653" i="4"/>
  <c r="BN653" i="4"/>
  <c r="BB194" i="4"/>
  <c r="BH354" i="4"/>
  <c r="BC354" i="4"/>
  <c r="BD354" i="4"/>
  <c r="BE354" i="4"/>
  <c r="AY285" i="4"/>
  <c r="BA285" i="4"/>
  <c r="BQ285" i="4"/>
  <c r="BB343" i="4"/>
  <c r="AS343" i="4"/>
  <c r="AT343" i="4"/>
  <c r="BM343" i="4"/>
  <c r="BN343" i="4"/>
  <c r="AY622" i="4"/>
  <c r="BA622" i="4"/>
  <c r="BQ622" i="4"/>
  <c r="BB305" i="4"/>
  <c r="AS305" i="4"/>
  <c r="AT305" i="4"/>
  <c r="BM305" i="4"/>
  <c r="BN305" i="4"/>
  <c r="AY623" i="4"/>
  <c r="BA623" i="4"/>
  <c r="BQ623" i="4"/>
  <c r="AX546" i="4"/>
  <c r="AP546" i="4"/>
  <c r="AW546" i="4"/>
  <c r="BV546" i="4"/>
  <c r="AY295" i="4"/>
  <c r="BA295" i="4"/>
  <c r="BQ295" i="4"/>
  <c r="BB545" i="4"/>
  <c r="AS545" i="4"/>
  <c r="AT545" i="4"/>
  <c r="BM545" i="4"/>
  <c r="BN545" i="4"/>
  <c r="AY437" i="4"/>
  <c r="BA437" i="4"/>
  <c r="BQ437" i="4"/>
  <c r="BB403" i="4"/>
  <c r="AS403" i="4"/>
  <c r="AT403" i="4"/>
  <c r="BB294" i="4"/>
  <c r="AS294" i="4"/>
  <c r="AT294" i="4"/>
  <c r="BM294" i="4"/>
  <c r="BN294" i="4"/>
  <c r="AS632" i="4"/>
  <c r="AT632" i="4"/>
  <c r="BB632" i="4"/>
  <c r="AY411" i="4"/>
  <c r="BA411" i="4"/>
  <c r="BQ411" i="4"/>
  <c r="BH541" i="4"/>
  <c r="BC541" i="4"/>
  <c r="BC311" i="4"/>
  <c r="BD311" i="4"/>
  <c r="BE311" i="4"/>
  <c r="BH311" i="4"/>
  <c r="AY645" i="4"/>
  <c r="BA645" i="4"/>
  <c r="BQ645" i="4"/>
  <c r="AY627" i="4"/>
  <c r="BA627" i="4"/>
  <c r="BQ627" i="4"/>
  <c r="AY337" i="4"/>
  <c r="BA337" i="4"/>
  <c r="BQ337" i="4"/>
  <c r="AY305" i="4"/>
  <c r="BA305" i="4"/>
  <c r="BQ305" i="4"/>
  <c r="BB352" i="4"/>
  <c r="AS352" i="4"/>
  <c r="AT352" i="4"/>
  <c r="AY423" i="4"/>
  <c r="BA423" i="4"/>
  <c r="BQ423" i="4"/>
  <c r="AY495" i="4"/>
  <c r="BA495" i="4"/>
  <c r="BQ495" i="4"/>
  <c r="BB253" i="4"/>
  <c r="AS253" i="4"/>
  <c r="AT253" i="4"/>
  <c r="BM253" i="4"/>
  <c r="BN253" i="4"/>
  <c r="BU480" i="4"/>
  <c r="AY172" i="4"/>
  <c r="BA172" i="4"/>
  <c r="BQ172" i="4"/>
  <c r="BC646" i="4"/>
  <c r="BH646" i="4"/>
  <c r="BC347" i="4"/>
  <c r="BD347" i="4"/>
  <c r="BE347" i="4"/>
  <c r="BH347" i="4"/>
  <c r="BC170" i="4"/>
  <c r="BH170" i="4"/>
  <c r="BH437" i="4"/>
  <c r="BC437" i="4"/>
  <c r="BD437" i="4"/>
  <c r="BE437" i="4"/>
  <c r="BM618" i="4"/>
  <c r="BN618" i="4"/>
  <c r="BB438" i="4"/>
  <c r="AS438" i="4"/>
  <c r="AT438" i="4"/>
  <c r="BB491" i="4"/>
  <c r="AS491" i="4"/>
  <c r="AT491" i="4"/>
  <c r="BM491" i="4"/>
  <c r="BN491" i="4"/>
  <c r="BH151" i="4"/>
  <c r="BC151" i="4"/>
  <c r="AY595" i="4"/>
  <c r="BA595" i="4"/>
  <c r="BQ595" i="4"/>
  <c r="BB532" i="4"/>
  <c r="AS532" i="4"/>
  <c r="AT532" i="4"/>
  <c r="BB263" i="4"/>
  <c r="AS263" i="4"/>
  <c r="AT263" i="4"/>
  <c r="BB240" i="4"/>
  <c r="AS240" i="4"/>
  <c r="AT240" i="4"/>
  <c r="BM240" i="4"/>
  <c r="BN240" i="4"/>
  <c r="BA463" i="4"/>
  <c r="BQ463" i="4"/>
  <c r="AY463" i="4"/>
  <c r="BM501" i="4"/>
  <c r="BN501" i="4"/>
  <c r="BB482" i="4"/>
  <c r="AS482" i="4"/>
  <c r="AT482" i="4"/>
  <c r="BB136" i="4"/>
  <c r="AS136" i="4"/>
  <c r="AT136" i="4"/>
  <c r="BM644" i="4"/>
  <c r="BN644" i="4"/>
  <c r="AY300" i="4"/>
  <c r="BA300" i="4"/>
  <c r="BQ300" i="4"/>
  <c r="BH149" i="4"/>
  <c r="BC149" i="4"/>
  <c r="BD149" i="4"/>
  <c r="BE149" i="4"/>
  <c r="AX179" i="4"/>
  <c r="AW179" i="4"/>
  <c r="AP179" i="4"/>
  <c r="BM179" i="4"/>
  <c r="BN179" i="4"/>
  <c r="BV179" i="4"/>
  <c r="BC466" i="4"/>
  <c r="BH466" i="4"/>
  <c r="AW289" i="4"/>
  <c r="AX289" i="4"/>
  <c r="AP289" i="4"/>
  <c r="BV289" i="4"/>
  <c r="BB490" i="4"/>
  <c r="AS490" i="4"/>
  <c r="AT490" i="4"/>
  <c r="BC570" i="4"/>
  <c r="BH570" i="4"/>
  <c r="BM414" i="4"/>
  <c r="BN414" i="4"/>
  <c r="AS604" i="4"/>
  <c r="AT604" i="4"/>
  <c r="BB604" i="4"/>
  <c r="AY350" i="4"/>
  <c r="BA350" i="4"/>
  <c r="BQ350" i="4"/>
  <c r="BM339" i="4"/>
  <c r="BN339" i="4"/>
  <c r="BB405" i="4"/>
  <c r="AS405" i="4"/>
  <c r="AT405" i="4"/>
  <c r="BM405" i="4"/>
  <c r="BN405" i="4"/>
  <c r="AY302" i="4"/>
  <c r="BA302" i="4"/>
  <c r="BQ302" i="4"/>
  <c r="AY507" i="4"/>
  <c r="BA507" i="4"/>
  <c r="BQ507" i="4"/>
  <c r="BC152" i="4"/>
  <c r="BH152" i="4"/>
  <c r="AY621" i="4"/>
  <c r="BA621" i="4"/>
  <c r="BQ621" i="4"/>
  <c r="BB593" i="4"/>
  <c r="AS593" i="4"/>
  <c r="AT593" i="4"/>
  <c r="BB157" i="4"/>
  <c r="AS157" i="4"/>
  <c r="AT157" i="4"/>
  <c r="BM157" i="4"/>
  <c r="BN157" i="4"/>
  <c r="BA310" i="4"/>
  <c r="BQ310" i="4"/>
  <c r="AY310" i="4"/>
  <c r="AY470" i="4"/>
  <c r="BA470" i="4"/>
  <c r="BQ470" i="4"/>
  <c r="BB160" i="4"/>
  <c r="AS160" i="4"/>
  <c r="AT160" i="4"/>
  <c r="BM160" i="4"/>
  <c r="BN160" i="4"/>
  <c r="AY239" i="4"/>
  <c r="BA239" i="4"/>
  <c r="BQ239" i="4"/>
  <c r="BM594" i="4"/>
  <c r="BN594" i="4"/>
  <c r="AY147" i="4"/>
  <c r="BA147" i="4"/>
  <c r="BQ147" i="4"/>
  <c r="AY648" i="4"/>
  <c r="BA648" i="4"/>
  <c r="BQ648" i="4"/>
  <c r="AY358" i="4"/>
  <c r="BA358" i="4"/>
  <c r="BQ358" i="4"/>
  <c r="BM132" i="4"/>
  <c r="BN132" i="4"/>
  <c r="AY429" i="4"/>
  <c r="BA429" i="4"/>
  <c r="BQ429" i="4"/>
  <c r="AW218" i="4"/>
  <c r="AX218" i="4"/>
  <c r="AP218" i="4"/>
  <c r="BV218" i="4"/>
  <c r="BH326" i="4"/>
  <c r="BC326" i="4"/>
  <c r="AX316" i="4"/>
  <c r="AW316" i="4"/>
  <c r="AP316" i="4"/>
  <c r="BM316" i="4"/>
  <c r="BN316" i="4"/>
  <c r="BV316" i="4"/>
  <c r="BM206" i="4"/>
  <c r="BN206" i="4"/>
  <c r="BM311" i="4"/>
  <c r="BN311" i="4"/>
  <c r="BC498" i="4"/>
  <c r="BH498" i="4"/>
  <c r="AS492" i="4"/>
  <c r="AT492" i="4"/>
  <c r="BB492" i="4"/>
  <c r="AY523" i="4"/>
  <c r="BA523" i="4"/>
  <c r="BQ523" i="4"/>
  <c r="BA606" i="4"/>
  <c r="BQ606" i="4"/>
  <c r="AY606" i="4"/>
  <c r="BB373" i="4"/>
  <c r="AS373" i="4"/>
  <c r="AT373" i="4"/>
  <c r="BM373" i="4"/>
  <c r="BN373" i="4"/>
  <c r="BC515" i="4"/>
  <c r="BH515" i="4"/>
  <c r="AY199" i="4"/>
  <c r="BA199" i="4"/>
  <c r="BQ199" i="4"/>
  <c r="BD585" i="4"/>
  <c r="BE585" i="4"/>
  <c r="BI517" i="4"/>
  <c r="BJ517" i="4"/>
  <c r="BU499" i="4"/>
  <c r="BA571" i="4"/>
  <c r="BQ571" i="4"/>
  <c r="AY571" i="4"/>
  <c r="BH529" i="4"/>
  <c r="BC529" i="4"/>
  <c r="BD529" i="4"/>
  <c r="BE529" i="4"/>
  <c r="BC324" i="4"/>
  <c r="BD324" i="4"/>
  <c r="BE324" i="4"/>
  <c r="BH324" i="4"/>
  <c r="BH137" i="4"/>
  <c r="BC137" i="4"/>
  <c r="BB401" i="4"/>
  <c r="AS401" i="4"/>
  <c r="AT401" i="4"/>
  <c r="AS287" i="4"/>
  <c r="AT287" i="4"/>
  <c r="BM287" i="4"/>
  <c r="BN287" i="4"/>
  <c r="BB287" i="4"/>
  <c r="BB345" i="4"/>
  <c r="AS345" i="4"/>
  <c r="AT345" i="4"/>
  <c r="BM345" i="4"/>
  <c r="BN345" i="4"/>
  <c r="BB584" i="4"/>
  <c r="AS584" i="4"/>
  <c r="AT584" i="4"/>
  <c r="BM584" i="4"/>
  <c r="BN584" i="4"/>
  <c r="AY413" i="4"/>
  <c r="BA413" i="4"/>
  <c r="BQ413" i="4"/>
  <c r="BM291" i="4"/>
  <c r="BN291" i="4"/>
  <c r="BB396" i="4"/>
  <c r="AS396" i="4"/>
  <c r="AT396" i="4"/>
  <c r="AY531" i="4"/>
  <c r="BA531" i="4"/>
  <c r="BQ531" i="4"/>
  <c r="BA203" i="4"/>
  <c r="BQ203" i="4"/>
  <c r="AY203" i="4"/>
  <c r="BB269" i="4"/>
  <c r="AS269" i="4"/>
  <c r="AT269" i="4"/>
  <c r="BM269" i="4"/>
  <c r="BN269" i="4"/>
  <c r="AY395" i="4"/>
  <c r="BA395" i="4"/>
  <c r="BQ395" i="4"/>
  <c r="BB386" i="4"/>
  <c r="AS386" i="4"/>
  <c r="AT386" i="4"/>
  <c r="AY367" i="4"/>
  <c r="BA367" i="4"/>
  <c r="BQ367" i="4"/>
  <c r="BH237" i="4"/>
  <c r="BC237" i="4"/>
  <c r="AS183" i="4"/>
  <c r="AT183" i="4"/>
  <c r="BB183" i="4"/>
  <c r="BD277" i="4"/>
  <c r="BE277" i="4"/>
  <c r="BI277" i="4"/>
  <c r="BJ277" i="4"/>
  <c r="BU296" i="4"/>
  <c r="BC433" i="4"/>
  <c r="BD433" i="4"/>
  <c r="BE433" i="4"/>
  <c r="BH433" i="4"/>
  <c r="BI579" i="4"/>
  <c r="BJ579" i="4"/>
  <c r="BU454" i="4"/>
  <c r="BA307" i="4"/>
  <c r="BQ307" i="4"/>
  <c r="AY307" i="4"/>
  <c r="BB633" i="4"/>
  <c r="AS633" i="4"/>
  <c r="AT633" i="4"/>
  <c r="BM633" i="4"/>
  <c r="BN633" i="4"/>
  <c r="AY584" i="4"/>
  <c r="BA584" i="4"/>
  <c r="BQ584" i="4"/>
  <c r="AY573" i="4"/>
  <c r="BA573" i="4"/>
  <c r="BQ573" i="4"/>
  <c r="AX225" i="4"/>
  <c r="AW225" i="4"/>
  <c r="BV225" i="4"/>
  <c r="AP225" i="4"/>
  <c r="BM225" i="4"/>
  <c r="BN225" i="4"/>
  <c r="BM519" i="4"/>
  <c r="BN519" i="4"/>
  <c r="AS608" i="4"/>
  <c r="AT608" i="4"/>
  <c r="BB608" i="4"/>
  <c r="BB427" i="4"/>
  <c r="AS427" i="4"/>
  <c r="AT427" i="4"/>
  <c r="BM174" i="4"/>
  <c r="BN174" i="4"/>
  <c r="AY259" i="4"/>
  <c r="BA259" i="4"/>
  <c r="BQ259" i="4"/>
  <c r="BM441" i="4"/>
  <c r="BN441" i="4"/>
  <c r="BM541" i="4"/>
  <c r="BN541" i="4"/>
  <c r="BA241" i="4"/>
  <c r="BQ241" i="4"/>
  <c r="AY241" i="4"/>
  <c r="BM396" i="4"/>
  <c r="BN396" i="4"/>
  <c r="AY522" i="4"/>
  <c r="BA522" i="4"/>
  <c r="BQ522" i="4"/>
  <c r="AY435" i="4"/>
  <c r="BA435" i="4"/>
  <c r="BQ435" i="4"/>
  <c r="AY611" i="4"/>
  <c r="BA611" i="4"/>
  <c r="BQ611" i="4"/>
  <c r="AY577" i="4"/>
  <c r="BA577" i="4"/>
  <c r="BQ577" i="4"/>
  <c r="BA656" i="4"/>
  <c r="BQ656" i="4"/>
  <c r="AY656" i="4"/>
  <c r="AY494" i="4"/>
  <c r="BA494" i="4"/>
  <c r="BQ494" i="4"/>
  <c r="BA483" i="4"/>
  <c r="BQ483" i="4"/>
  <c r="AY483" i="4"/>
  <c r="AY408" i="4"/>
  <c r="BA408" i="4"/>
  <c r="BQ408" i="4"/>
  <c r="AY487" i="4"/>
  <c r="BA487" i="4"/>
  <c r="BQ487" i="4"/>
  <c r="BC603" i="4"/>
  <c r="BD603" i="4"/>
  <c r="BE603" i="4"/>
  <c r="BH603" i="4"/>
  <c r="BB459" i="4"/>
  <c r="AS459" i="4"/>
  <c r="AT459" i="4"/>
  <c r="BM459" i="4"/>
  <c r="BN459" i="4"/>
  <c r="BB647" i="4"/>
  <c r="AS647" i="4"/>
  <c r="AT647" i="4"/>
  <c r="AX403" i="4"/>
  <c r="AW403" i="4"/>
  <c r="AP403" i="4"/>
  <c r="BM403" i="4"/>
  <c r="BN403" i="4"/>
  <c r="BV403" i="4"/>
  <c r="BB351" i="4"/>
  <c r="AS351" i="4"/>
  <c r="AT351" i="4"/>
  <c r="BM351" i="4"/>
  <c r="BN351" i="4"/>
  <c r="BH279" i="4"/>
  <c r="BC279" i="4"/>
  <c r="BD279" i="4"/>
  <c r="BE279" i="4"/>
  <c r="BB542" i="4"/>
  <c r="AS542" i="4"/>
  <c r="AT542" i="4"/>
  <c r="BM542" i="4"/>
  <c r="BN542" i="4"/>
  <c r="AY659" i="4"/>
  <c r="BA659" i="4"/>
  <c r="BQ659" i="4"/>
  <c r="BB126" i="4"/>
  <c r="AS126" i="4"/>
  <c r="AT126" i="4"/>
  <c r="BM126" i="4"/>
  <c r="BN126" i="4"/>
  <c r="AW171" i="4"/>
  <c r="AX171" i="4"/>
  <c r="AP171" i="4"/>
  <c r="BV171" i="4"/>
  <c r="BA361" i="4"/>
  <c r="BQ361" i="4"/>
  <c r="AY361" i="4"/>
  <c r="BV608" i="4"/>
  <c r="AW608" i="4"/>
  <c r="AP608" i="4"/>
  <c r="AX608" i="4"/>
  <c r="BB391" i="4"/>
  <c r="AS391" i="4"/>
  <c r="AT391" i="4"/>
  <c r="BH644" i="4"/>
  <c r="BC644" i="4"/>
  <c r="AY324" i="4"/>
  <c r="BA324" i="4"/>
  <c r="BQ324" i="4"/>
  <c r="AY444" i="4"/>
  <c r="BA444" i="4"/>
  <c r="BQ444" i="4"/>
  <c r="AS235" i="4"/>
  <c r="AT235" i="4"/>
  <c r="BM235" i="4"/>
  <c r="BN235" i="4"/>
  <c r="BH377" i="4"/>
  <c r="BC377" i="4"/>
  <c r="AY404" i="4"/>
  <c r="BA404" i="4"/>
  <c r="BQ404" i="4"/>
  <c r="AX334" i="4"/>
  <c r="AP334" i="4"/>
  <c r="BM334" i="4"/>
  <c r="BN334" i="4"/>
  <c r="AW334" i="4"/>
  <c r="BV334" i="4"/>
  <c r="BA653" i="4"/>
  <c r="BQ653" i="4"/>
  <c r="AY653" i="4"/>
  <c r="BA588" i="4"/>
  <c r="BQ588" i="4"/>
  <c r="AY588" i="4"/>
  <c r="AY452" i="4"/>
  <c r="BA452" i="4"/>
  <c r="BQ452" i="4"/>
  <c r="BB203" i="4"/>
  <c r="AS203" i="4"/>
  <c r="AT203" i="4"/>
  <c r="BM203" i="4"/>
  <c r="BN203" i="4"/>
  <c r="AW489" i="4"/>
  <c r="AX489" i="4"/>
  <c r="AP489" i="4"/>
  <c r="BV489" i="4"/>
  <c r="AY217" i="4"/>
  <c r="BA217" i="4"/>
  <c r="BQ217" i="4"/>
  <c r="BB624" i="4"/>
  <c r="AS624" i="4"/>
  <c r="AT624" i="4"/>
  <c r="BM624" i="4"/>
  <c r="BN624" i="4"/>
  <c r="BB338" i="4"/>
  <c r="AS338" i="4"/>
  <c r="AT338" i="4"/>
  <c r="BM338" i="4"/>
  <c r="BN338" i="4"/>
  <c r="AY576" i="4"/>
  <c r="BA576" i="4"/>
  <c r="BQ576" i="4"/>
  <c r="AW136" i="4"/>
  <c r="AX136" i="4"/>
  <c r="AP136" i="4"/>
  <c r="BV136" i="4"/>
  <c r="AY618" i="4"/>
  <c r="BA618" i="4"/>
  <c r="BQ618" i="4"/>
  <c r="AY415" i="4"/>
  <c r="BA415" i="4"/>
  <c r="BQ415" i="4"/>
  <c r="BB558" i="4"/>
  <c r="AS558" i="4"/>
  <c r="AT558" i="4"/>
  <c r="BM431" i="4"/>
  <c r="BN431" i="4"/>
  <c r="AY410" i="4"/>
  <c r="BA410" i="4"/>
  <c r="BQ410" i="4"/>
  <c r="BB286" i="4"/>
  <c r="AS286" i="4"/>
  <c r="AT286" i="4"/>
  <c r="BM286" i="4"/>
  <c r="BN286" i="4"/>
  <c r="BM313" i="4"/>
  <c r="BN313" i="4"/>
  <c r="BU455" i="4"/>
  <c r="AX485" i="4"/>
  <c r="AW485" i="4"/>
  <c r="AP485" i="4"/>
  <c r="BV485" i="4"/>
  <c r="BB422" i="4"/>
  <c r="AS422" i="4"/>
  <c r="AT422" i="4"/>
  <c r="BM422" i="4"/>
  <c r="BN422" i="4"/>
  <c r="AY643" i="4"/>
  <c r="BA643" i="4"/>
  <c r="BQ643" i="4"/>
  <c r="BC367" i="4"/>
  <c r="BD367" i="4"/>
  <c r="BE367" i="4"/>
  <c r="BH367" i="4"/>
  <c r="BB440" i="4"/>
  <c r="AS440" i="4"/>
  <c r="AT440" i="4"/>
  <c r="BM440" i="4"/>
  <c r="BN440" i="4"/>
  <c r="AY301" i="4"/>
  <c r="BA301" i="4"/>
  <c r="BQ301" i="4"/>
  <c r="BB364" i="4"/>
  <c r="AS364" i="4"/>
  <c r="AT364" i="4"/>
  <c r="BM364" i="4"/>
  <c r="BN364" i="4"/>
  <c r="AP477" i="4"/>
  <c r="AW477" i="4"/>
  <c r="AX477" i="4"/>
  <c r="BV477" i="4"/>
  <c r="BB494" i="4"/>
  <c r="AS494" i="4"/>
  <c r="AT494" i="4"/>
  <c r="BM494" i="4"/>
  <c r="BN494" i="4"/>
  <c r="BB620" i="4"/>
  <c r="AS620" i="4"/>
  <c r="AT620" i="4"/>
  <c r="BM620" i="4"/>
  <c r="BN620" i="4"/>
  <c r="BI615" i="4"/>
  <c r="BJ615" i="4"/>
  <c r="AP425" i="4"/>
  <c r="BM425" i="4"/>
  <c r="BN425" i="4"/>
  <c r="AX425" i="4"/>
  <c r="AW425" i="4"/>
  <c r="BV425" i="4"/>
  <c r="BM350" i="4"/>
  <c r="BN350" i="4"/>
  <c r="BV493" i="4"/>
  <c r="AW493" i="4"/>
  <c r="AP493" i="4"/>
  <c r="AX493" i="4"/>
  <c r="BB655" i="4"/>
  <c r="AS655" i="4"/>
  <c r="AT655" i="4"/>
  <c r="AW451" i="4"/>
  <c r="AP451" i="4"/>
  <c r="BM451" i="4"/>
  <c r="BN451" i="4"/>
  <c r="AX451" i="4"/>
  <c r="BV451" i="4"/>
  <c r="BH631" i="4"/>
  <c r="BC631" i="4"/>
  <c r="BD631" i="4"/>
  <c r="BE631" i="4"/>
  <c r="BH637" i="4"/>
  <c r="BC637" i="4"/>
  <c r="BD637" i="4"/>
  <c r="BE637" i="4"/>
  <c r="BM512" i="4"/>
  <c r="BN512" i="4"/>
  <c r="BB244" i="4"/>
  <c r="AS244" i="4"/>
  <c r="AT244" i="4"/>
  <c r="BM244" i="4"/>
  <c r="BN244" i="4"/>
  <c r="BM257" i="4"/>
  <c r="BN257" i="4"/>
  <c r="BB252" i="4"/>
  <c r="AS252" i="4"/>
  <c r="AT252" i="4"/>
  <c r="AX318" i="4"/>
  <c r="AW318" i="4"/>
  <c r="BV318" i="4"/>
  <c r="AP318" i="4"/>
  <c r="AS258" i="4"/>
  <c r="AT258" i="4"/>
  <c r="BM258" i="4"/>
  <c r="BN258" i="4"/>
  <c r="BB258" i="4"/>
  <c r="AY266" i="4"/>
  <c r="BA266" i="4"/>
  <c r="BQ266" i="4"/>
  <c r="BC606" i="4"/>
  <c r="BH606" i="4"/>
  <c r="BC217" i="4"/>
  <c r="BH217" i="4"/>
  <c r="BC309" i="4"/>
  <c r="BD309" i="4"/>
  <c r="BE309" i="4"/>
  <c r="BH309" i="4"/>
  <c r="BH267" i="4"/>
  <c r="BC267" i="4"/>
  <c r="BD267" i="4"/>
  <c r="BE267" i="4"/>
  <c r="BA442" i="4"/>
  <c r="BQ442" i="4"/>
  <c r="AY442" i="4"/>
  <c r="BH594" i="4"/>
  <c r="BC594" i="4"/>
  <c r="BD594" i="4"/>
  <c r="BE594" i="4"/>
  <c r="AY460" i="4"/>
  <c r="BA460" i="4"/>
  <c r="BQ460" i="4"/>
  <c r="AY132" i="4"/>
  <c r="BA132" i="4"/>
  <c r="BQ132" i="4"/>
  <c r="BM131" i="4"/>
  <c r="BN131" i="4"/>
  <c r="BB329" i="4"/>
  <c r="AS329" i="4"/>
  <c r="AT329" i="4"/>
  <c r="BU316" i="4"/>
  <c r="BC467" i="4"/>
  <c r="BD467" i="4"/>
  <c r="BE467" i="4"/>
  <c r="BH467" i="4"/>
  <c r="AY649" i="4"/>
  <c r="BA649" i="4"/>
  <c r="BQ649" i="4"/>
  <c r="AS180" i="4"/>
  <c r="AT180" i="4"/>
  <c r="BM180" i="4"/>
  <c r="BN180" i="4"/>
  <c r="BB180" i="4"/>
  <c r="AY272" i="4"/>
  <c r="BA272" i="4"/>
  <c r="BQ272" i="4"/>
  <c r="BA650" i="4"/>
  <c r="BQ650" i="4"/>
  <c r="AY650" i="4"/>
  <c r="AS499" i="4"/>
  <c r="AT499" i="4"/>
  <c r="BB499" i="4"/>
  <c r="BC484" i="4"/>
  <c r="BH484" i="4"/>
  <c r="BC638" i="4"/>
  <c r="BH638" i="4"/>
  <c r="BU283" i="4"/>
  <c r="AY433" i="4"/>
  <c r="BA433" i="4"/>
  <c r="BQ433" i="4"/>
  <c r="BH417" i="4"/>
  <c r="BC417" i="4"/>
  <c r="BD417" i="4"/>
  <c r="BE417" i="4"/>
  <c r="AY525" i="4"/>
  <c r="BA525" i="4"/>
  <c r="BQ525" i="4"/>
  <c r="AY344" i="4"/>
  <c r="BA344" i="4"/>
  <c r="BQ344" i="4"/>
  <c r="BB332" i="4"/>
  <c r="AS332" i="4"/>
  <c r="AT332" i="4"/>
  <c r="BM332" i="4"/>
  <c r="BN332" i="4"/>
  <c r="BH510" i="4"/>
  <c r="BC510" i="4"/>
  <c r="BD510" i="4"/>
  <c r="BE510" i="4"/>
  <c r="BM413" i="4"/>
  <c r="BN413" i="4"/>
  <c r="BA291" i="4"/>
  <c r="BQ291" i="4"/>
  <c r="AY291" i="4"/>
  <c r="BB408" i="4"/>
  <c r="AS408" i="4"/>
  <c r="AT408" i="4"/>
  <c r="BM408" i="4"/>
  <c r="BN408" i="4"/>
  <c r="BV201" i="4"/>
  <c r="AW201" i="4"/>
  <c r="AP201" i="4"/>
  <c r="BM201" i="4"/>
  <c r="BN201" i="4"/>
  <c r="AX201" i="4"/>
  <c r="BM434" i="4"/>
  <c r="BN434" i="4"/>
  <c r="BC243" i="4"/>
  <c r="BH243" i="4"/>
  <c r="BB457" i="4"/>
  <c r="AS457" i="4"/>
  <c r="AT457" i="4"/>
  <c r="BM457" i="4"/>
  <c r="BN457" i="4"/>
  <c r="AY254" i="4"/>
  <c r="BA254" i="4"/>
  <c r="BQ254" i="4"/>
  <c r="BB436" i="4"/>
  <c r="AS436" i="4"/>
  <c r="AT436" i="4"/>
  <c r="BM436" i="4"/>
  <c r="BN436" i="4"/>
  <c r="AW321" i="4"/>
  <c r="AP321" i="4"/>
  <c r="BM321" i="4"/>
  <c r="BN321" i="4"/>
  <c r="AX321" i="4"/>
  <c r="BV321" i="4"/>
  <c r="BB228" i="4"/>
  <c r="AS228" i="4"/>
  <c r="AT228" i="4"/>
  <c r="BM228" i="4"/>
  <c r="BN228" i="4"/>
  <c r="BM342" i="4"/>
  <c r="BN342" i="4"/>
  <c r="BU564" i="4"/>
  <c r="BM469" i="4"/>
  <c r="BN469" i="4"/>
  <c r="BC301" i="4"/>
  <c r="BD301" i="4"/>
  <c r="BE301" i="4"/>
  <c r="BH301" i="4"/>
  <c r="AY326" i="4"/>
  <c r="BA326" i="4"/>
  <c r="BQ326" i="4"/>
  <c r="BU399" i="4"/>
  <c r="BB384" i="4"/>
  <c r="AS384" i="4"/>
  <c r="AT384" i="4"/>
  <c r="BB428" i="4"/>
  <c r="AS428" i="4"/>
  <c r="AT428" i="4"/>
  <c r="BM428" i="4"/>
  <c r="BN428" i="4"/>
  <c r="BU477" i="4"/>
  <c r="AY185" i="4"/>
  <c r="BA185" i="4"/>
  <c r="BQ185" i="4"/>
  <c r="BB639" i="4"/>
  <c r="AS639" i="4"/>
  <c r="AT639" i="4"/>
  <c r="BM585" i="4"/>
  <c r="BN585" i="4"/>
  <c r="BU211" i="4"/>
  <c r="BM398" i="4"/>
  <c r="BN398" i="4"/>
  <c r="BM165" i="4"/>
  <c r="BN165" i="4"/>
  <c r="BC519" i="4"/>
  <c r="BH519" i="4"/>
  <c r="AS612" i="4"/>
  <c r="AT612" i="4"/>
  <c r="BB612" i="4"/>
  <c r="BB139" i="4"/>
  <c r="AS139" i="4"/>
  <c r="AT139" i="4"/>
  <c r="BM145" i="4"/>
  <c r="BN145" i="4"/>
  <c r="BB546" i="4"/>
  <c r="AS546" i="4"/>
  <c r="AT546" i="4"/>
  <c r="BC530" i="4"/>
  <c r="BD530" i="4"/>
  <c r="BE530" i="4"/>
  <c r="BH530" i="4"/>
  <c r="BM412" i="4"/>
  <c r="BN412" i="4"/>
  <c r="BA461" i="4"/>
  <c r="BQ461" i="4"/>
  <c r="AY461" i="4"/>
  <c r="BA360" i="4"/>
  <c r="BQ360" i="4"/>
  <c r="AY360" i="4"/>
  <c r="BM376" i="4"/>
  <c r="BN376" i="4"/>
  <c r="AY340" i="4"/>
  <c r="BA340" i="4"/>
  <c r="BQ340" i="4"/>
  <c r="BM597" i="4"/>
  <c r="BN597" i="4"/>
  <c r="AY385" i="4"/>
  <c r="BA385" i="4"/>
  <c r="BQ385" i="4"/>
  <c r="AY420" i="4"/>
  <c r="BA420" i="4"/>
  <c r="BQ420" i="4"/>
  <c r="BA541" i="4"/>
  <c r="BQ541" i="4"/>
  <c r="AY541" i="4"/>
  <c r="BM263" i="4"/>
  <c r="BN263" i="4"/>
  <c r="AY394" i="4"/>
  <c r="BA394" i="4"/>
  <c r="BQ394" i="4"/>
  <c r="BM651" i="4"/>
  <c r="BN651" i="4"/>
  <c r="AY405" i="4"/>
  <c r="BA405" i="4"/>
  <c r="BQ405" i="4"/>
  <c r="BM656" i="4"/>
  <c r="BN656" i="4"/>
  <c r="AY255" i="4"/>
  <c r="BA255" i="4"/>
  <c r="BQ255" i="4"/>
  <c r="AY138" i="4"/>
  <c r="BA138" i="4"/>
  <c r="BQ138" i="4"/>
  <c r="BA580" i="4"/>
  <c r="BQ580" i="4"/>
  <c r="AY580" i="4"/>
  <c r="AY345" i="4"/>
  <c r="BA345" i="4"/>
  <c r="BQ345" i="4"/>
  <c r="BM178" i="4"/>
  <c r="BN178" i="4"/>
  <c r="BH654" i="4"/>
  <c r="BC654" i="4"/>
  <c r="BB449" i="4"/>
  <c r="AS449" i="4"/>
  <c r="AT449" i="4"/>
  <c r="AS603" i="4"/>
  <c r="AT603" i="4"/>
  <c r="BM603" i="4"/>
  <c r="BN603" i="4"/>
  <c r="BB232" i="4"/>
  <c r="AS232" i="4"/>
  <c r="AT232" i="4"/>
  <c r="BM232" i="4"/>
  <c r="BN232" i="4"/>
  <c r="AX219" i="4"/>
  <c r="AW219" i="4"/>
  <c r="AP219" i="4"/>
  <c r="BV219" i="4"/>
  <c r="BB421" i="4"/>
  <c r="AS421" i="4"/>
  <c r="AT421" i="4"/>
  <c r="AW150" i="4"/>
  <c r="AX150" i="4"/>
  <c r="AP150" i="4"/>
  <c r="BM150" i="4"/>
  <c r="BN150" i="4"/>
  <c r="BV150" i="4"/>
  <c r="BB250" i="4"/>
  <c r="AS250" i="4"/>
  <c r="AT250" i="4"/>
  <c r="BM250" i="4"/>
  <c r="BN250" i="4"/>
  <c r="BH418" i="4"/>
  <c r="BC418" i="4"/>
  <c r="BD418" i="4"/>
  <c r="BE418" i="4"/>
  <c r="BB627" i="4"/>
  <c r="AS627" i="4"/>
  <c r="AT627" i="4"/>
  <c r="BM627" i="4"/>
  <c r="BN627" i="4"/>
  <c r="BA474" i="4"/>
  <c r="BQ474" i="4"/>
  <c r="AY474" i="4"/>
  <c r="BB337" i="4"/>
  <c r="AS337" i="4"/>
  <c r="AT337" i="4"/>
  <c r="BM337" i="4"/>
  <c r="BN337" i="4"/>
  <c r="BB162" i="4"/>
  <c r="AS162" i="4"/>
  <c r="AT162" i="4"/>
  <c r="BM162" i="4"/>
  <c r="BN162" i="4"/>
  <c r="AW139" i="4"/>
  <c r="AX139" i="4"/>
  <c r="AP139" i="4"/>
  <c r="BV139" i="4"/>
  <c r="BV629" i="4"/>
  <c r="AX629" i="4"/>
  <c r="AP629" i="4"/>
  <c r="AW629" i="4"/>
  <c r="AP274" i="4"/>
  <c r="AW274" i="4"/>
  <c r="AX274" i="4"/>
  <c r="BV274" i="4"/>
  <c r="AX271" i="4"/>
  <c r="AW271" i="4"/>
  <c r="AP271" i="4"/>
  <c r="BV271" i="4"/>
  <c r="AS172" i="4"/>
  <c r="AT172" i="4"/>
  <c r="BB172" i="4"/>
  <c r="AY209" i="4"/>
  <c r="BA209" i="4"/>
  <c r="BQ209" i="4"/>
  <c r="BA198" i="4"/>
  <c r="BQ198" i="4"/>
  <c r="AY198" i="4"/>
  <c r="BB472" i="4"/>
  <c r="AS472" i="4"/>
  <c r="AT472" i="4"/>
  <c r="BB393" i="4"/>
  <c r="AS393" i="4"/>
  <c r="AT393" i="4"/>
  <c r="BM393" i="4"/>
  <c r="BN393" i="4"/>
  <c r="BM569" i="4"/>
  <c r="BN569" i="4"/>
  <c r="BM421" i="4"/>
  <c r="BN421" i="4"/>
  <c r="AS516" i="4"/>
  <c r="AT516" i="4"/>
  <c r="BB516" i="4"/>
  <c r="BD543" i="4"/>
  <c r="BE543" i="4"/>
  <c r="AY532" i="4"/>
  <c r="BA532" i="4"/>
  <c r="BQ532" i="4"/>
  <c r="AY126" i="4"/>
  <c r="BA126" i="4"/>
  <c r="BQ126" i="4"/>
  <c r="BD557" i="4"/>
  <c r="BE557" i="4"/>
  <c r="BM354" i="4"/>
  <c r="BN354" i="4"/>
  <c r="BB231" i="4"/>
  <c r="AS231" i="4"/>
  <c r="AT231" i="4"/>
  <c r="BH223" i="4"/>
  <c r="BC223" i="4"/>
  <c r="AS643" i="4"/>
  <c r="AT643" i="4"/>
  <c r="BM643" i="4"/>
  <c r="BN643" i="4"/>
  <c r="BB643" i="4"/>
  <c r="BB224" i="4"/>
  <c r="AS224" i="4"/>
  <c r="AT224" i="4"/>
  <c r="BB629" i="4"/>
  <c r="AS629" i="4"/>
  <c r="AT629" i="4"/>
  <c r="BB478" i="4"/>
  <c r="AS478" i="4"/>
  <c r="AT478" i="4"/>
  <c r="BM478" i="4"/>
  <c r="BN478" i="4"/>
  <c r="AS480" i="4"/>
  <c r="AT480" i="4"/>
  <c r="BB480" i="4"/>
  <c r="BM172" i="4"/>
  <c r="BN172" i="4"/>
  <c r="AY635" i="4"/>
  <c r="BA635" i="4"/>
  <c r="BQ635" i="4"/>
  <c r="AY235" i="4"/>
  <c r="BA235" i="4"/>
  <c r="BQ235" i="4"/>
  <c r="BI448" i="4"/>
  <c r="BJ448" i="4"/>
  <c r="BI161" i="4"/>
  <c r="BJ161" i="4"/>
  <c r="AS135" i="4"/>
  <c r="AT135" i="4"/>
  <c r="BM135" i="4"/>
  <c r="BN135" i="4"/>
  <c r="BB135" i="4"/>
  <c r="AS362" i="4"/>
  <c r="AT362" i="4"/>
  <c r="BM362" i="4"/>
  <c r="BN362" i="4"/>
  <c r="AY409" i="4"/>
  <c r="BA409" i="4"/>
  <c r="BQ409" i="4"/>
  <c r="AY313" i="4"/>
  <c r="BA313" i="4"/>
  <c r="BQ313" i="4"/>
  <c r="BU446" i="4"/>
  <c r="BA501" i="4"/>
  <c r="BQ501" i="4"/>
  <c r="AY501" i="4"/>
  <c r="BB284" i="4"/>
  <c r="AS284" i="4"/>
  <c r="AT284" i="4"/>
  <c r="AY513" i="4"/>
  <c r="BA513" i="4"/>
  <c r="BQ513" i="4"/>
  <c r="AY286" i="4"/>
  <c r="BA286" i="4"/>
  <c r="BQ286" i="4"/>
  <c r="BB315" i="4"/>
  <c r="AS315" i="4"/>
  <c r="AT315" i="4"/>
  <c r="BM315" i="4"/>
  <c r="BN315" i="4"/>
  <c r="BU136" i="4"/>
  <c r="BH398" i="4"/>
  <c r="BC398" i="4"/>
  <c r="AY626" i="4"/>
  <c r="BA626" i="4"/>
  <c r="BQ626" i="4"/>
  <c r="BC127" i="4"/>
  <c r="BH127" i="4"/>
  <c r="AY537" i="4"/>
  <c r="BA537" i="4"/>
  <c r="BQ537" i="4"/>
  <c r="BH635" i="4"/>
  <c r="BC635" i="4"/>
  <c r="BD635" i="4"/>
  <c r="BE635" i="4"/>
  <c r="AW657" i="4"/>
  <c r="AP657" i="4"/>
  <c r="BM657" i="4"/>
  <c r="BN657" i="4"/>
  <c r="AX657" i="4"/>
  <c r="BV657" i="4"/>
  <c r="AS536" i="4"/>
  <c r="AT536" i="4"/>
  <c r="BM536" i="4"/>
  <c r="BN536" i="4"/>
  <c r="BB536" i="4"/>
  <c r="BB461" i="4"/>
  <c r="AS461" i="4"/>
  <c r="AT461" i="4"/>
  <c r="BM461" i="4"/>
  <c r="BN461" i="4"/>
  <c r="BB314" i="4"/>
  <c r="AS314" i="4"/>
  <c r="AT314" i="4"/>
  <c r="BM314" i="4"/>
  <c r="BN314" i="4"/>
  <c r="AY530" i="4"/>
  <c r="BA530" i="4"/>
  <c r="BQ530" i="4"/>
  <c r="BC521" i="4"/>
  <c r="BH521" i="4"/>
  <c r="AY592" i="4"/>
  <c r="BA592" i="4"/>
  <c r="BQ592" i="4"/>
  <c r="AX604" i="4"/>
  <c r="AP604" i="4"/>
  <c r="BM604" i="4"/>
  <c r="BN604" i="4"/>
  <c r="AW604" i="4"/>
  <c r="BV604" i="4"/>
  <c r="BB614" i="4"/>
  <c r="AS614" i="4"/>
  <c r="AT614" i="4"/>
  <c r="BM614" i="4"/>
  <c r="BN614" i="4"/>
  <c r="AS370" i="4"/>
  <c r="AT370" i="4"/>
  <c r="BM370" i="4"/>
  <c r="BN370" i="4"/>
  <c r="BB370" i="4"/>
  <c r="AY339" i="4"/>
  <c r="BA339" i="4"/>
  <c r="BQ339" i="4"/>
  <c r="BM264" i="4"/>
  <c r="BN264" i="4"/>
  <c r="AY654" i="4"/>
  <c r="BA654" i="4"/>
  <c r="BQ654" i="4"/>
  <c r="BH442" i="4"/>
  <c r="BC442" i="4"/>
  <c r="BB195" i="4"/>
  <c r="AS195" i="4"/>
  <c r="AT195" i="4"/>
  <c r="BM195" i="4"/>
  <c r="BN195" i="4"/>
  <c r="AY512" i="4"/>
  <c r="BA512" i="4"/>
  <c r="BQ512" i="4"/>
  <c r="AY257" i="4"/>
  <c r="BA257" i="4"/>
  <c r="BQ257" i="4"/>
  <c r="AX204" i="4"/>
  <c r="AW204" i="4"/>
  <c r="BV204" i="4"/>
  <c r="AP204" i="4"/>
  <c r="BH317" i="4"/>
  <c r="BC317" i="4"/>
  <c r="BD317" i="4"/>
  <c r="BE317" i="4"/>
  <c r="BB341" i="4"/>
  <c r="AS341" i="4"/>
  <c r="AT341" i="4"/>
  <c r="BM341" i="4"/>
  <c r="BN341" i="4"/>
  <c r="AX593" i="4"/>
  <c r="AW593" i="4"/>
  <c r="BV593" i="4"/>
  <c r="AP593" i="4"/>
  <c r="BM593" i="4"/>
  <c r="BN593" i="4"/>
  <c r="AS605" i="4"/>
  <c r="AT605" i="4"/>
  <c r="BM605" i="4"/>
  <c r="BN605" i="4"/>
  <c r="BB605" i="4"/>
  <c r="BI533" i="4"/>
  <c r="BJ533" i="4"/>
  <c r="BB544" i="4"/>
  <c r="AS544" i="4"/>
  <c r="AT544" i="4"/>
  <c r="BM544" i="4"/>
  <c r="BN544" i="4"/>
  <c r="AS523" i="4"/>
  <c r="AT523" i="4"/>
  <c r="BM523" i="4"/>
  <c r="BN523" i="4"/>
  <c r="BB523" i="4"/>
  <c r="AS368" i="4"/>
  <c r="AT368" i="4"/>
  <c r="BM368" i="4"/>
  <c r="BN368" i="4"/>
  <c r="BB368" i="4"/>
  <c r="BB210" i="4"/>
  <c r="AS210" i="4"/>
  <c r="AT210" i="4"/>
  <c r="BM210" i="4"/>
  <c r="BN210" i="4"/>
  <c r="BH571" i="4"/>
  <c r="BC571" i="4"/>
  <c r="BD571" i="4"/>
  <c r="BE571" i="4"/>
  <c r="BM442" i="4"/>
  <c r="BN442" i="4"/>
  <c r="BC453" i="4"/>
  <c r="BH453" i="4"/>
  <c r="AS375" i="4"/>
  <c r="AT375" i="4"/>
  <c r="BM375" i="4"/>
  <c r="BN375" i="4"/>
  <c r="BB375" i="4"/>
  <c r="BB462" i="4"/>
  <c r="AS462" i="4"/>
  <c r="AT462" i="4"/>
  <c r="BM462" i="4"/>
  <c r="BN462" i="4"/>
  <c r="AS400" i="4"/>
  <c r="AT400" i="4"/>
  <c r="BM400" i="4"/>
  <c r="BN400" i="4"/>
  <c r="BB400" i="4"/>
  <c r="BA658" i="4"/>
  <c r="BQ658" i="4"/>
  <c r="AY658" i="4"/>
  <c r="BA341" i="4"/>
  <c r="BQ341" i="4"/>
  <c r="AY341" i="4"/>
  <c r="BC426" i="4"/>
  <c r="BH426" i="4"/>
  <c r="BB642" i="4"/>
  <c r="AS642" i="4"/>
  <c r="AT642" i="4"/>
  <c r="AS506" i="4"/>
  <c r="AT506" i="4"/>
  <c r="BM506" i="4"/>
  <c r="BN506" i="4"/>
  <c r="BB506" i="4"/>
  <c r="AY557" i="4"/>
  <c r="BA557" i="4"/>
  <c r="BQ557" i="4"/>
  <c r="BM333" i="4"/>
  <c r="BN333" i="4"/>
  <c r="BU492" i="4"/>
  <c r="AY243" i="4"/>
  <c r="BA243" i="4"/>
  <c r="BQ243" i="4"/>
  <c r="BM650" i="4"/>
  <c r="BN650" i="4"/>
  <c r="AY309" i="4"/>
  <c r="BA309" i="4"/>
  <c r="BQ309" i="4"/>
  <c r="AY210" i="4"/>
  <c r="BA210" i="4"/>
  <c r="BQ210" i="4"/>
  <c r="BA175" i="4"/>
  <c r="BQ175" i="4"/>
  <c r="AY175" i="4"/>
  <c r="BD538" i="4"/>
  <c r="BE538" i="4"/>
  <c r="BI538" i="4"/>
  <c r="BJ538" i="4"/>
  <c r="BH283" i="4"/>
  <c r="BC283" i="4"/>
  <c r="AY400" i="4"/>
  <c r="BA400" i="4"/>
  <c r="BQ400" i="4"/>
  <c r="BB328" i="4"/>
  <c r="AS328" i="4"/>
  <c r="AT328" i="4"/>
  <c r="BB394" i="4"/>
  <c r="AS394" i="4"/>
  <c r="AT394" i="4"/>
  <c r="BM394" i="4"/>
  <c r="BN394" i="4"/>
  <c r="BU332" i="4"/>
  <c r="BB241" i="4"/>
  <c r="AS241" i="4"/>
  <c r="AT241" i="4"/>
  <c r="BM241" i="4"/>
  <c r="BN241" i="4"/>
  <c r="AX366" i="4"/>
  <c r="AW366" i="4"/>
  <c r="AP366" i="4"/>
  <c r="BM366" i="4"/>
  <c r="BN366" i="4"/>
  <c r="BV366" i="4"/>
  <c r="BB156" i="4"/>
  <c r="AS156" i="4"/>
  <c r="AT156" i="4"/>
  <c r="BM409" i="4"/>
  <c r="BN409" i="4"/>
  <c r="BA434" i="4"/>
  <c r="BQ434" i="4"/>
  <c r="AY434" i="4"/>
  <c r="AY323" i="4"/>
  <c r="BA323" i="4"/>
  <c r="BQ323" i="4"/>
  <c r="AS406" i="4"/>
  <c r="AT406" i="4"/>
  <c r="BM406" i="4"/>
  <c r="BN406" i="4"/>
  <c r="BB406" i="4"/>
  <c r="BA342" i="4"/>
  <c r="BQ342" i="4"/>
  <c r="AY342" i="4"/>
  <c r="BU237" i="4"/>
  <c r="AY347" i="4"/>
  <c r="BA347" i="4"/>
  <c r="BQ347" i="4"/>
  <c r="AY469" i="4"/>
  <c r="BA469" i="4"/>
  <c r="BQ469" i="4"/>
  <c r="BM417" i="4"/>
  <c r="BN417" i="4"/>
  <c r="BI184" i="4"/>
  <c r="BJ184" i="4"/>
  <c r="AW399" i="4"/>
  <c r="AP399" i="4"/>
  <c r="BM399" i="4"/>
  <c r="BN399" i="4"/>
  <c r="AX399" i="4"/>
  <c r="BV399" i="4"/>
  <c r="BD470" i="4"/>
  <c r="BE470" i="4"/>
  <c r="BB247" i="4"/>
  <c r="AS247" i="4"/>
  <c r="AT247" i="4"/>
  <c r="AS424" i="4"/>
  <c r="AT424" i="4"/>
  <c r="BM424" i="4"/>
  <c r="BN424" i="4"/>
  <c r="BB424" i="4"/>
  <c r="BM185" i="4"/>
  <c r="BN185" i="4"/>
  <c r="BU639" i="4"/>
  <c r="BA398" i="4"/>
  <c r="BQ398" i="4"/>
  <c r="AY398" i="4"/>
  <c r="AY165" i="4"/>
  <c r="BA165" i="4"/>
  <c r="BQ165" i="4"/>
  <c r="BU612" i="4"/>
  <c r="AY162" i="4"/>
  <c r="BA162" i="4"/>
  <c r="BQ162" i="4"/>
  <c r="BU139" i="4"/>
  <c r="AY412" i="4"/>
  <c r="BA412" i="4"/>
  <c r="BQ412" i="4"/>
  <c r="AY620" i="4"/>
  <c r="BA620" i="4"/>
  <c r="BQ620" i="4"/>
  <c r="AY376" i="4"/>
  <c r="BA376" i="4"/>
  <c r="BQ376" i="4"/>
  <c r="AY174" i="4"/>
  <c r="BA174" i="4"/>
  <c r="BQ174" i="4"/>
  <c r="BM166" i="4"/>
  <c r="BN166" i="4"/>
  <c r="AY242" i="4"/>
  <c r="BA242" i="4"/>
  <c r="BQ242" i="4"/>
  <c r="BA441" i="4"/>
  <c r="BQ441" i="4"/>
  <c r="AY441" i="4"/>
  <c r="AY263" i="4"/>
  <c r="BA263" i="4"/>
  <c r="BQ263" i="4"/>
  <c r="BA599" i="4"/>
  <c r="BQ599" i="4"/>
  <c r="AY599" i="4"/>
  <c r="BA364" i="4"/>
  <c r="BQ364" i="4"/>
  <c r="AY364" i="4"/>
  <c r="AY651" i="4"/>
  <c r="BA651" i="4"/>
  <c r="BQ651" i="4"/>
  <c r="AY502" i="4"/>
  <c r="BA502" i="4"/>
  <c r="BQ502" i="4"/>
  <c r="BM466" i="4"/>
  <c r="BN466" i="4"/>
  <c r="AY614" i="4"/>
  <c r="BA614" i="4"/>
  <c r="BQ614" i="4"/>
  <c r="BA228" i="4"/>
  <c r="BQ228" i="4"/>
  <c r="AY228" i="4"/>
  <c r="AY178" i="4"/>
  <c r="BA178" i="4"/>
  <c r="BQ178" i="4"/>
  <c r="AW296" i="4"/>
  <c r="AX296" i="4"/>
  <c r="AP296" i="4"/>
  <c r="BM296" i="4"/>
  <c r="BN296" i="4"/>
  <c r="BV296" i="4"/>
  <c r="AX472" i="4"/>
  <c r="AP472" i="4"/>
  <c r="AW472" i="4"/>
  <c r="BV472" i="4"/>
  <c r="AX155" i="4"/>
  <c r="AW155" i="4"/>
  <c r="AP155" i="4"/>
  <c r="BM155" i="4"/>
  <c r="BN155" i="4"/>
  <c r="BV155" i="4"/>
  <c r="AX454" i="4"/>
  <c r="AW454" i="4"/>
  <c r="AP454" i="4"/>
  <c r="BM454" i="4"/>
  <c r="BN454" i="4"/>
  <c r="BV454" i="4"/>
  <c r="AW190" i="4"/>
  <c r="AP190" i="4"/>
  <c r="BM190" i="4"/>
  <c r="BN190" i="4"/>
  <c r="AX190" i="4"/>
  <c r="BV190" i="4"/>
  <c r="BB583" i="4"/>
  <c r="AS583" i="4"/>
  <c r="AT583" i="4"/>
  <c r="BM583" i="4"/>
  <c r="BN583" i="4"/>
  <c r="BB389" i="4"/>
  <c r="AS389" i="4"/>
  <c r="AT389" i="4"/>
  <c r="BM389" i="4"/>
  <c r="BN389" i="4"/>
  <c r="AY605" i="4"/>
  <c r="BA605" i="4"/>
  <c r="BQ605" i="4"/>
  <c r="BB452" i="4"/>
  <c r="AS452" i="4"/>
  <c r="AT452" i="4"/>
  <c r="BM452" i="4"/>
  <c r="BN452" i="4"/>
  <c r="AX211" i="4"/>
  <c r="AW211" i="4"/>
  <c r="AP211" i="4"/>
  <c r="BM211" i="4"/>
  <c r="BN211" i="4"/>
  <c r="BV211" i="4"/>
  <c r="BC471" i="4"/>
  <c r="BH471" i="4"/>
  <c r="BB176" i="4"/>
  <c r="AS176" i="4"/>
  <c r="AT176" i="4"/>
  <c r="BB423" i="4"/>
  <c r="AS423" i="4"/>
  <c r="AT423" i="4"/>
  <c r="BM423" i="4"/>
  <c r="BN423" i="4"/>
  <c r="BH293" i="4"/>
  <c r="BC293" i="4"/>
  <c r="BD293" i="4"/>
  <c r="BE293" i="4"/>
  <c r="BB330" i="4"/>
  <c r="AS330" i="4"/>
  <c r="AT330" i="4"/>
  <c r="BM330" i="4"/>
  <c r="BN330" i="4"/>
  <c r="BC414" i="4"/>
  <c r="BH414" i="4"/>
  <c r="BC350" i="4"/>
  <c r="BH350" i="4"/>
  <c r="BM449" i="4"/>
  <c r="BN449" i="4"/>
  <c r="AY603" i="4"/>
  <c r="BA603" i="4"/>
  <c r="BQ603" i="4"/>
  <c r="BH358" i="4"/>
  <c r="BC358" i="4"/>
  <c r="BD358" i="4"/>
  <c r="BE358" i="4"/>
  <c r="BC595" i="4"/>
  <c r="BH595" i="4"/>
  <c r="AW438" i="4"/>
  <c r="AP438" i="4"/>
  <c r="AX438" i="4"/>
  <c r="BV438" i="4"/>
  <c r="BA569" i="4"/>
  <c r="BQ569" i="4"/>
  <c r="AY569" i="4"/>
  <c r="AY421" i="4"/>
  <c r="BA421" i="4"/>
  <c r="BQ421" i="4"/>
  <c r="AY378" i="4"/>
  <c r="BA378" i="4"/>
  <c r="BQ378" i="4"/>
  <c r="BM532" i="4"/>
  <c r="BN532" i="4"/>
  <c r="AX455" i="4"/>
  <c r="AW455" i="4"/>
  <c r="AP455" i="4"/>
  <c r="BM455" i="4"/>
  <c r="BN455" i="4"/>
  <c r="BV455" i="4"/>
  <c r="AY167" i="4"/>
  <c r="BA167" i="4"/>
  <c r="BQ167" i="4"/>
  <c r="BM194" i="4"/>
  <c r="BN194" i="4"/>
  <c r="AX284" i="4"/>
  <c r="AW284" i="4"/>
  <c r="AP284" i="4"/>
  <c r="BV284" i="4"/>
  <c r="BB500" i="4"/>
  <c r="AS500" i="4"/>
  <c r="AT500" i="4"/>
  <c r="BM500" i="4"/>
  <c r="BN500" i="4"/>
  <c r="BU629" i="4"/>
  <c r="BB503" i="4"/>
  <c r="AS503" i="4"/>
  <c r="AT503" i="4"/>
  <c r="BM503" i="4"/>
  <c r="BN503" i="4"/>
  <c r="BC198" i="4"/>
  <c r="BD198" i="4"/>
  <c r="BE198" i="4"/>
  <c r="BH198" i="4"/>
  <c r="BH165" i="4"/>
  <c r="BC165" i="4"/>
  <c r="BH512" i="4"/>
  <c r="BC512" i="4"/>
  <c r="AY431" i="4"/>
  <c r="BA431" i="4"/>
  <c r="BQ431" i="4"/>
  <c r="BB411" i="4"/>
  <c r="AS411" i="4"/>
  <c r="AT411" i="4"/>
  <c r="BM411" i="4"/>
  <c r="BN411" i="4"/>
  <c r="BB331" i="4"/>
  <c r="AS331" i="4"/>
  <c r="AT331" i="4"/>
  <c r="BM331" i="4"/>
  <c r="BN331" i="4"/>
  <c r="BC362" i="4"/>
  <c r="BD362" i="4"/>
  <c r="BE362" i="4"/>
  <c r="BH362" i="4"/>
  <c r="AX292" i="4"/>
  <c r="AW292" i="4"/>
  <c r="AP292" i="4"/>
  <c r="BM292" i="4"/>
  <c r="BN292" i="4"/>
  <c r="BV292" i="4"/>
  <c r="BM553" i="4"/>
  <c r="BN553" i="4"/>
  <c r="BM572" i="4"/>
  <c r="BN572" i="4"/>
  <c r="AX446" i="4"/>
  <c r="AW446" i="4"/>
  <c r="AP446" i="4"/>
  <c r="BV446" i="4"/>
  <c r="BB522" i="4"/>
  <c r="AS522" i="4"/>
  <c r="AT522" i="4"/>
  <c r="BM522" i="4"/>
  <c r="BN522" i="4"/>
  <c r="BM497" i="4"/>
  <c r="BN497" i="4"/>
  <c r="AY234" i="4"/>
  <c r="BA234" i="4"/>
  <c r="BQ234" i="4"/>
  <c r="BM231" i="4"/>
  <c r="BN231" i="4"/>
  <c r="BB242" i="4"/>
  <c r="AS242" i="4"/>
  <c r="AT242" i="4"/>
  <c r="BM242" i="4"/>
  <c r="BN242" i="4"/>
  <c r="AY143" i="4"/>
  <c r="BA143" i="4"/>
  <c r="BQ143" i="4"/>
  <c r="BM212" i="4"/>
  <c r="BN212" i="4"/>
  <c r="BU482" i="4"/>
  <c r="AY644" i="4"/>
  <c r="BA644" i="4"/>
  <c r="BQ644" i="4"/>
  <c r="AP186" i="4"/>
  <c r="BM186" i="4"/>
  <c r="BN186" i="4"/>
  <c r="AW186" i="4"/>
  <c r="AX186" i="4"/>
  <c r="BV186" i="4"/>
  <c r="BM475" i="4"/>
  <c r="BN475" i="4"/>
  <c r="BH348" i="4"/>
  <c r="BC348" i="4"/>
  <c r="BD348" i="4"/>
  <c r="BE348" i="4"/>
  <c r="AS521" i="4"/>
  <c r="AT521" i="4"/>
  <c r="BM521" i="4"/>
  <c r="BN521" i="4"/>
  <c r="BH192" i="4"/>
  <c r="BC192" i="4"/>
  <c r="BD192" i="4"/>
  <c r="BE192" i="4"/>
  <c r="BB289" i="4"/>
  <c r="AS289" i="4"/>
  <c r="AT289" i="4"/>
  <c r="AY600" i="4"/>
  <c r="BA600" i="4"/>
  <c r="BQ600" i="4"/>
  <c r="BB303" i="4"/>
  <c r="AS303" i="4"/>
  <c r="AT303" i="4"/>
  <c r="BM303" i="4"/>
  <c r="BN303" i="4"/>
  <c r="BA484" i="4"/>
  <c r="BQ484" i="4"/>
  <c r="AY484" i="4"/>
  <c r="BC487" i="4"/>
  <c r="BH487" i="4"/>
  <c r="BA297" i="4"/>
  <c r="BQ297" i="4"/>
  <c r="AY297" i="4"/>
  <c r="BB169" i="4"/>
  <c r="AS169" i="4"/>
  <c r="AT169" i="4"/>
  <c r="BM169" i="4"/>
  <c r="BN169" i="4"/>
  <c r="BH413" i="4"/>
  <c r="BC413" i="4"/>
  <c r="BD413" i="4"/>
  <c r="BE413" i="4"/>
  <c r="BB363" i="4"/>
  <c r="AS363" i="4"/>
  <c r="AT363" i="4"/>
  <c r="BB229" i="4"/>
  <c r="AS229" i="4"/>
  <c r="AT229" i="4"/>
  <c r="BM229" i="4"/>
  <c r="BN229" i="4"/>
  <c r="BB602" i="4"/>
  <c r="AS602" i="4"/>
  <c r="AT602" i="4"/>
  <c r="BM602" i="4"/>
  <c r="BN602" i="4"/>
  <c r="AY383" i="4"/>
  <c r="BA383" i="4"/>
  <c r="BQ383" i="4"/>
  <c r="BH479" i="4"/>
  <c r="BC479" i="4"/>
  <c r="BC481" i="4"/>
  <c r="BD481" i="4"/>
  <c r="BE481" i="4"/>
  <c r="BH481" i="4"/>
  <c r="AY293" i="4"/>
  <c r="BA293" i="4"/>
  <c r="BQ293" i="4"/>
  <c r="AS142" i="4"/>
  <c r="AT142" i="4"/>
  <c r="BM142" i="4"/>
  <c r="BN142" i="4"/>
  <c r="BB142" i="4"/>
  <c r="BM637" i="4"/>
  <c r="BN637" i="4"/>
  <c r="BC173" i="4"/>
  <c r="BD173" i="4"/>
  <c r="BE173" i="4"/>
  <c r="BH173" i="4"/>
  <c r="AY159" i="4"/>
  <c r="BA159" i="4"/>
  <c r="BQ159" i="4"/>
  <c r="BM357" i="4"/>
  <c r="BN357" i="4"/>
  <c r="BA562" i="4"/>
  <c r="BQ562" i="4"/>
  <c r="AY562" i="4"/>
  <c r="AY169" i="4"/>
  <c r="BA169" i="4"/>
  <c r="BQ169" i="4"/>
  <c r="BB502" i="4"/>
  <c r="AS502" i="4"/>
  <c r="AT502" i="4"/>
  <c r="BM502" i="4"/>
  <c r="BN502" i="4"/>
  <c r="BV565" i="4"/>
  <c r="AX565" i="4"/>
  <c r="AW565" i="4"/>
  <c r="AP565" i="4"/>
  <c r="BB531" i="4"/>
  <c r="AS531" i="4"/>
  <c r="AT531" i="4"/>
  <c r="BM531" i="4"/>
  <c r="BN531" i="4"/>
  <c r="AY544" i="4"/>
  <c r="BA544" i="4"/>
  <c r="BQ544" i="4"/>
  <c r="BA602" i="4"/>
  <c r="BQ602" i="4"/>
  <c r="AY602" i="4"/>
  <c r="BM272" i="4"/>
  <c r="BN272" i="4"/>
  <c r="BM309" i="4"/>
  <c r="BN309" i="4"/>
  <c r="AS246" i="4"/>
  <c r="AT246" i="4"/>
  <c r="BM246" i="4"/>
  <c r="BN246" i="4"/>
  <c r="BB246" i="4"/>
  <c r="AY443" i="4"/>
  <c r="BA443" i="4"/>
  <c r="BQ443" i="4"/>
  <c r="BI336" i="4"/>
  <c r="BJ336" i="4"/>
  <c r="BM175" i="4"/>
  <c r="BN175" i="4"/>
  <c r="AY163" i="4"/>
  <c r="BA163" i="4"/>
  <c r="BQ163" i="4"/>
  <c r="AY375" i="4"/>
  <c r="BA375" i="4"/>
  <c r="BQ375" i="4"/>
  <c r="BH388" i="4"/>
  <c r="BC388" i="4"/>
  <c r="AY462" i="4"/>
  <c r="BA462" i="4"/>
  <c r="BQ462" i="4"/>
  <c r="BB598" i="4"/>
  <c r="AS598" i="4"/>
  <c r="AT598" i="4"/>
  <c r="BM598" i="4"/>
  <c r="BN598" i="4"/>
  <c r="AX328" i="4"/>
  <c r="AW328" i="4"/>
  <c r="AP328" i="4"/>
  <c r="BV328" i="4"/>
  <c r="AS137" i="4"/>
  <c r="AT137" i="4"/>
  <c r="BM137" i="4"/>
  <c r="BN137" i="4"/>
  <c r="AP401" i="4"/>
  <c r="BM401" i="4"/>
  <c r="BN401" i="4"/>
  <c r="BV401" i="4"/>
  <c r="AW401" i="4"/>
  <c r="AX401" i="4"/>
  <c r="AS576" i="4"/>
  <c r="AT576" i="4"/>
  <c r="BM576" i="4"/>
  <c r="BN576" i="4"/>
  <c r="BB576" i="4"/>
  <c r="BB483" i="4"/>
  <c r="AS483" i="4"/>
  <c r="AT483" i="4"/>
  <c r="BM483" i="4"/>
  <c r="BN483" i="4"/>
  <c r="BB565" i="4"/>
  <c r="AS565" i="4"/>
  <c r="AT565" i="4"/>
  <c r="BC409" i="4"/>
  <c r="BD409" i="4"/>
  <c r="BE409" i="4"/>
  <c r="BH409" i="4"/>
  <c r="AY226" i="4"/>
  <c r="BA226" i="4"/>
  <c r="BQ226" i="4"/>
  <c r="BA373" i="4"/>
  <c r="BQ373" i="4"/>
  <c r="AY373" i="4"/>
  <c r="AY246" i="4"/>
  <c r="BA246" i="4"/>
  <c r="BQ246" i="4"/>
  <c r="AP386" i="4"/>
  <c r="BM386" i="4"/>
  <c r="BN386" i="4"/>
  <c r="BV386" i="4"/>
  <c r="AW386" i="4"/>
  <c r="AX386" i="4"/>
  <c r="AY349" i="4"/>
  <c r="BA349" i="4"/>
  <c r="BQ349" i="4"/>
  <c r="BU183" i="4"/>
  <c r="BH551" i="4"/>
  <c r="BC551" i="4"/>
  <c r="AY529" i="4"/>
  <c r="BA529" i="4"/>
  <c r="BQ529" i="4"/>
  <c r="BH214" i="4"/>
  <c r="BC214" i="4"/>
  <c r="BD214" i="4"/>
  <c r="BE214" i="4"/>
  <c r="BC227" i="4"/>
  <c r="BH227" i="4"/>
  <c r="AY417" i="4"/>
  <c r="BA417" i="4"/>
  <c r="BQ417" i="4"/>
  <c r="BM467" i="4"/>
  <c r="BN467" i="4"/>
  <c r="BH621" i="4"/>
  <c r="BC621" i="4"/>
  <c r="BD621" i="4"/>
  <c r="BE621" i="4"/>
  <c r="BU384" i="4"/>
  <c r="BU247" i="4"/>
  <c r="BM498" i="4"/>
  <c r="BN498" i="4"/>
  <c r="AY585" i="4"/>
  <c r="BA585" i="4"/>
  <c r="BQ585" i="4"/>
  <c r="AS248" i="4"/>
  <c r="AT248" i="4"/>
  <c r="BB248" i="4"/>
  <c r="BC260" i="4"/>
  <c r="BH260" i="4"/>
  <c r="BM146" i="4"/>
  <c r="BN146" i="4"/>
  <c r="BB610" i="4"/>
  <c r="AS610" i="4"/>
  <c r="AT610" i="4"/>
  <c r="AW205" i="4"/>
  <c r="AX205" i="4"/>
  <c r="AP205" i="4"/>
  <c r="BM205" i="4"/>
  <c r="BN205" i="4"/>
  <c r="BV205" i="4"/>
  <c r="BU608" i="4"/>
  <c r="AS271" i="4"/>
  <c r="AT271" i="4"/>
  <c r="BM271" i="4"/>
  <c r="BN271" i="4"/>
  <c r="BB271" i="4"/>
  <c r="AY521" i="4"/>
  <c r="BA521" i="4"/>
  <c r="BQ521" i="4"/>
  <c r="AY195" i="4"/>
  <c r="BA195" i="4"/>
  <c r="BQ195" i="4"/>
  <c r="BA536" i="4"/>
  <c r="BQ536" i="4"/>
  <c r="AY536" i="4"/>
  <c r="BM340" i="4"/>
  <c r="BN340" i="4"/>
  <c r="AY597" i="4"/>
  <c r="BA597" i="4"/>
  <c r="BQ597" i="4"/>
  <c r="AY232" i="4"/>
  <c r="BA232" i="4"/>
  <c r="BQ232" i="4"/>
  <c r="AY137" i="4"/>
  <c r="BA137" i="4"/>
  <c r="BQ137" i="4"/>
  <c r="BA338" i="4"/>
  <c r="BQ338" i="4"/>
  <c r="AY338" i="4"/>
  <c r="AY123" i="4"/>
  <c r="BA123" i="4"/>
  <c r="BQ123" i="4"/>
  <c r="BA294" i="4"/>
  <c r="BQ294" i="4"/>
  <c r="AY294" i="4"/>
  <c r="AY281" i="4"/>
  <c r="BA281" i="4"/>
  <c r="BQ281" i="4"/>
  <c r="AY488" i="4"/>
  <c r="BA488" i="4"/>
  <c r="BQ488" i="4"/>
  <c r="AY269" i="4"/>
  <c r="BA269" i="4"/>
  <c r="BQ269" i="4"/>
  <c r="BM550" i="4"/>
  <c r="BN550" i="4"/>
  <c r="BM299" i="4"/>
  <c r="BN299" i="4"/>
  <c r="AY598" i="4"/>
  <c r="BA598" i="4"/>
  <c r="BQ598" i="4"/>
  <c r="BM516" i="4"/>
  <c r="BN516" i="4"/>
  <c r="AY466" i="4"/>
  <c r="BA466" i="4"/>
  <c r="BQ466" i="4"/>
  <c r="BM590" i="4"/>
  <c r="BN590" i="4"/>
  <c r="BM540" i="4"/>
  <c r="BN540" i="4"/>
  <c r="AY287" i="4"/>
  <c r="BA287" i="4"/>
  <c r="BQ287" i="4"/>
  <c r="BM490" i="4"/>
  <c r="BN490" i="4"/>
  <c r="BA141" i="4"/>
  <c r="BQ141" i="4"/>
  <c r="AY141" i="4"/>
  <c r="BD566" i="4"/>
  <c r="BE566" i="4"/>
  <c r="BI566" i="4"/>
  <c r="BJ566" i="4"/>
  <c r="BD525" i="4"/>
  <c r="BE525" i="4"/>
  <c r="BI525" i="4"/>
  <c r="BJ525" i="4"/>
  <c r="BD290" i="4"/>
  <c r="BE290" i="4"/>
  <c r="BI290" i="4"/>
  <c r="BJ290" i="4"/>
  <c r="BM120" i="4"/>
  <c r="BD636" i="4"/>
  <c r="BE636" i="4"/>
  <c r="BI636" i="4"/>
  <c r="BJ636" i="4"/>
  <c r="BD365" i="4"/>
  <c r="BE365" i="4"/>
  <c r="BI365" i="4"/>
  <c r="BJ365" i="4"/>
  <c r="BH121" i="4"/>
  <c r="BC121" i="4"/>
  <c r="BD275" i="4"/>
  <c r="BE275" i="4"/>
  <c r="BI275" i="4"/>
  <c r="BJ275" i="4"/>
  <c r="BD298" i="4"/>
  <c r="BE298" i="4"/>
  <c r="BI298" i="4"/>
  <c r="BJ298" i="4"/>
  <c r="BD193" i="4"/>
  <c r="BE193" i="4"/>
  <c r="BI193" i="4"/>
  <c r="BJ193" i="4"/>
  <c r="BD371" i="4"/>
  <c r="BE371" i="4"/>
  <c r="BI371" i="4"/>
  <c r="BJ371" i="4"/>
  <c r="BH120" i="4"/>
  <c r="BC120" i="4"/>
  <c r="AX120" i="4"/>
  <c r="AY120" i="4"/>
  <c r="BA120" i="4"/>
  <c r="BD464" i="4"/>
  <c r="BE464" i="4"/>
  <c r="BI464" i="4"/>
  <c r="BJ464" i="4"/>
  <c r="BD325" i="4"/>
  <c r="BE325" i="4"/>
  <c r="BI325" i="4"/>
  <c r="BJ325" i="4"/>
  <c r="BD233" i="4"/>
  <c r="BE233" i="4"/>
  <c r="BI233" i="4"/>
  <c r="BJ233" i="4"/>
  <c r="BD158" i="4"/>
  <c r="BE158" i="4"/>
  <c r="BI158" i="4"/>
  <c r="BJ158" i="4"/>
  <c r="BD617" i="4"/>
  <c r="BE617" i="4"/>
  <c r="BI617" i="4"/>
  <c r="BJ617" i="4"/>
  <c r="BD125" i="4"/>
  <c r="BE125" i="4"/>
  <c r="BI125" i="4"/>
  <c r="BJ125" i="4"/>
  <c r="BD582" i="4"/>
  <c r="BE582" i="4"/>
  <c r="BI582" i="4"/>
  <c r="BJ582" i="4"/>
  <c r="BD249" i="4"/>
  <c r="BE249" i="4"/>
  <c r="BI249" i="4"/>
  <c r="BJ249" i="4"/>
  <c r="BD346" i="4"/>
  <c r="BE346" i="4"/>
  <c r="BI346" i="4"/>
  <c r="BJ346" i="4"/>
  <c r="BD202" i="4"/>
  <c r="BE202" i="4"/>
  <c r="BI202" i="4"/>
  <c r="BJ202" i="4"/>
  <c r="BD222" i="4"/>
  <c r="BE222" i="4"/>
  <c r="BI222" i="4"/>
  <c r="BJ222" i="4"/>
  <c r="BD372" i="4"/>
  <c r="BE372" i="4"/>
  <c r="BI372" i="4"/>
  <c r="BJ372" i="4"/>
  <c r="BC129" i="4"/>
  <c r="BH129" i="4"/>
  <c r="BD164" i="4"/>
  <c r="BE164" i="4"/>
  <c r="BI164" i="4"/>
  <c r="BJ164" i="4"/>
  <c r="BD547" i="4"/>
  <c r="BE547" i="4"/>
  <c r="BI547" i="4"/>
  <c r="BJ547" i="4"/>
  <c r="BD188" i="4"/>
  <c r="BE188" i="4"/>
  <c r="BI188" i="4"/>
  <c r="BJ188" i="4"/>
  <c r="BD327" i="4"/>
  <c r="BE327" i="4"/>
  <c r="BI327" i="4"/>
  <c r="BJ327" i="4"/>
  <c r="BD430" i="4"/>
  <c r="BE430" i="4"/>
  <c r="BI430" i="4"/>
  <c r="BJ430" i="4"/>
  <c r="BD509" i="4"/>
  <c r="BE509" i="4"/>
  <c r="BI509" i="4"/>
  <c r="BJ509" i="4"/>
  <c r="BD304" i="4"/>
  <c r="BE304" i="4"/>
  <c r="BI304" i="4"/>
  <c r="BJ304" i="4"/>
  <c r="BD154" i="4"/>
  <c r="BE154" i="4"/>
  <c r="BI154" i="4"/>
  <c r="BJ154" i="4"/>
  <c r="BD124" i="4"/>
  <c r="BE124" i="4"/>
  <c r="BI124" i="4"/>
  <c r="BJ124" i="4"/>
  <c r="BD122" i="4"/>
  <c r="BE122" i="4"/>
  <c r="BI122" i="4"/>
  <c r="BJ122" i="4"/>
  <c r="BD634" i="4"/>
  <c r="BE634" i="4"/>
  <c r="BI634" i="4"/>
  <c r="BJ634" i="4"/>
  <c r="BD563" i="4"/>
  <c r="BE563" i="4"/>
  <c r="BI563" i="4"/>
  <c r="BJ563" i="4"/>
  <c r="BD144" i="4"/>
  <c r="BE144" i="4"/>
  <c r="BI144" i="4"/>
  <c r="BJ144" i="4"/>
  <c r="BD168" i="4"/>
  <c r="BE168" i="4"/>
  <c r="BI168" i="4"/>
  <c r="BJ168" i="4"/>
  <c r="BD526" i="4"/>
  <c r="BE526" i="4"/>
  <c r="BI526" i="4"/>
  <c r="BJ526" i="4"/>
  <c r="BD447" i="4"/>
  <c r="BE447" i="4"/>
  <c r="BI447" i="4"/>
  <c r="BJ447" i="4"/>
  <c r="BD468" i="4"/>
  <c r="BE468" i="4"/>
  <c r="BI468" i="4"/>
  <c r="BJ468" i="4"/>
  <c r="BD505" i="4"/>
  <c r="BE505" i="4"/>
  <c r="BI505" i="4"/>
  <c r="BJ505" i="4"/>
  <c r="BI383" i="4"/>
  <c r="BJ383" i="4"/>
  <c r="BI543" i="4"/>
  <c r="BJ543" i="4"/>
  <c r="BI301" i="4"/>
  <c r="BJ301" i="4"/>
  <c r="BK301" i="4"/>
  <c r="BK230" i="4"/>
  <c r="BM601" i="4"/>
  <c r="BN601" i="4"/>
  <c r="AY554" i="4"/>
  <c r="BA554" i="4"/>
  <c r="BQ554" i="4"/>
  <c r="BM508" i="4"/>
  <c r="BN508" i="4"/>
  <c r="BM565" i="4"/>
  <c r="BN565" i="4"/>
  <c r="BM609" i="4"/>
  <c r="BN609" i="4"/>
  <c r="BC601" i="4"/>
  <c r="BD601" i="4"/>
  <c r="BE601" i="4"/>
  <c r="BI601" i="4"/>
  <c r="BJ601" i="4"/>
  <c r="BH601" i="4"/>
  <c r="BC508" i="4"/>
  <c r="BH508" i="4"/>
  <c r="BA609" i="4"/>
  <c r="BQ609" i="4"/>
  <c r="AY609" i="4"/>
  <c r="BC215" i="4"/>
  <c r="BD215" i="4"/>
  <c r="BE215" i="4"/>
  <c r="BI215" i="4"/>
  <c r="BJ215" i="4"/>
  <c r="BH215" i="4"/>
  <c r="BM197" i="4"/>
  <c r="BN197" i="4"/>
  <c r="BM554" i="4"/>
  <c r="BN554" i="4"/>
  <c r="BI625" i="4"/>
  <c r="BJ625" i="4"/>
  <c r="BI528" i="4"/>
  <c r="BJ528" i="4"/>
  <c r="AY508" i="4"/>
  <c r="BA508" i="4"/>
  <c r="BQ508" i="4"/>
  <c r="BA539" i="4"/>
  <c r="BQ539" i="4"/>
  <c r="AY539" i="4"/>
  <c r="BC554" i="4"/>
  <c r="BD554" i="4"/>
  <c r="BE554" i="4"/>
  <c r="BI554" i="4"/>
  <c r="BJ554" i="4"/>
  <c r="BH554" i="4"/>
  <c r="BC609" i="4"/>
  <c r="BD609" i="4"/>
  <c r="BE609" i="4"/>
  <c r="BI609" i="4"/>
  <c r="BJ609" i="4"/>
  <c r="BH609" i="4"/>
  <c r="AY601" i="4"/>
  <c r="BA601" i="4"/>
  <c r="BQ601" i="4"/>
  <c r="BC622" i="4"/>
  <c r="BD622" i="4"/>
  <c r="BE622" i="4"/>
  <c r="BH622" i="4"/>
  <c r="BI470" i="4"/>
  <c r="BJ470" i="4"/>
  <c r="BI213" i="4"/>
  <c r="BJ213" i="4"/>
  <c r="BM381" i="4"/>
  <c r="BN381" i="4"/>
  <c r="BA256" i="4"/>
  <c r="BQ256" i="4"/>
  <c r="AY256" i="4"/>
  <c r="BH220" i="4"/>
  <c r="BC220" i="4"/>
  <c r="BD220" i="4"/>
  <c r="BE220" i="4"/>
  <c r="BL301" i="4"/>
  <c r="BI473" i="4"/>
  <c r="BJ473" i="4"/>
  <c r="BK473" i="4"/>
  <c r="BI133" i="4"/>
  <c r="BJ133" i="4"/>
  <c r="BC524" i="4"/>
  <c r="BD524" i="4"/>
  <c r="BE524" i="4"/>
  <c r="BI524" i="4"/>
  <c r="BJ524" i="4"/>
  <c r="BM187" i="4"/>
  <c r="BN187" i="4"/>
  <c r="BI575" i="4"/>
  <c r="BJ575" i="4"/>
  <c r="BK191" i="4"/>
  <c r="BL191" i="4"/>
  <c r="BI619" i="4"/>
  <c r="BJ619" i="4"/>
  <c r="BC236" i="4"/>
  <c r="BD236" i="4"/>
  <c r="BE236" i="4"/>
  <c r="BI236" i="4"/>
  <c r="BJ236" i="4"/>
  <c r="BK236" i="4"/>
  <c r="BH236" i="4"/>
  <c r="BI628" i="4"/>
  <c r="BJ628" i="4"/>
  <c r="BI567" i="4"/>
  <c r="BJ567" i="4"/>
  <c r="BI226" i="4"/>
  <c r="BJ226" i="4"/>
  <c r="BI600" i="4"/>
  <c r="BJ600" i="4"/>
  <c r="BI173" i="4"/>
  <c r="BJ173" i="4"/>
  <c r="BM546" i="4"/>
  <c r="BN546" i="4"/>
  <c r="BM136" i="4"/>
  <c r="BN136" i="4"/>
  <c r="AY273" i="4"/>
  <c r="BA273" i="4"/>
  <c r="BQ273" i="4"/>
  <c r="BI356" i="4"/>
  <c r="BJ356" i="4"/>
  <c r="BI467" i="4"/>
  <c r="BJ467" i="4"/>
  <c r="BI214" i="4"/>
  <c r="BJ214" i="4"/>
  <c r="BI348" i="4"/>
  <c r="BJ348" i="4"/>
  <c r="BI317" i="4"/>
  <c r="BJ317" i="4"/>
  <c r="BC273" i="4"/>
  <c r="BD273" i="4"/>
  <c r="BE273" i="4"/>
  <c r="BH273" i="4"/>
  <c r="BI239" i="4"/>
  <c r="BJ239" i="4"/>
  <c r="BK239" i="4"/>
  <c r="BI311" i="4"/>
  <c r="BJ311" i="4"/>
  <c r="BI295" i="4"/>
  <c r="BJ295" i="4"/>
  <c r="BK295" i="4"/>
  <c r="BM548" i="4"/>
  <c r="BN548" i="4"/>
  <c r="BI323" i="4"/>
  <c r="BJ323" i="4"/>
  <c r="BL323" i="4"/>
  <c r="T72" i="4"/>
  <c r="D64" i="4"/>
  <c r="BM492" i="4"/>
  <c r="BN492" i="4"/>
  <c r="BI238" i="4"/>
  <c r="BJ238" i="4"/>
  <c r="BK238" i="4"/>
  <c r="BI148" i="4"/>
  <c r="BJ148" i="4"/>
  <c r="AY568" i="4"/>
  <c r="BA568" i="4"/>
  <c r="BQ568" i="4"/>
  <c r="BI308" i="4"/>
  <c r="BJ308" i="4"/>
  <c r="BH187" i="4"/>
  <c r="BC187" i="4"/>
  <c r="BD187" i="4"/>
  <c r="BE187" i="4"/>
  <c r="BH456" i="4"/>
  <c r="BC456" i="4"/>
  <c r="BD456" i="4"/>
  <c r="BE456" i="4"/>
  <c r="BI282" i="4"/>
  <c r="BJ282" i="4"/>
  <c r="BM328" i="4"/>
  <c r="BN328" i="4"/>
  <c r="BM493" i="4"/>
  <c r="BN493" i="4"/>
  <c r="BI367" i="4"/>
  <c r="BJ367" i="4"/>
  <c r="BI208" i="4"/>
  <c r="BJ208" i="4"/>
  <c r="BI622" i="4"/>
  <c r="BJ622" i="4"/>
  <c r="BL622" i="4"/>
  <c r="BI596" i="4"/>
  <c r="BJ596" i="4"/>
  <c r="AY548" i="4"/>
  <c r="BA548" i="4"/>
  <c r="BQ548" i="4"/>
  <c r="BI518" i="4"/>
  <c r="BJ518" i="4"/>
  <c r="BI557" i="4"/>
  <c r="BJ557" i="4"/>
  <c r="BK557" i="4"/>
  <c r="BI354" i="4"/>
  <c r="BJ354" i="4"/>
  <c r="AY535" i="4"/>
  <c r="BA535" i="4"/>
  <c r="BQ535" i="4"/>
  <c r="BC511" i="4"/>
  <c r="BD511" i="4"/>
  <c r="BE511" i="4"/>
  <c r="BH511" i="4"/>
  <c r="BC548" i="4"/>
  <c r="BD548" i="4"/>
  <c r="BE548" i="4"/>
  <c r="BH548" i="4"/>
  <c r="BI278" i="4"/>
  <c r="BJ278" i="4"/>
  <c r="BH439" i="4"/>
  <c r="BC439" i="4"/>
  <c r="BH588" i="4"/>
  <c r="BC588" i="4"/>
  <c r="T73" i="4"/>
  <c r="D65" i="4"/>
  <c r="T78" i="4"/>
  <c r="T79" i="4"/>
  <c r="T80" i="4"/>
  <c r="AZ464" i="4"/>
  <c r="H22" i="4"/>
  <c r="BI409" i="4"/>
  <c r="BJ409" i="4"/>
  <c r="BI585" i="4"/>
  <c r="BJ585" i="4"/>
  <c r="AY187" i="4"/>
  <c r="BA187" i="4"/>
  <c r="BQ187" i="4"/>
  <c r="BA456" i="4"/>
  <c r="BQ456" i="4"/>
  <c r="AY456" i="4"/>
  <c r="BC335" i="4"/>
  <c r="BD335" i="4"/>
  <c r="BE335" i="4"/>
  <c r="BI335" i="4"/>
  <c r="BJ335" i="4"/>
  <c r="BL335" i="4"/>
  <c r="BH335" i="4"/>
  <c r="BD355" i="4"/>
  <c r="BE355" i="4"/>
  <c r="BI355" i="4"/>
  <c r="BJ355" i="4"/>
  <c r="BI413" i="4"/>
  <c r="BJ413" i="4"/>
  <c r="BI192" i="4"/>
  <c r="BJ192" i="4"/>
  <c r="BI560" i="4"/>
  <c r="BJ560" i="4"/>
  <c r="BL560" i="4"/>
  <c r="BI397" i="4"/>
  <c r="BJ397" i="4"/>
  <c r="BL397" i="4"/>
  <c r="BM439" i="4"/>
  <c r="BN439" i="4"/>
  <c r="BH197" i="4"/>
  <c r="BC197" i="4"/>
  <c r="BD197" i="4"/>
  <c r="BE197" i="4"/>
  <c r="BM335" i="4"/>
  <c r="BN335" i="4"/>
  <c r="BC265" i="4"/>
  <c r="BH265" i="4"/>
  <c r="BI569" i="4"/>
  <c r="BJ569" i="4"/>
  <c r="BK569" i="4"/>
  <c r="BI637" i="4"/>
  <c r="BJ637" i="4"/>
  <c r="AY381" i="4"/>
  <c r="BA381" i="4"/>
  <c r="BQ381" i="4"/>
  <c r="AY439" i="4"/>
  <c r="BA439" i="4"/>
  <c r="BQ439" i="4"/>
  <c r="BC535" i="4"/>
  <c r="BD535" i="4"/>
  <c r="BE535" i="4"/>
  <c r="BH535" i="4"/>
  <c r="BA335" i="4"/>
  <c r="BQ335" i="4"/>
  <c r="AY335" i="4"/>
  <c r="BH568" i="4"/>
  <c r="BC568" i="4"/>
  <c r="BD568" i="4"/>
  <c r="BE568" i="4"/>
  <c r="BA197" i="4"/>
  <c r="BQ197" i="4"/>
  <c r="AY197" i="4"/>
  <c r="BH381" i="4"/>
  <c r="BC381" i="4"/>
  <c r="BD381" i="4"/>
  <c r="BE381" i="4"/>
  <c r="BM456" i="4"/>
  <c r="BN456" i="4"/>
  <c r="T74" i="4" a="1"/>
  <c r="T74" i="4"/>
  <c r="M19" i="30"/>
  <c r="BK622" i="4"/>
  <c r="BK470" i="4"/>
  <c r="BL470" i="4"/>
  <c r="BK600" i="4"/>
  <c r="BL600" i="4"/>
  <c r="BL295" i="4"/>
  <c r="BK585" i="4"/>
  <c r="BL585" i="4"/>
  <c r="BK616" i="4"/>
  <c r="BL616" i="4"/>
  <c r="BL268" i="4"/>
  <c r="BK268" i="4"/>
  <c r="BK397" i="4"/>
  <c r="BK306" i="4"/>
  <c r="BL306" i="4"/>
  <c r="BK383" i="4"/>
  <c r="BL383" i="4"/>
  <c r="BL569" i="4"/>
  <c r="BK538" i="4"/>
  <c r="BL538" i="4"/>
  <c r="BL221" i="4"/>
  <c r="BK221" i="4"/>
  <c r="BL543" i="4"/>
  <c r="BK543" i="4"/>
  <c r="BK323" i="4"/>
  <c r="BL238" i="4"/>
  <c r="BC598" i="4"/>
  <c r="BH598" i="4"/>
  <c r="BH142" i="4"/>
  <c r="BC142" i="4"/>
  <c r="AY186" i="4"/>
  <c r="BA186" i="4"/>
  <c r="BQ186" i="4"/>
  <c r="BC411" i="4"/>
  <c r="BD411" i="4"/>
  <c r="BE411" i="4"/>
  <c r="BH411" i="4"/>
  <c r="BI198" i="4"/>
  <c r="BJ198" i="4"/>
  <c r="AY455" i="4"/>
  <c r="BA455" i="4"/>
  <c r="BQ455" i="4"/>
  <c r="BD350" i="4"/>
  <c r="BE350" i="4"/>
  <c r="BI350" i="4"/>
  <c r="BJ350" i="4"/>
  <c r="BH423" i="4"/>
  <c r="BC423" i="4"/>
  <c r="BC583" i="4"/>
  <c r="BD583" i="4"/>
  <c r="BE583" i="4"/>
  <c r="BH583" i="4"/>
  <c r="BH424" i="4"/>
  <c r="BC424" i="4"/>
  <c r="BD424" i="4"/>
  <c r="BE424" i="4"/>
  <c r="BI571" i="4"/>
  <c r="BJ571" i="4"/>
  <c r="BC536" i="4"/>
  <c r="BH536" i="4"/>
  <c r="BC478" i="4"/>
  <c r="BD478" i="4"/>
  <c r="BE478" i="4"/>
  <c r="BH478" i="4"/>
  <c r="BH172" i="4"/>
  <c r="BC172" i="4"/>
  <c r="AY274" i="4"/>
  <c r="BA274" i="4"/>
  <c r="BQ274" i="4"/>
  <c r="BC612" i="4"/>
  <c r="BD612" i="4"/>
  <c r="BE612" i="4"/>
  <c r="BH612" i="4"/>
  <c r="BH384" i="4"/>
  <c r="BC384" i="4"/>
  <c r="BD384" i="4"/>
  <c r="BE384" i="4"/>
  <c r="BH436" i="4"/>
  <c r="BC436" i="4"/>
  <c r="BD436" i="4"/>
  <c r="BE436" i="4"/>
  <c r="BD243" i="4"/>
  <c r="BE243" i="4"/>
  <c r="BI243" i="4"/>
  <c r="BJ243" i="4"/>
  <c r="BH332" i="4"/>
  <c r="BC332" i="4"/>
  <c r="BD606" i="4"/>
  <c r="BE606" i="4"/>
  <c r="BI606" i="4"/>
  <c r="BJ606" i="4"/>
  <c r="AY425" i="4"/>
  <c r="BA425" i="4"/>
  <c r="BQ425" i="4"/>
  <c r="BH391" i="4"/>
  <c r="BC391" i="4"/>
  <c r="BD391" i="4"/>
  <c r="BE391" i="4"/>
  <c r="BC542" i="4"/>
  <c r="BD542" i="4"/>
  <c r="BE542" i="4"/>
  <c r="BH542" i="4"/>
  <c r="BM608" i="4"/>
  <c r="BN608" i="4"/>
  <c r="BC269" i="4"/>
  <c r="BD269" i="4"/>
  <c r="BE269" i="4"/>
  <c r="BH269" i="4"/>
  <c r="BH492" i="4"/>
  <c r="BC492" i="4"/>
  <c r="BA316" i="4"/>
  <c r="BQ316" i="4"/>
  <c r="AY316" i="4"/>
  <c r="BH405" i="4"/>
  <c r="BC405" i="4"/>
  <c r="BD405" i="4"/>
  <c r="BE405" i="4"/>
  <c r="BD570" i="4"/>
  <c r="BE570" i="4"/>
  <c r="BI570" i="4"/>
  <c r="BJ570" i="4"/>
  <c r="BD466" i="4"/>
  <c r="BE466" i="4"/>
  <c r="BI466" i="4"/>
  <c r="BJ466" i="4"/>
  <c r="BI437" i="4"/>
  <c r="BJ437" i="4"/>
  <c r="BD541" i="4"/>
  <c r="BE541" i="4"/>
  <c r="BI541" i="4"/>
  <c r="BJ541" i="4"/>
  <c r="BC305" i="4"/>
  <c r="BD305" i="4"/>
  <c r="BE305" i="4"/>
  <c r="BH305" i="4"/>
  <c r="BM632" i="4"/>
  <c r="BN632" i="4"/>
  <c r="BH211" i="4"/>
  <c r="BC211" i="4"/>
  <c r="BD211" i="4"/>
  <c r="BE211" i="4"/>
  <c r="BD361" i="4"/>
  <c r="BE361" i="4"/>
  <c r="BI361" i="4"/>
  <c r="BJ361" i="4"/>
  <c r="BA407" i="4"/>
  <c r="BQ407" i="4"/>
  <c r="AY407" i="4"/>
  <c r="BC312" i="4"/>
  <c r="BD312" i="4"/>
  <c r="BE312" i="4"/>
  <c r="BH312" i="4"/>
  <c r="BH572" i="4"/>
  <c r="BC572" i="4"/>
  <c r="BD130" i="4"/>
  <c r="BE130" i="4"/>
  <c r="BI130" i="4"/>
  <c r="BJ130" i="4"/>
  <c r="BD660" i="4"/>
  <c r="BE660" i="4"/>
  <c r="BI660" i="4"/>
  <c r="BJ660" i="4"/>
  <c r="BD416" i="4"/>
  <c r="BE416" i="4"/>
  <c r="BI416" i="4"/>
  <c r="BJ416" i="4"/>
  <c r="BM610" i="4"/>
  <c r="BN610" i="4"/>
  <c r="BI415" i="4"/>
  <c r="BJ415" i="4"/>
  <c r="BH488" i="4"/>
  <c r="BC488" i="4"/>
  <c r="BH201" i="4"/>
  <c r="BC201" i="4"/>
  <c r="BH366" i="4"/>
  <c r="BC366" i="4"/>
  <c r="BC527" i="4"/>
  <c r="BH527" i="4"/>
  <c r="AY237" i="4"/>
  <c r="BA237" i="4"/>
  <c r="BQ237" i="4"/>
  <c r="BI132" i="4"/>
  <c r="BJ132" i="4"/>
  <c r="BC299" i="4"/>
  <c r="BH299" i="4"/>
  <c r="BC410" i="4"/>
  <c r="BD410" i="4"/>
  <c r="BE410" i="4"/>
  <c r="BH410" i="4"/>
  <c r="BM564" i="4"/>
  <c r="BN564" i="4"/>
  <c r="BA574" i="4"/>
  <c r="BQ574" i="4"/>
  <c r="AY574" i="4"/>
  <c r="BH296" i="4"/>
  <c r="BC296" i="4"/>
  <c r="AY288" i="4"/>
  <c r="BA288" i="4"/>
  <c r="BQ288" i="4"/>
  <c r="BC486" i="4"/>
  <c r="BD486" i="4"/>
  <c r="BE486" i="4"/>
  <c r="BH486" i="4"/>
  <c r="BM252" i="4"/>
  <c r="BN252" i="4"/>
  <c r="BM655" i="4"/>
  <c r="BN655" i="4"/>
  <c r="BH550" i="4"/>
  <c r="BC550" i="4"/>
  <c r="BH281" i="4"/>
  <c r="BC281" i="4"/>
  <c r="BH212" i="4"/>
  <c r="BC212" i="4"/>
  <c r="BD212" i="4"/>
  <c r="BE212" i="4"/>
  <c r="BM352" i="4"/>
  <c r="BN352" i="4"/>
  <c r="BM176" i="4"/>
  <c r="BN176" i="4"/>
  <c r="AY363" i="4"/>
  <c r="BA363" i="4"/>
  <c r="BQ363" i="4"/>
  <c r="AY248" i="4"/>
  <c r="BA248" i="4"/>
  <c r="BQ248" i="4"/>
  <c r="BI382" i="4"/>
  <c r="BJ382" i="4"/>
  <c r="BD181" i="4"/>
  <c r="BE181" i="4"/>
  <c r="BI181" i="4"/>
  <c r="BJ181" i="4"/>
  <c r="BH420" i="4"/>
  <c r="BC420" i="4"/>
  <c r="BD443" i="4"/>
  <c r="BE443" i="4"/>
  <c r="BI443" i="4"/>
  <c r="BJ443" i="4"/>
  <c r="AY642" i="4"/>
  <c r="BA642" i="4"/>
  <c r="BQ642" i="4"/>
  <c r="BC626" i="4"/>
  <c r="BD626" i="4"/>
  <c r="BE626" i="4"/>
  <c r="BH626" i="4"/>
  <c r="AY578" i="4"/>
  <c r="BA578" i="4"/>
  <c r="BQ578" i="4"/>
  <c r="BC378" i="4"/>
  <c r="BH378" i="4"/>
  <c r="BH271" i="4"/>
  <c r="BC271" i="4"/>
  <c r="BD271" i="4"/>
  <c r="BE271" i="4"/>
  <c r="BC610" i="4"/>
  <c r="BH610" i="4"/>
  <c r="BC565" i="4"/>
  <c r="BD565" i="4"/>
  <c r="BE565" i="4"/>
  <c r="BH565" i="4"/>
  <c r="AY565" i="4"/>
  <c r="BA565" i="4"/>
  <c r="BQ565" i="4"/>
  <c r="BH242" i="4"/>
  <c r="BC242" i="4"/>
  <c r="AY292" i="4"/>
  <c r="BA292" i="4"/>
  <c r="BQ292" i="4"/>
  <c r="BA284" i="4"/>
  <c r="BQ284" i="4"/>
  <c r="AY284" i="4"/>
  <c r="BD595" i="4"/>
  <c r="BE595" i="4"/>
  <c r="BI595" i="4"/>
  <c r="BJ595" i="4"/>
  <c r="AY399" i="4"/>
  <c r="BA399" i="4"/>
  <c r="BQ399" i="4"/>
  <c r="BC241" i="4"/>
  <c r="BH241" i="4"/>
  <c r="BD426" i="4"/>
  <c r="BE426" i="4"/>
  <c r="BI426" i="4"/>
  <c r="BJ426" i="4"/>
  <c r="BC462" i="4"/>
  <c r="BH462" i="4"/>
  <c r="BH544" i="4"/>
  <c r="BC544" i="4"/>
  <c r="BD544" i="4"/>
  <c r="BE544" i="4"/>
  <c r="BC614" i="4"/>
  <c r="BH614" i="4"/>
  <c r="BD521" i="4"/>
  <c r="BE521" i="4"/>
  <c r="BI521" i="4"/>
  <c r="BJ521" i="4"/>
  <c r="BM284" i="4"/>
  <c r="BN284" i="4"/>
  <c r="BM629" i="4"/>
  <c r="BN629" i="4"/>
  <c r="BC393" i="4"/>
  <c r="BD393" i="4"/>
  <c r="BE393" i="4"/>
  <c r="BH393" i="4"/>
  <c r="AY139" i="4"/>
  <c r="BA139" i="4"/>
  <c r="BQ139" i="4"/>
  <c r="BH627" i="4"/>
  <c r="BC627" i="4"/>
  <c r="AY150" i="4"/>
  <c r="BA150" i="4"/>
  <c r="BQ150" i="4"/>
  <c r="BH232" i="4"/>
  <c r="BC232" i="4"/>
  <c r="BD232" i="4"/>
  <c r="BE232" i="4"/>
  <c r="BI530" i="4"/>
  <c r="BJ530" i="4"/>
  <c r="BH639" i="4"/>
  <c r="BC639" i="4"/>
  <c r="BD639" i="4"/>
  <c r="BE639" i="4"/>
  <c r="BI267" i="4"/>
  <c r="BJ267" i="4"/>
  <c r="BI631" i="4"/>
  <c r="BJ631" i="4"/>
  <c r="BH655" i="4"/>
  <c r="BC655" i="4"/>
  <c r="BC440" i="4"/>
  <c r="BH440" i="4"/>
  <c r="BH422" i="4"/>
  <c r="BC422" i="4"/>
  <c r="BD422" i="4"/>
  <c r="BE422" i="4"/>
  <c r="BC286" i="4"/>
  <c r="BH286" i="4"/>
  <c r="AY136" i="4"/>
  <c r="BA136" i="4"/>
  <c r="BQ136" i="4"/>
  <c r="BI279" i="4"/>
  <c r="BJ279" i="4"/>
  <c r="BI433" i="4"/>
  <c r="BJ433" i="4"/>
  <c r="BC401" i="4"/>
  <c r="BD401" i="4"/>
  <c r="BE401" i="4"/>
  <c r="BH401" i="4"/>
  <c r="BD515" i="4"/>
  <c r="BE515" i="4"/>
  <c r="BI515" i="4"/>
  <c r="BJ515" i="4"/>
  <c r="BD151" i="4"/>
  <c r="BE151" i="4"/>
  <c r="BI151" i="4"/>
  <c r="BJ151" i="4"/>
  <c r="BC403" i="4"/>
  <c r="BD403" i="4"/>
  <c r="BE403" i="4"/>
  <c r="BH403" i="4"/>
  <c r="BH194" i="4"/>
  <c r="BC194" i="4"/>
  <c r="BD194" i="4"/>
  <c r="BE194" i="4"/>
  <c r="AY632" i="4"/>
  <c r="BA632" i="4"/>
  <c r="BQ632" i="4"/>
  <c r="BH477" i="4"/>
  <c r="BC477" i="4"/>
  <c r="BI134" i="4"/>
  <c r="BJ134" i="4"/>
  <c r="BC340" i="4"/>
  <c r="BH340" i="4"/>
  <c r="AY492" i="4"/>
  <c r="BA492" i="4"/>
  <c r="BQ492" i="4"/>
  <c r="BC204" i="4"/>
  <c r="BH204" i="4"/>
  <c r="BI463" i="4"/>
  <c r="BJ463" i="4"/>
  <c r="BM446" i="4"/>
  <c r="BN446" i="4"/>
  <c r="BD618" i="4"/>
  <c r="BE618" i="4"/>
  <c r="BI618" i="4"/>
  <c r="BJ618" i="4"/>
  <c r="AY330" i="4"/>
  <c r="BA330" i="4"/>
  <c r="BQ330" i="4"/>
  <c r="AY612" i="4"/>
  <c r="BA612" i="4"/>
  <c r="BQ612" i="4"/>
  <c r="BH404" i="4"/>
  <c r="BC404" i="4"/>
  <c r="BD404" i="4"/>
  <c r="BE404" i="4"/>
  <c r="BD200" i="4"/>
  <c r="BE200" i="4"/>
  <c r="BI200" i="4"/>
  <c r="BJ200" i="4"/>
  <c r="BI514" i="4"/>
  <c r="BJ514" i="4"/>
  <c r="AY504" i="4"/>
  <c r="BA504" i="4"/>
  <c r="BQ504" i="4"/>
  <c r="BC597" i="4"/>
  <c r="BH597" i="4"/>
  <c r="BD458" i="4"/>
  <c r="BE458" i="4"/>
  <c r="BI458" i="4"/>
  <c r="BJ458" i="4"/>
  <c r="BC412" i="4"/>
  <c r="BD412" i="4"/>
  <c r="BE412" i="4"/>
  <c r="BH412" i="4"/>
  <c r="AY478" i="4"/>
  <c r="BA478" i="4"/>
  <c r="BQ478" i="4"/>
  <c r="AY422" i="4"/>
  <c r="BA422" i="4"/>
  <c r="BQ422" i="4"/>
  <c r="BH641" i="4"/>
  <c r="BC641" i="4"/>
  <c r="BD641" i="4"/>
  <c r="BE641" i="4"/>
  <c r="BH559" i="4"/>
  <c r="BC559" i="4"/>
  <c r="AY424" i="4"/>
  <c r="BA424" i="4"/>
  <c r="BQ424" i="4"/>
  <c r="BI362" i="4"/>
  <c r="BJ362" i="4"/>
  <c r="AY428" i="4"/>
  <c r="BA428" i="4"/>
  <c r="BQ428" i="4"/>
  <c r="BC454" i="4"/>
  <c r="BD454" i="4"/>
  <c r="BE454" i="4"/>
  <c r="BH454" i="4"/>
  <c r="BI319" i="4"/>
  <c r="BJ319" i="4"/>
  <c r="BL153" i="4"/>
  <c r="BK153" i="4"/>
  <c r="AY655" i="4"/>
  <c r="BA655" i="4"/>
  <c r="BQ655" i="4"/>
  <c r="BD285" i="4"/>
  <c r="BE285" i="4"/>
  <c r="BI285" i="4"/>
  <c r="BJ285" i="4"/>
  <c r="BM274" i="4"/>
  <c r="BN274" i="4"/>
  <c r="BI313" i="4"/>
  <c r="BJ313" i="4"/>
  <c r="BM391" i="4"/>
  <c r="BN391" i="4"/>
  <c r="BI342" i="4"/>
  <c r="BJ342" i="4"/>
  <c r="BD402" i="4"/>
  <c r="BE402" i="4"/>
  <c r="BI402" i="4"/>
  <c r="BJ402" i="4"/>
  <c r="BC540" i="4"/>
  <c r="BD540" i="4"/>
  <c r="BE540" i="4"/>
  <c r="BH540" i="4"/>
  <c r="BI387" i="4"/>
  <c r="BJ387" i="4"/>
  <c r="BD379" i="4"/>
  <c r="BE379" i="4"/>
  <c r="BI379" i="4"/>
  <c r="BJ379" i="4"/>
  <c r="AY499" i="4"/>
  <c r="BA499" i="4"/>
  <c r="BQ499" i="4"/>
  <c r="BH552" i="4"/>
  <c r="BC552" i="4"/>
  <c r="BD552" i="4"/>
  <c r="BE552" i="4"/>
  <c r="BH186" i="4"/>
  <c r="BC186" i="4"/>
  <c r="BD186" i="4"/>
  <c r="BE186" i="4"/>
  <c r="BH590" i="4"/>
  <c r="BC590" i="4"/>
  <c r="AY558" i="4"/>
  <c r="BA558" i="4"/>
  <c r="BQ558" i="4"/>
  <c r="BM578" i="4"/>
  <c r="BN578" i="4"/>
  <c r="BI320" i="4"/>
  <c r="BJ320" i="4"/>
  <c r="BD227" i="4"/>
  <c r="BE227" i="4"/>
  <c r="BI227" i="4"/>
  <c r="BJ227" i="4"/>
  <c r="AY446" i="4"/>
  <c r="BA446" i="4"/>
  <c r="BQ446" i="4"/>
  <c r="BI358" i="4"/>
  <c r="BJ358" i="4"/>
  <c r="BD414" i="4"/>
  <c r="BE414" i="4"/>
  <c r="BI414" i="4"/>
  <c r="BJ414" i="4"/>
  <c r="BC176" i="4"/>
  <c r="BH176" i="4"/>
  <c r="BC452" i="4"/>
  <c r="BH452" i="4"/>
  <c r="BK184" i="4"/>
  <c r="BL184" i="4"/>
  <c r="BH375" i="4"/>
  <c r="BC375" i="4"/>
  <c r="BD375" i="4"/>
  <c r="BE375" i="4"/>
  <c r="BK533" i="4"/>
  <c r="BL533" i="4"/>
  <c r="BC341" i="4"/>
  <c r="BH341" i="4"/>
  <c r="BC315" i="4"/>
  <c r="BH315" i="4"/>
  <c r="BC284" i="4"/>
  <c r="BD284" i="4"/>
  <c r="BE284" i="4"/>
  <c r="BH284" i="4"/>
  <c r="BC629" i="4"/>
  <c r="BH629" i="4"/>
  <c r="BH231" i="4"/>
  <c r="BC231" i="4"/>
  <c r="BM472" i="4"/>
  <c r="BN472" i="4"/>
  <c r="BA629" i="4"/>
  <c r="BQ629" i="4"/>
  <c r="AY629" i="4"/>
  <c r="BI418" i="4"/>
  <c r="BJ418" i="4"/>
  <c r="BH228" i="4"/>
  <c r="BC228" i="4"/>
  <c r="BD228" i="4"/>
  <c r="BE228" i="4"/>
  <c r="BH252" i="4"/>
  <c r="BC252" i="4"/>
  <c r="BD252" i="4"/>
  <c r="BE252" i="4"/>
  <c r="AY477" i="4"/>
  <c r="BA477" i="4"/>
  <c r="BQ477" i="4"/>
  <c r="BA171" i="4"/>
  <c r="BQ171" i="4"/>
  <c r="AY171" i="4"/>
  <c r="BH647" i="4"/>
  <c r="BC647" i="4"/>
  <c r="BD647" i="4"/>
  <c r="BE647" i="4"/>
  <c r="BD137" i="4"/>
  <c r="BE137" i="4"/>
  <c r="BI137" i="4"/>
  <c r="BJ137" i="4"/>
  <c r="BD326" i="4"/>
  <c r="BE326" i="4"/>
  <c r="BI326" i="4"/>
  <c r="BJ326" i="4"/>
  <c r="BD152" i="4"/>
  <c r="BE152" i="4"/>
  <c r="BI152" i="4"/>
  <c r="BJ152" i="4"/>
  <c r="BH490" i="4"/>
  <c r="BC490" i="4"/>
  <c r="BD490" i="4"/>
  <c r="BE490" i="4"/>
  <c r="BH240" i="4"/>
  <c r="BC240" i="4"/>
  <c r="BD240" i="4"/>
  <c r="BE240" i="4"/>
  <c r="BH352" i="4"/>
  <c r="BC352" i="4"/>
  <c r="BA546" i="4"/>
  <c r="BQ546" i="4"/>
  <c r="AY546" i="4"/>
  <c r="BI339" i="4"/>
  <c r="BJ339" i="4"/>
  <c r="BH216" i="4"/>
  <c r="BC216" i="4"/>
  <c r="BD216" i="4"/>
  <c r="BE216" i="4"/>
  <c r="BK140" i="4"/>
  <c r="BL140" i="4"/>
  <c r="BM204" i="4"/>
  <c r="BN204" i="4"/>
  <c r="BC589" i="4"/>
  <c r="BD589" i="4"/>
  <c r="BE589" i="4"/>
  <c r="BH589" i="4"/>
  <c r="BM482" i="4"/>
  <c r="BN482" i="4"/>
  <c r="BC656" i="4"/>
  <c r="BD656" i="4"/>
  <c r="BE656" i="4"/>
  <c r="BH656" i="4"/>
  <c r="BH446" i="4"/>
  <c r="BC446" i="4"/>
  <c r="BD446" i="4"/>
  <c r="BE446" i="4"/>
  <c r="BH150" i="4"/>
  <c r="BC150" i="4"/>
  <c r="BD150" i="4"/>
  <c r="BE150" i="4"/>
  <c r="BM427" i="4"/>
  <c r="BN427" i="4"/>
  <c r="AY610" i="4"/>
  <c r="BA610" i="4"/>
  <c r="BQ610" i="4"/>
  <c r="BD537" i="4"/>
  <c r="BE537" i="4"/>
  <c r="BI537" i="4"/>
  <c r="BJ537" i="4"/>
  <c r="BC580" i="4"/>
  <c r="BD580" i="4"/>
  <c r="BE580" i="4"/>
  <c r="BH580" i="4"/>
  <c r="BC207" i="4"/>
  <c r="BH207" i="4"/>
  <c r="BC630" i="4"/>
  <c r="BD630" i="4"/>
  <c r="BE630" i="4"/>
  <c r="BH630" i="4"/>
  <c r="BI562" i="4"/>
  <c r="BJ562" i="4"/>
  <c r="BH199" i="4"/>
  <c r="BC199" i="4"/>
  <c r="BD199" i="4"/>
  <c r="BE199" i="4"/>
  <c r="BH613" i="4"/>
  <c r="BC613" i="4"/>
  <c r="BD613" i="4"/>
  <c r="BE613" i="4"/>
  <c r="BC495" i="4"/>
  <c r="BH495" i="4"/>
  <c r="BM639" i="4"/>
  <c r="BN639" i="4"/>
  <c r="AY564" i="4"/>
  <c r="BA564" i="4"/>
  <c r="BQ564" i="4"/>
  <c r="BL133" i="4"/>
  <c r="BK133" i="4"/>
  <c r="BC206" i="4"/>
  <c r="BD206" i="4"/>
  <c r="BE206" i="4"/>
  <c r="BH206" i="4"/>
  <c r="BH259" i="4"/>
  <c r="BC259" i="4"/>
  <c r="BC549" i="4"/>
  <c r="BH549" i="4"/>
  <c r="BC650" i="4"/>
  <c r="BH650" i="4"/>
  <c r="BH451" i="4"/>
  <c r="BC451" i="4"/>
  <c r="BH292" i="4"/>
  <c r="BC292" i="4"/>
  <c r="BD292" i="4"/>
  <c r="BE292" i="4"/>
  <c r="BI182" i="4"/>
  <c r="BJ182" i="4"/>
  <c r="BC274" i="4"/>
  <c r="BD274" i="4"/>
  <c r="BE274" i="4"/>
  <c r="BH274" i="4"/>
  <c r="BH395" i="4"/>
  <c r="BC395" i="4"/>
  <c r="BK245" i="4"/>
  <c r="BL245" i="4"/>
  <c r="BI145" i="4"/>
  <c r="BJ145" i="4"/>
  <c r="BC288" i="4"/>
  <c r="BH288" i="4"/>
  <c r="BD254" i="4"/>
  <c r="BE254" i="4"/>
  <c r="BI254" i="4"/>
  <c r="BJ254" i="4"/>
  <c r="BM499" i="4"/>
  <c r="BN499" i="4"/>
  <c r="BI374" i="4"/>
  <c r="BJ374" i="4"/>
  <c r="BD256" i="4"/>
  <c r="BE256" i="4"/>
  <c r="BI256" i="4"/>
  <c r="BJ256" i="4"/>
  <c r="BH174" i="4"/>
  <c r="BC174" i="4"/>
  <c r="BM558" i="4"/>
  <c r="BN558" i="4"/>
  <c r="BI300" i="4"/>
  <c r="BJ300" i="4"/>
  <c r="BK214" i="4"/>
  <c r="BL214" i="4"/>
  <c r="BC483" i="4"/>
  <c r="BD483" i="4"/>
  <c r="BE483" i="4"/>
  <c r="BH483" i="4"/>
  <c r="BD388" i="4"/>
  <c r="BE388" i="4"/>
  <c r="BI388" i="4"/>
  <c r="BJ388" i="4"/>
  <c r="BK336" i="4"/>
  <c r="BL336" i="4"/>
  <c r="BC602" i="4"/>
  <c r="BH602" i="4"/>
  <c r="BC169" i="4"/>
  <c r="BH169" i="4"/>
  <c r="BC303" i="4"/>
  <c r="BH303" i="4"/>
  <c r="BD512" i="4"/>
  <c r="BE512" i="4"/>
  <c r="BI512" i="4"/>
  <c r="BJ512" i="4"/>
  <c r="BH503" i="4"/>
  <c r="BC503" i="4"/>
  <c r="AY155" i="4"/>
  <c r="BA155" i="4"/>
  <c r="BQ155" i="4"/>
  <c r="BH247" i="4"/>
  <c r="BC247" i="4"/>
  <c r="BD247" i="4"/>
  <c r="BE247" i="4"/>
  <c r="BC406" i="4"/>
  <c r="BD406" i="4"/>
  <c r="BE406" i="4"/>
  <c r="BH406" i="4"/>
  <c r="BH156" i="4"/>
  <c r="BC156" i="4"/>
  <c r="BD283" i="4"/>
  <c r="BE283" i="4"/>
  <c r="BC210" i="4"/>
  <c r="BD210" i="4"/>
  <c r="BE210" i="4"/>
  <c r="BH210" i="4"/>
  <c r="BC605" i="4"/>
  <c r="BD605" i="4"/>
  <c r="BE605" i="4"/>
  <c r="BH605" i="4"/>
  <c r="AY604" i="4"/>
  <c r="BA604" i="4"/>
  <c r="BQ604" i="4"/>
  <c r="BD127" i="4"/>
  <c r="BE127" i="4"/>
  <c r="BI127" i="4"/>
  <c r="BJ127" i="4"/>
  <c r="BH135" i="4"/>
  <c r="BC135" i="4"/>
  <c r="BD135" i="4"/>
  <c r="BE135" i="4"/>
  <c r="BC472" i="4"/>
  <c r="BH472" i="4"/>
  <c r="BC162" i="4"/>
  <c r="BH162" i="4"/>
  <c r="BC421" i="4"/>
  <c r="BH421" i="4"/>
  <c r="BH546" i="4"/>
  <c r="BC546" i="4"/>
  <c r="BD546" i="4"/>
  <c r="BE546" i="4"/>
  <c r="BD519" i="4"/>
  <c r="BE519" i="4"/>
  <c r="BI519" i="4"/>
  <c r="BJ519" i="4"/>
  <c r="BD638" i="4"/>
  <c r="BE638" i="4"/>
  <c r="BI638" i="4"/>
  <c r="BJ638" i="4"/>
  <c r="BC258" i="4"/>
  <c r="BH258" i="4"/>
  <c r="BK615" i="4"/>
  <c r="BL615" i="4"/>
  <c r="BM477" i="4"/>
  <c r="BN477" i="4"/>
  <c r="AY608" i="4"/>
  <c r="BA608" i="4"/>
  <c r="BQ608" i="4"/>
  <c r="BH633" i="4"/>
  <c r="BC633" i="4"/>
  <c r="BD633" i="4"/>
  <c r="BE633" i="4"/>
  <c r="BK277" i="4"/>
  <c r="BL277" i="4"/>
  <c r="BH584" i="4"/>
  <c r="BC584" i="4"/>
  <c r="BK517" i="4"/>
  <c r="BL517" i="4"/>
  <c r="BC373" i="4"/>
  <c r="BH373" i="4"/>
  <c r="BD498" i="4"/>
  <c r="BE498" i="4"/>
  <c r="BI498" i="4"/>
  <c r="BJ498" i="4"/>
  <c r="AY179" i="4"/>
  <c r="BA179" i="4"/>
  <c r="BQ179" i="4"/>
  <c r="BH136" i="4"/>
  <c r="BC136" i="4"/>
  <c r="BD136" i="4"/>
  <c r="BE136" i="4"/>
  <c r="BD170" i="4"/>
  <c r="BE170" i="4"/>
  <c r="BI170" i="4"/>
  <c r="BJ170" i="4"/>
  <c r="BH653" i="4"/>
  <c r="BC653" i="4"/>
  <c r="BH385" i="4"/>
  <c r="BC385" i="4"/>
  <c r="BC333" i="4"/>
  <c r="BH333" i="4"/>
  <c r="BC159" i="4"/>
  <c r="BD159" i="4"/>
  <c r="BE159" i="4"/>
  <c r="BH159" i="4"/>
  <c r="BI175" i="4"/>
  <c r="BJ175" i="4"/>
  <c r="BD520" i="4"/>
  <c r="BE520" i="4"/>
  <c r="BI520" i="4"/>
  <c r="BJ520" i="4"/>
  <c r="BM647" i="4"/>
  <c r="BN647" i="4"/>
  <c r="BD623" i="4"/>
  <c r="BE623" i="4"/>
  <c r="BI623" i="4"/>
  <c r="BJ623" i="4"/>
  <c r="BI167" i="4"/>
  <c r="BJ167" i="4"/>
  <c r="BM318" i="4"/>
  <c r="BN318" i="4"/>
  <c r="BH123" i="4"/>
  <c r="BC123" i="4"/>
  <c r="BD123" i="4"/>
  <c r="BE123" i="4"/>
  <c r="BI444" i="4"/>
  <c r="BJ444" i="4"/>
  <c r="BC553" i="4"/>
  <c r="BH553" i="4"/>
  <c r="BM641" i="4"/>
  <c r="BN641" i="4"/>
  <c r="BI649" i="4"/>
  <c r="BJ649" i="4"/>
  <c r="BH407" i="4"/>
  <c r="BC407" i="4"/>
  <c r="BD659" i="4"/>
  <c r="BE659" i="4"/>
  <c r="BI659" i="4"/>
  <c r="BJ659" i="4"/>
  <c r="BH607" i="4"/>
  <c r="BC607" i="4"/>
  <c r="BD607" i="4"/>
  <c r="BE607" i="4"/>
  <c r="BC513" i="4"/>
  <c r="BH513" i="4"/>
  <c r="BH334" i="4"/>
  <c r="BC334" i="4"/>
  <c r="AY391" i="4"/>
  <c r="BA391" i="4"/>
  <c r="BQ391" i="4"/>
  <c r="BH555" i="4"/>
  <c r="BC555" i="4"/>
  <c r="BM384" i="4"/>
  <c r="BN384" i="4"/>
  <c r="BH369" i="4"/>
  <c r="BC369" i="4"/>
  <c r="BM283" i="4"/>
  <c r="BN283" i="4"/>
  <c r="BH131" i="4"/>
  <c r="BC131" i="4"/>
  <c r="BK528" i="4"/>
  <c r="BL528" i="4"/>
  <c r="BH496" i="4"/>
  <c r="BC496" i="4"/>
  <c r="BD496" i="4"/>
  <c r="BE496" i="4"/>
  <c r="BH652" i="4"/>
  <c r="BC652" i="4"/>
  <c r="BH322" i="4"/>
  <c r="BC322" i="4"/>
  <c r="BD322" i="4"/>
  <c r="BE322" i="4"/>
  <c r="BD310" i="4"/>
  <c r="BE310" i="4"/>
  <c r="BI310" i="4"/>
  <c r="BJ310" i="4"/>
  <c r="BC307" i="4"/>
  <c r="BH307" i="4"/>
  <c r="BM183" i="4"/>
  <c r="BN183" i="4"/>
  <c r="BD260" i="4"/>
  <c r="BE260" i="4"/>
  <c r="BI260" i="4"/>
  <c r="BJ260" i="4"/>
  <c r="BI621" i="4"/>
  <c r="BJ621" i="4"/>
  <c r="BH576" i="4"/>
  <c r="BC576" i="4"/>
  <c r="BD576" i="4"/>
  <c r="BE576" i="4"/>
  <c r="BC330" i="4"/>
  <c r="BH330" i="4"/>
  <c r="BD471" i="4"/>
  <c r="BE471" i="4"/>
  <c r="BI471" i="4"/>
  <c r="BJ471" i="4"/>
  <c r="BA190" i="4"/>
  <c r="BQ190" i="4"/>
  <c r="AY190" i="4"/>
  <c r="AY296" i="4"/>
  <c r="BA296" i="4"/>
  <c r="BQ296" i="4"/>
  <c r="BH394" i="4"/>
  <c r="BC394" i="4"/>
  <c r="BC506" i="4"/>
  <c r="BH506" i="4"/>
  <c r="BH368" i="4"/>
  <c r="BC368" i="4"/>
  <c r="BD368" i="4"/>
  <c r="BE368" i="4"/>
  <c r="BH224" i="4"/>
  <c r="BC224" i="4"/>
  <c r="BC516" i="4"/>
  <c r="BD516" i="4"/>
  <c r="BE516" i="4"/>
  <c r="BH516" i="4"/>
  <c r="AY271" i="4"/>
  <c r="BA271" i="4"/>
  <c r="BQ271" i="4"/>
  <c r="BC449" i="4"/>
  <c r="BD449" i="4"/>
  <c r="BE449" i="4"/>
  <c r="BH449" i="4"/>
  <c r="BA201" i="4"/>
  <c r="BQ201" i="4"/>
  <c r="AY201" i="4"/>
  <c r="BL215" i="4"/>
  <c r="BK215" i="4"/>
  <c r="BI309" i="4"/>
  <c r="BJ309" i="4"/>
  <c r="AY493" i="4"/>
  <c r="BA493" i="4"/>
  <c r="BQ493" i="4"/>
  <c r="AY485" i="4"/>
  <c r="BA485" i="4"/>
  <c r="BQ485" i="4"/>
  <c r="BD377" i="4"/>
  <c r="BE377" i="4"/>
  <c r="BI377" i="4"/>
  <c r="BJ377" i="4"/>
  <c r="BC126" i="4"/>
  <c r="BD126" i="4"/>
  <c r="BE126" i="4"/>
  <c r="BH126" i="4"/>
  <c r="BH351" i="4"/>
  <c r="BC351" i="4"/>
  <c r="BC459" i="4"/>
  <c r="BH459" i="4"/>
  <c r="AY225" i="4"/>
  <c r="BA225" i="4"/>
  <c r="BQ225" i="4"/>
  <c r="BH386" i="4"/>
  <c r="BC386" i="4"/>
  <c r="BC157" i="4"/>
  <c r="BD157" i="4"/>
  <c r="BE157" i="4"/>
  <c r="BH157" i="4"/>
  <c r="BI507" i="4"/>
  <c r="BJ507" i="4"/>
  <c r="BH604" i="4"/>
  <c r="BC604" i="4"/>
  <c r="BD604" i="4"/>
  <c r="BE604" i="4"/>
  <c r="BM289" i="4"/>
  <c r="BN289" i="4"/>
  <c r="BH263" i="4"/>
  <c r="BC263" i="4"/>
  <c r="BD263" i="4"/>
  <c r="BE263" i="4"/>
  <c r="BH491" i="4"/>
  <c r="BC491" i="4"/>
  <c r="BC253" i="4"/>
  <c r="BH253" i="4"/>
  <c r="BC632" i="4"/>
  <c r="BH632" i="4"/>
  <c r="BC343" i="4"/>
  <c r="BD343" i="4"/>
  <c r="BE343" i="4"/>
  <c r="BH343" i="4"/>
  <c r="BH261" i="4"/>
  <c r="BC261" i="4"/>
  <c r="BD261" i="4"/>
  <c r="BE261" i="4"/>
  <c r="BD264" i="4"/>
  <c r="BE264" i="4"/>
  <c r="BI264" i="4"/>
  <c r="BJ264" i="4"/>
  <c r="BH321" i="4"/>
  <c r="BC321" i="4"/>
  <c r="BD321" i="4"/>
  <c r="BE321" i="4"/>
  <c r="BM216" i="4"/>
  <c r="BN216" i="4"/>
  <c r="BI465" i="4"/>
  <c r="BJ465" i="4"/>
  <c r="BC316" i="4"/>
  <c r="BD316" i="4"/>
  <c r="BE316" i="4"/>
  <c r="BH316" i="4"/>
  <c r="BD591" i="4"/>
  <c r="BE591" i="4"/>
  <c r="BI591" i="4"/>
  <c r="BJ591" i="4"/>
  <c r="AY482" i="4"/>
  <c r="BA482" i="4"/>
  <c r="BQ482" i="4"/>
  <c r="BC138" i="4"/>
  <c r="BD138" i="4"/>
  <c r="BE138" i="4"/>
  <c r="BH138" i="4"/>
  <c r="BC455" i="4"/>
  <c r="BH455" i="4"/>
  <c r="BH390" i="4"/>
  <c r="BC390" i="4"/>
  <c r="BI429" i="4"/>
  <c r="BJ429" i="4"/>
  <c r="BI196" i="4"/>
  <c r="BJ196" i="4"/>
  <c r="BM247" i="4"/>
  <c r="BN247" i="4"/>
  <c r="BA647" i="4"/>
  <c r="BQ647" i="4"/>
  <c r="AY647" i="4"/>
  <c r="AY427" i="4"/>
  <c r="BA427" i="4"/>
  <c r="BQ427" i="4"/>
  <c r="BD147" i="4"/>
  <c r="BE147" i="4"/>
  <c r="BI147" i="4"/>
  <c r="BJ147" i="4"/>
  <c r="BC166" i="4"/>
  <c r="BH166" i="4"/>
  <c r="BC476" i="4"/>
  <c r="BD476" i="4"/>
  <c r="BE476" i="4"/>
  <c r="BH476" i="4"/>
  <c r="BM156" i="4"/>
  <c r="BN156" i="4"/>
  <c r="BH432" i="4"/>
  <c r="BC432" i="4"/>
  <c r="BI291" i="4"/>
  <c r="BJ291" i="4"/>
  <c r="BH318" i="4"/>
  <c r="BC318" i="4"/>
  <c r="BI163" i="4"/>
  <c r="BJ163" i="4"/>
  <c r="BM485" i="4"/>
  <c r="BN485" i="4"/>
  <c r="BI177" i="4"/>
  <c r="BJ177" i="4"/>
  <c r="AY503" i="4"/>
  <c r="BA503" i="4"/>
  <c r="BQ503" i="4"/>
  <c r="BA639" i="4"/>
  <c r="BQ639" i="4"/>
  <c r="AY639" i="4"/>
  <c r="BI185" i="4"/>
  <c r="BJ185" i="4"/>
  <c r="BH445" i="4"/>
  <c r="BC445" i="4"/>
  <c r="BD128" i="4"/>
  <c r="BE128" i="4"/>
  <c r="BI128" i="4"/>
  <c r="BJ128" i="4"/>
  <c r="BC434" i="4"/>
  <c r="BH434" i="4"/>
  <c r="BH357" i="4"/>
  <c r="BC357" i="4"/>
  <c r="BC376" i="4"/>
  <c r="BH376" i="4"/>
  <c r="BC360" i="4"/>
  <c r="BH360" i="4"/>
  <c r="BM224" i="4"/>
  <c r="BN224" i="4"/>
  <c r="BC561" i="4"/>
  <c r="BH561" i="4"/>
  <c r="AY384" i="4"/>
  <c r="BA384" i="4"/>
  <c r="BQ384" i="4"/>
  <c r="BH225" i="4"/>
  <c r="BC225" i="4"/>
  <c r="BD225" i="4"/>
  <c r="BE225" i="4"/>
  <c r="BH146" i="4"/>
  <c r="BC146" i="4"/>
  <c r="AY432" i="4"/>
  <c r="BA432" i="4"/>
  <c r="BQ432" i="4"/>
  <c r="AY283" i="4"/>
  <c r="BA283" i="4"/>
  <c r="BQ283" i="4"/>
  <c r="BC425" i="4"/>
  <c r="BD425" i="4"/>
  <c r="BE425" i="4"/>
  <c r="BH425" i="4"/>
  <c r="BD297" i="4"/>
  <c r="BE297" i="4"/>
  <c r="BI297" i="4"/>
  <c r="BJ297" i="4"/>
  <c r="BD474" i="4"/>
  <c r="BE474" i="4"/>
  <c r="BI474" i="4"/>
  <c r="BJ474" i="4"/>
  <c r="BH234" i="4"/>
  <c r="BC234" i="4"/>
  <c r="BH645" i="4"/>
  <c r="BC645" i="4"/>
  <c r="BA183" i="4"/>
  <c r="BQ183" i="4"/>
  <c r="AY183" i="4"/>
  <c r="BH248" i="4"/>
  <c r="BC248" i="4"/>
  <c r="AY386" i="4"/>
  <c r="BA386" i="4"/>
  <c r="BQ386" i="4"/>
  <c r="BL226" i="4"/>
  <c r="BK226" i="4"/>
  <c r="BA328" i="4"/>
  <c r="BQ328" i="4"/>
  <c r="AY328" i="4"/>
  <c r="BC502" i="4"/>
  <c r="BD502" i="4"/>
  <c r="BE502" i="4"/>
  <c r="BH502" i="4"/>
  <c r="BI481" i="4"/>
  <c r="BJ481" i="4"/>
  <c r="BH229" i="4"/>
  <c r="BC229" i="4"/>
  <c r="BD229" i="4"/>
  <c r="BE229" i="4"/>
  <c r="BD165" i="4"/>
  <c r="BE165" i="4"/>
  <c r="BI165" i="4"/>
  <c r="BJ165" i="4"/>
  <c r="BI293" i="4"/>
  <c r="BJ293" i="4"/>
  <c r="BD453" i="4"/>
  <c r="BE453" i="4"/>
  <c r="BI453" i="4"/>
  <c r="BJ453" i="4"/>
  <c r="BH314" i="4"/>
  <c r="BC314" i="4"/>
  <c r="AY657" i="4"/>
  <c r="BA657" i="4"/>
  <c r="BQ657" i="4"/>
  <c r="BL161" i="4"/>
  <c r="BK161" i="4"/>
  <c r="BC480" i="4"/>
  <c r="BD480" i="4"/>
  <c r="BE480" i="4"/>
  <c r="BH480" i="4"/>
  <c r="BH643" i="4"/>
  <c r="BC643" i="4"/>
  <c r="BD643" i="4"/>
  <c r="BE643" i="4"/>
  <c r="BC337" i="4"/>
  <c r="BD337" i="4"/>
  <c r="BE337" i="4"/>
  <c r="BH337" i="4"/>
  <c r="BH250" i="4"/>
  <c r="BC250" i="4"/>
  <c r="BD654" i="4"/>
  <c r="BE654" i="4"/>
  <c r="BI654" i="4"/>
  <c r="BJ654" i="4"/>
  <c r="BM139" i="4"/>
  <c r="BN139" i="4"/>
  <c r="BI510" i="4"/>
  <c r="BJ510" i="4"/>
  <c r="BI417" i="4"/>
  <c r="BJ417" i="4"/>
  <c r="BE484" i="4"/>
  <c r="BI484" i="4"/>
  <c r="BJ484" i="4"/>
  <c r="BD484" i="4"/>
  <c r="BC180" i="4"/>
  <c r="BD180" i="4"/>
  <c r="BE180" i="4"/>
  <c r="BH180" i="4"/>
  <c r="BI594" i="4"/>
  <c r="BJ594" i="4"/>
  <c r="BH244" i="4"/>
  <c r="BC244" i="4"/>
  <c r="BD244" i="4"/>
  <c r="BE244" i="4"/>
  <c r="BH620" i="4"/>
  <c r="BC620" i="4"/>
  <c r="BD620" i="4"/>
  <c r="BE620" i="4"/>
  <c r="BC364" i="4"/>
  <c r="BH364" i="4"/>
  <c r="BC338" i="4"/>
  <c r="BD338" i="4"/>
  <c r="BE338" i="4"/>
  <c r="BH338" i="4"/>
  <c r="AY489" i="4"/>
  <c r="BA489" i="4"/>
  <c r="BQ489" i="4"/>
  <c r="BD644" i="4"/>
  <c r="BE644" i="4"/>
  <c r="BI644" i="4"/>
  <c r="BJ644" i="4"/>
  <c r="BH183" i="4"/>
  <c r="BC183" i="4"/>
  <c r="BD183" i="4"/>
  <c r="BE183" i="4"/>
  <c r="BC345" i="4"/>
  <c r="BD345" i="4"/>
  <c r="BE345" i="4"/>
  <c r="BH345" i="4"/>
  <c r="BI324" i="4"/>
  <c r="BJ324" i="4"/>
  <c r="BI149" i="4"/>
  <c r="BJ149" i="4"/>
  <c r="BH482" i="4"/>
  <c r="BC482" i="4"/>
  <c r="BM438" i="4"/>
  <c r="BN438" i="4"/>
  <c r="BI347" i="4"/>
  <c r="BJ347" i="4"/>
  <c r="BC574" i="4"/>
  <c r="BD574" i="4"/>
  <c r="BE574" i="4"/>
  <c r="BH574" i="4"/>
  <c r="BM218" i="4"/>
  <c r="BN218" i="4"/>
  <c r="BD587" i="4"/>
  <c r="BE587" i="4"/>
  <c r="BI587" i="4"/>
  <c r="BJ587" i="4"/>
  <c r="AY322" i="4"/>
  <c r="BA322" i="4"/>
  <c r="BQ322" i="4"/>
  <c r="BH178" i="4"/>
  <c r="BC178" i="4"/>
  <c r="AY156" i="4"/>
  <c r="BA156" i="4"/>
  <c r="BQ156" i="4"/>
  <c r="BD648" i="4"/>
  <c r="BE648" i="4"/>
  <c r="BI648" i="4"/>
  <c r="BJ648" i="4"/>
  <c r="BA276" i="4"/>
  <c r="BQ276" i="4"/>
  <c r="AY276" i="4"/>
  <c r="BC658" i="4"/>
  <c r="BH658" i="4"/>
  <c r="BD534" i="4"/>
  <c r="BE534" i="4"/>
  <c r="BI534" i="4"/>
  <c r="BJ534" i="4"/>
  <c r="AY315" i="4"/>
  <c r="BA315" i="4"/>
  <c r="BQ315" i="4"/>
  <c r="BH485" i="4"/>
  <c r="BC485" i="4"/>
  <c r="BD485" i="4"/>
  <c r="BE485" i="4"/>
  <c r="BH143" i="4"/>
  <c r="BC143" i="4"/>
  <c r="BD143" i="4"/>
  <c r="BE143" i="4"/>
  <c r="BM219" i="4"/>
  <c r="BN219" i="4"/>
  <c r="BD302" i="4"/>
  <c r="BE302" i="4"/>
  <c r="BI302" i="4"/>
  <c r="BJ302" i="4"/>
  <c r="BD539" i="4"/>
  <c r="BE539" i="4"/>
  <c r="BI539" i="4"/>
  <c r="BJ539" i="4"/>
  <c r="BM329" i="4"/>
  <c r="BN329" i="4"/>
  <c r="AY332" i="4"/>
  <c r="BA332" i="4"/>
  <c r="BQ332" i="4"/>
  <c r="BH280" i="4"/>
  <c r="BC280" i="4"/>
  <c r="BD280" i="4"/>
  <c r="BE280" i="4"/>
  <c r="BM353" i="4"/>
  <c r="BN353" i="4"/>
  <c r="BH501" i="4"/>
  <c r="BC501" i="4"/>
  <c r="AY480" i="4"/>
  <c r="BA480" i="4"/>
  <c r="BQ480" i="4"/>
  <c r="BH205" i="4"/>
  <c r="BC205" i="4"/>
  <c r="BD205" i="4"/>
  <c r="BE205" i="4"/>
  <c r="BM432" i="4"/>
  <c r="BN432" i="4"/>
  <c r="BI344" i="4"/>
  <c r="BJ344" i="4"/>
  <c r="BH272" i="4"/>
  <c r="BC272" i="4"/>
  <c r="BD272" i="4"/>
  <c r="BE272" i="4"/>
  <c r="BH189" i="4"/>
  <c r="BC189" i="4"/>
  <c r="BD189" i="4"/>
  <c r="BE189" i="4"/>
  <c r="BD209" i="4"/>
  <c r="BE209" i="4"/>
  <c r="BI209" i="4"/>
  <c r="BJ209" i="4"/>
  <c r="BC251" i="4"/>
  <c r="BD251" i="4"/>
  <c r="BE251" i="4"/>
  <c r="BH251" i="4"/>
  <c r="BC190" i="4"/>
  <c r="BD190" i="4"/>
  <c r="BE190" i="4"/>
  <c r="BH190" i="4"/>
  <c r="BC155" i="4"/>
  <c r="BD155" i="4"/>
  <c r="BE155" i="4"/>
  <c r="BH155" i="4"/>
  <c r="BC246" i="4"/>
  <c r="BH246" i="4"/>
  <c r="BL173" i="4"/>
  <c r="BK173" i="4"/>
  <c r="BD479" i="4"/>
  <c r="BE479" i="4"/>
  <c r="BI479" i="4"/>
  <c r="BJ479" i="4"/>
  <c r="BH331" i="4"/>
  <c r="BC331" i="4"/>
  <c r="BC500" i="4"/>
  <c r="BH500" i="4"/>
  <c r="BC389" i="4"/>
  <c r="BD389" i="4"/>
  <c r="BE389" i="4"/>
  <c r="BH389" i="4"/>
  <c r="AY472" i="4"/>
  <c r="BA472" i="4"/>
  <c r="BQ472" i="4"/>
  <c r="AY366" i="4"/>
  <c r="BA366" i="4"/>
  <c r="BQ366" i="4"/>
  <c r="BH328" i="4"/>
  <c r="BC328" i="4"/>
  <c r="BD328" i="4"/>
  <c r="BE328" i="4"/>
  <c r="BC400" i="4"/>
  <c r="BD400" i="4"/>
  <c r="BE400" i="4"/>
  <c r="BH400" i="4"/>
  <c r="BH523" i="4"/>
  <c r="BC523" i="4"/>
  <c r="BC195" i="4"/>
  <c r="BH195" i="4"/>
  <c r="BC370" i="4"/>
  <c r="BD370" i="4"/>
  <c r="BE370" i="4"/>
  <c r="BH370" i="4"/>
  <c r="BI635" i="4"/>
  <c r="BJ635" i="4"/>
  <c r="BD398" i="4"/>
  <c r="BE398" i="4"/>
  <c r="BI398" i="4"/>
  <c r="BJ398" i="4"/>
  <c r="BK448" i="4"/>
  <c r="BL448" i="4"/>
  <c r="AY219" i="4"/>
  <c r="BA219" i="4"/>
  <c r="BQ219" i="4"/>
  <c r="BC139" i="4"/>
  <c r="BD139" i="4"/>
  <c r="BE139" i="4"/>
  <c r="BH139" i="4"/>
  <c r="BH428" i="4"/>
  <c r="BC428" i="4"/>
  <c r="AY321" i="4"/>
  <c r="BA321" i="4"/>
  <c r="BQ321" i="4"/>
  <c r="BH457" i="4"/>
  <c r="BC457" i="4"/>
  <c r="BD457" i="4"/>
  <c r="BE457" i="4"/>
  <c r="BH499" i="4"/>
  <c r="BC499" i="4"/>
  <c r="BH329" i="4"/>
  <c r="BC329" i="4"/>
  <c r="BD217" i="4"/>
  <c r="BE217" i="4"/>
  <c r="BI217" i="4"/>
  <c r="BJ217" i="4"/>
  <c r="BC558" i="4"/>
  <c r="BD558" i="4"/>
  <c r="BE558" i="4"/>
  <c r="BH558" i="4"/>
  <c r="BI235" i="4"/>
  <c r="BJ235" i="4"/>
  <c r="BI603" i="4"/>
  <c r="BJ603" i="4"/>
  <c r="BH427" i="4"/>
  <c r="BC427" i="4"/>
  <c r="BH396" i="4"/>
  <c r="BC396" i="4"/>
  <c r="BD396" i="4"/>
  <c r="BE396" i="4"/>
  <c r="BC287" i="4"/>
  <c r="BD287" i="4"/>
  <c r="BE287" i="4"/>
  <c r="BH287" i="4"/>
  <c r="BI529" i="4"/>
  <c r="BJ529" i="4"/>
  <c r="BC160" i="4"/>
  <c r="BD160" i="4"/>
  <c r="BE160" i="4"/>
  <c r="BH160" i="4"/>
  <c r="BH593" i="4"/>
  <c r="BC593" i="4"/>
  <c r="AY289" i="4"/>
  <c r="BA289" i="4"/>
  <c r="BQ289" i="4"/>
  <c r="BH532" i="4"/>
  <c r="BC532" i="4"/>
  <c r="BH438" i="4"/>
  <c r="BC438" i="4"/>
  <c r="BD438" i="4"/>
  <c r="BE438" i="4"/>
  <c r="BH545" i="4"/>
  <c r="BC545" i="4"/>
  <c r="BD556" i="4"/>
  <c r="BE556" i="4"/>
  <c r="BI556" i="4"/>
  <c r="BJ556" i="4"/>
  <c r="BC564" i="4"/>
  <c r="BD564" i="4"/>
  <c r="BE564" i="4"/>
  <c r="BH564" i="4"/>
  <c r="AY216" i="4"/>
  <c r="BA216" i="4"/>
  <c r="BQ216" i="4"/>
  <c r="BC218" i="4"/>
  <c r="BH218" i="4"/>
  <c r="BH493" i="4"/>
  <c r="BC493" i="4"/>
  <c r="BD380" i="4"/>
  <c r="BE380" i="4"/>
  <c r="BI380" i="4"/>
  <c r="BJ380" i="4"/>
  <c r="BC475" i="4"/>
  <c r="BH475" i="4"/>
  <c r="BA247" i="4"/>
  <c r="BQ247" i="4"/>
  <c r="AY247" i="4"/>
  <c r="BK148" i="4"/>
  <c r="BL148" i="4"/>
  <c r="BM171" i="4"/>
  <c r="BN171" i="4"/>
  <c r="BC399" i="4"/>
  <c r="BD399" i="4"/>
  <c r="BE399" i="4"/>
  <c r="BH399" i="4"/>
  <c r="BH359" i="4"/>
  <c r="BC359" i="4"/>
  <c r="BD359" i="4"/>
  <c r="BE359" i="4"/>
  <c r="BH219" i="4"/>
  <c r="BC219" i="4"/>
  <c r="BI349" i="4"/>
  <c r="BJ349" i="4"/>
  <c r="BM574" i="4"/>
  <c r="BN574" i="4"/>
  <c r="BH577" i="4"/>
  <c r="BC577" i="4"/>
  <c r="BD577" i="4"/>
  <c r="BE577" i="4"/>
  <c r="BH581" i="4"/>
  <c r="BC581" i="4"/>
  <c r="BD581" i="4"/>
  <c r="BE581" i="4"/>
  <c r="BM276" i="4"/>
  <c r="BN276" i="4"/>
  <c r="BH262" i="4"/>
  <c r="BC262" i="4"/>
  <c r="BD262" i="4"/>
  <c r="BE262" i="4"/>
  <c r="AY329" i="4"/>
  <c r="BA329" i="4"/>
  <c r="BQ329" i="4"/>
  <c r="BM504" i="4"/>
  <c r="BN504" i="4"/>
  <c r="BH255" i="4"/>
  <c r="BC255" i="4"/>
  <c r="BD255" i="4"/>
  <c r="BE255" i="4"/>
  <c r="BH651" i="4"/>
  <c r="BC651" i="4"/>
  <c r="BA353" i="4"/>
  <c r="BQ353" i="4"/>
  <c r="AY353" i="4"/>
  <c r="AY224" i="4"/>
  <c r="BA224" i="4"/>
  <c r="BQ224" i="4"/>
  <c r="BM480" i="4"/>
  <c r="BN480" i="4"/>
  <c r="AY352" i="4"/>
  <c r="BA352" i="4"/>
  <c r="BQ352" i="4"/>
  <c r="AY176" i="4"/>
  <c r="BA176" i="4"/>
  <c r="BQ176" i="4"/>
  <c r="BM363" i="4"/>
  <c r="BN363" i="4"/>
  <c r="BM642" i="4"/>
  <c r="BN642" i="4"/>
  <c r="BC460" i="4"/>
  <c r="BH460" i="4"/>
  <c r="BC179" i="4"/>
  <c r="BD179" i="4"/>
  <c r="BE179" i="4"/>
  <c r="BH179" i="4"/>
  <c r="BM489" i="4"/>
  <c r="BN489" i="4"/>
  <c r="BH497" i="4"/>
  <c r="BC497" i="4"/>
  <c r="AY205" i="4"/>
  <c r="BA205" i="4"/>
  <c r="BQ205" i="4"/>
  <c r="BD551" i="4"/>
  <c r="BE551" i="4"/>
  <c r="BI551" i="4"/>
  <c r="BJ551" i="4"/>
  <c r="AY401" i="4"/>
  <c r="BA401" i="4"/>
  <c r="BQ401" i="4"/>
  <c r="BH531" i="4"/>
  <c r="BC531" i="4"/>
  <c r="BH363" i="4"/>
  <c r="BC363" i="4"/>
  <c r="BD363" i="4"/>
  <c r="BE363" i="4"/>
  <c r="BD487" i="4"/>
  <c r="BE487" i="4"/>
  <c r="BI487" i="4"/>
  <c r="BJ487" i="4"/>
  <c r="BH289" i="4"/>
  <c r="BC289" i="4"/>
  <c r="BH522" i="4"/>
  <c r="BC522" i="4"/>
  <c r="BA438" i="4"/>
  <c r="BQ438" i="4"/>
  <c r="AY438" i="4"/>
  <c r="AY211" i="4"/>
  <c r="BA211" i="4"/>
  <c r="BQ211" i="4"/>
  <c r="AY454" i="4"/>
  <c r="BA454" i="4"/>
  <c r="BQ454" i="4"/>
  <c r="BC642" i="4"/>
  <c r="BD642" i="4"/>
  <c r="BE642" i="4"/>
  <c r="BH642" i="4"/>
  <c r="AY593" i="4"/>
  <c r="BA593" i="4"/>
  <c r="BQ593" i="4"/>
  <c r="AY204" i="4"/>
  <c r="BA204" i="4"/>
  <c r="BQ204" i="4"/>
  <c r="BD442" i="4"/>
  <c r="BE442" i="4"/>
  <c r="BI442" i="4"/>
  <c r="BJ442" i="4"/>
  <c r="BC461" i="4"/>
  <c r="BH461" i="4"/>
  <c r="BD223" i="4"/>
  <c r="BE223" i="4"/>
  <c r="BI223" i="4"/>
  <c r="BJ223" i="4"/>
  <c r="BH408" i="4"/>
  <c r="BC408" i="4"/>
  <c r="BD408" i="4"/>
  <c r="BE408" i="4"/>
  <c r="AY318" i="4"/>
  <c r="BA318" i="4"/>
  <c r="BQ318" i="4"/>
  <c r="BK637" i="4"/>
  <c r="BL637" i="4"/>
  <c r="AY451" i="4"/>
  <c r="BA451" i="4"/>
  <c r="BQ451" i="4"/>
  <c r="BH494" i="4"/>
  <c r="BC494" i="4"/>
  <c r="BD494" i="4"/>
  <c r="BE494" i="4"/>
  <c r="BC624" i="4"/>
  <c r="BD624" i="4"/>
  <c r="BE624" i="4"/>
  <c r="BH624" i="4"/>
  <c r="BH203" i="4"/>
  <c r="BC203" i="4"/>
  <c r="AY334" i="4"/>
  <c r="BA334" i="4"/>
  <c r="BQ334" i="4"/>
  <c r="AY403" i="4"/>
  <c r="BA403" i="4"/>
  <c r="BQ403" i="4"/>
  <c r="BI656" i="4"/>
  <c r="BJ656" i="4"/>
  <c r="BC608" i="4"/>
  <c r="BD608" i="4"/>
  <c r="BE608" i="4"/>
  <c r="BH608" i="4"/>
  <c r="BL579" i="4"/>
  <c r="BK579" i="4"/>
  <c r="BD237" i="4"/>
  <c r="BE237" i="4"/>
  <c r="AY218" i="4"/>
  <c r="BA218" i="4"/>
  <c r="BQ218" i="4"/>
  <c r="BD646" i="4"/>
  <c r="BE646" i="4"/>
  <c r="BI646" i="4"/>
  <c r="BJ646" i="4"/>
  <c r="BH294" i="4"/>
  <c r="BC294" i="4"/>
  <c r="BD294" i="4"/>
  <c r="BE294" i="4"/>
  <c r="BK619" i="4"/>
  <c r="BL619" i="4"/>
  <c r="BH657" i="4"/>
  <c r="BC657" i="4"/>
  <c r="BC431" i="4"/>
  <c r="BH431" i="4"/>
  <c r="BM612" i="4"/>
  <c r="BN612" i="4"/>
  <c r="BH573" i="4"/>
  <c r="BC573" i="4"/>
  <c r="BH171" i="4"/>
  <c r="BC171" i="4"/>
  <c r="BD171" i="4"/>
  <c r="BE171" i="4"/>
  <c r="BI270" i="4"/>
  <c r="BJ270" i="4"/>
  <c r="BC586" i="4"/>
  <c r="BD586" i="4"/>
  <c r="BE586" i="4"/>
  <c r="BH586" i="4"/>
  <c r="BI392" i="4"/>
  <c r="BJ392" i="4"/>
  <c r="BH611" i="4"/>
  <c r="BC611" i="4"/>
  <c r="BH441" i="4"/>
  <c r="BC441" i="4"/>
  <c r="BC353" i="4"/>
  <c r="BH353" i="4"/>
  <c r="BI257" i="4"/>
  <c r="BJ257" i="4"/>
  <c r="AY624" i="4"/>
  <c r="BA624" i="4"/>
  <c r="BQ624" i="4"/>
  <c r="BH276" i="4"/>
  <c r="BC276" i="4"/>
  <c r="BD276" i="4"/>
  <c r="BE276" i="4"/>
  <c r="BI266" i="4"/>
  <c r="BJ266" i="4"/>
  <c r="AY252" i="4"/>
  <c r="BA252" i="4"/>
  <c r="BQ252" i="4"/>
  <c r="BH504" i="4"/>
  <c r="BC504" i="4"/>
  <c r="BD504" i="4"/>
  <c r="BE504" i="4"/>
  <c r="BH599" i="4"/>
  <c r="BC599" i="4"/>
  <c r="BM248" i="4"/>
  <c r="BN248" i="4"/>
  <c r="BC578" i="4"/>
  <c r="BH578" i="4"/>
  <c r="BD640" i="4"/>
  <c r="BE640" i="4"/>
  <c r="BI640" i="4"/>
  <c r="BJ640" i="4"/>
  <c r="BD592" i="4"/>
  <c r="BE592" i="4"/>
  <c r="BI592" i="4"/>
  <c r="BJ592" i="4"/>
  <c r="BI469" i="4"/>
  <c r="BJ469" i="4"/>
  <c r="BH435" i="4"/>
  <c r="BC435" i="4"/>
  <c r="BC450" i="4"/>
  <c r="BD450" i="4"/>
  <c r="BE450" i="4"/>
  <c r="BI450" i="4"/>
  <c r="BJ450" i="4"/>
  <c r="BK450" i="4"/>
  <c r="BH450" i="4"/>
  <c r="BC489" i="4"/>
  <c r="BD489" i="4"/>
  <c r="BE489" i="4"/>
  <c r="BH489" i="4"/>
  <c r="BC141" i="4"/>
  <c r="BH141" i="4"/>
  <c r="BC419" i="4"/>
  <c r="BD419" i="4"/>
  <c r="BE419" i="4"/>
  <c r="BH419" i="4"/>
  <c r="BL372" i="4"/>
  <c r="BK372" i="4"/>
  <c r="BK325" i="4"/>
  <c r="BL325" i="4"/>
  <c r="BK525" i="4"/>
  <c r="BL525" i="4"/>
  <c r="BL154" i="4"/>
  <c r="BK154" i="4"/>
  <c r="BL566" i="4"/>
  <c r="BK566" i="4"/>
  <c r="BL164" i="4"/>
  <c r="BK164" i="4"/>
  <c r="BK634" i="4"/>
  <c r="BL634" i="4"/>
  <c r="BK509" i="4"/>
  <c r="BL509" i="4"/>
  <c r="BK188" i="4"/>
  <c r="BL188" i="4"/>
  <c r="BL547" i="4"/>
  <c r="BK547" i="4"/>
  <c r="BL202" i="4"/>
  <c r="BK202" i="4"/>
  <c r="BK122" i="4"/>
  <c r="BL122" i="4"/>
  <c r="BK609" i="4"/>
  <c r="BL609" i="4"/>
  <c r="BL327" i="4"/>
  <c r="BK327" i="4"/>
  <c r="BK249" i="4"/>
  <c r="BL249" i="4"/>
  <c r="BK582" i="4"/>
  <c r="BL582" i="4"/>
  <c r="BL505" i="4"/>
  <c r="BK505" i="4"/>
  <c r="BK526" i="4"/>
  <c r="BL526" i="4"/>
  <c r="BL168" i="4"/>
  <c r="BK168" i="4"/>
  <c r="BK371" i="4"/>
  <c r="BL371" i="4"/>
  <c r="BK298" i="4"/>
  <c r="BL298" i="4"/>
  <c r="BK468" i="4"/>
  <c r="BL468" i="4"/>
  <c r="BK144" i="4"/>
  <c r="BL144" i="4"/>
  <c r="BL430" i="4"/>
  <c r="BK430" i="4"/>
  <c r="BK275" i="4"/>
  <c r="BL275" i="4"/>
  <c r="BL563" i="4"/>
  <c r="BK563" i="4"/>
  <c r="BL617" i="4"/>
  <c r="BK617" i="4"/>
  <c r="BL233" i="4"/>
  <c r="BK233" i="4"/>
  <c r="BL636" i="4"/>
  <c r="BK636" i="4"/>
  <c r="BL290" i="4"/>
  <c r="BK290" i="4"/>
  <c r="BQ120" i="4"/>
  <c r="BL365" i="4"/>
  <c r="BK365" i="4"/>
  <c r="BL125" i="4"/>
  <c r="BK125" i="4"/>
  <c r="BL554" i="4"/>
  <c r="BK554" i="4"/>
  <c r="AZ261" i="4"/>
  <c r="AZ244" i="4"/>
  <c r="AZ384" i="4"/>
  <c r="AZ635" i="4"/>
  <c r="AZ192" i="4"/>
  <c r="AZ243" i="4"/>
  <c r="AZ270" i="4"/>
  <c r="AZ281" i="4"/>
  <c r="AZ568" i="4"/>
  <c r="AZ354" i="4"/>
  <c r="AZ644" i="4"/>
  <c r="AZ120" i="4"/>
  <c r="AZ589" i="4"/>
  <c r="AZ367" i="4"/>
  <c r="AZ224" i="4"/>
  <c r="AZ497" i="4"/>
  <c r="AZ655" i="4"/>
  <c r="AZ593" i="4"/>
  <c r="AZ643" i="4"/>
  <c r="AZ525" i="4"/>
  <c r="AZ485" i="4"/>
  <c r="AZ222" i="4"/>
  <c r="AZ326" i="4"/>
  <c r="AZ362" i="4"/>
  <c r="AZ177" i="4"/>
  <c r="AZ618" i="4"/>
  <c r="AZ412" i="4"/>
  <c r="AZ656" i="4"/>
  <c r="AZ454" i="4"/>
  <c r="AZ303" i="4"/>
  <c r="AZ628" i="4"/>
  <c r="AZ530" i="4"/>
  <c r="AZ179" i="4"/>
  <c r="AZ147" i="4"/>
  <c r="AZ562" i="4"/>
  <c r="AZ355" i="4"/>
  <c r="AZ201" i="4"/>
  <c r="AZ598" i="4"/>
  <c r="AZ266" i="4"/>
  <c r="AZ265" i="4"/>
  <c r="AZ160" i="4"/>
  <c r="AZ588" i="4"/>
  <c r="AZ583" i="4"/>
  <c r="AZ375" i="4"/>
  <c r="AZ558" i="4"/>
  <c r="AZ539" i="4"/>
  <c r="AZ404" i="4"/>
  <c r="AZ420" i="4"/>
  <c r="AZ286" i="4"/>
  <c r="AZ256" i="4"/>
  <c r="AZ304" i="4"/>
  <c r="AZ211" i="4"/>
  <c r="AZ275" i="4"/>
  <c r="AZ228" i="4"/>
  <c r="AZ652" i="4"/>
  <c r="AZ139" i="4"/>
  <c r="AZ195" i="4"/>
  <c r="AZ349" i="4"/>
  <c r="AZ478" i="4"/>
  <c r="AZ144" i="4"/>
  <c r="AZ397" i="4"/>
  <c r="AZ472" i="4"/>
  <c r="AZ467" i="4"/>
  <c r="AZ163" i="4"/>
  <c r="AZ130" i="4"/>
  <c r="AZ500" i="4"/>
  <c r="AZ314" i="4"/>
  <c r="AZ230" i="4"/>
  <c r="AZ376" i="4"/>
  <c r="AZ595" i="4"/>
  <c r="AZ543" i="4"/>
  <c r="AZ150" i="4"/>
  <c r="AZ282" i="4"/>
  <c r="AZ547" i="4"/>
  <c r="AZ387" i="4"/>
  <c r="AZ214" i="4"/>
  <c r="AZ545" i="4"/>
  <c r="AZ126" i="4"/>
  <c r="AZ283" i="4"/>
  <c r="AZ134" i="4"/>
  <c r="AZ620" i="4"/>
  <c r="AZ443" i="4"/>
  <c r="AZ428" i="4"/>
  <c r="AZ200" i="4"/>
  <c r="AZ143" i="4"/>
  <c r="AZ660" i="4"/>
  <c r="AZ521" i="4"/>
  <c r="AZ594" i="4"/>
  <c r="AZ546" i="4"/>
  <c r="AZ423" i="4"/>
  <c r="AZ315" i="4"/>
  <c r="AZ492" i="4"/>
  <c r="AZ280" i="4"/>
  <c r="AZ517" i="4"/>
  <c r="AZ181" i="4"/>
  <c r="AZ267" i="4"/>
  <c r="AZ178" i="4"/>
  <c r="AZ394" i="4"/>
  <c r="AZ166" i="4"/>
  <c r="AZ338" i="4"/>
  <c r="AZ524" i="4"/>
  <c r="AZ182" i="4"/>
  <c r="AZ132" i="4"/>
  <c r="AZ292" i="4"/>
  <c r="AZ381" i="4"/>
  <c r="AZ180" i="4"/>
  <c r="AZ637" i="4"/>
  <c r="AZ440" i="4"/>
  <c r="AZ421" i="4"/>
  <c r="AZ507" i="4"/>
  <c r="AZ581" i="4"/>
  <c r="AZ610" i="4"/>
  <c r="AZ555" i="4"/>
  <c r="AZ339" i="4"/>
  <c r="AZ654" i="4"/>
  <c r="AZ217" i="4"/>
  <c r="AZ189" i="4"/>
  <c r="AZ345" i="4"/>
  <c r="AZ623" i="4"/>
  <c r="AZ572" i="4"/>
  <c r="AZ322" i="4"/>
  <c r="AZ569" i="4"/>
  <c r="AZ434" i="4"/>
  <c r="AZ634" i="4"/>
  <c r="AZ155" i="4"/>
  <c r="AZ162" i="4"/>
  <c r="AZ128" i="4"/>
  <c r="AZ309" i="4"/>
  <c r="AZ346" i="4"/>
  <c r="AZ415" i="4"/>
  <c r="AZ332" i="4"/>
  <c r="AZ514" i="4"/>
  <c r="AZ493" i="4"/>
  <c r="AZ631" i="4"/>
  <c r="AZ225" i="4"/>
  <c r="AZ122" i="4"/>
  <c r="AZ392" i="4"/>
  <c r="AZ424" i="4"/>
  <c r="AZ241" i="4"/>
  <c r="AZ600" i="4"/>
  <c r="AZ575" i="4"/>
  <c r="AZ351" i="4"/>
  <c r="AZ476" i="4"/>
  <c r="AZ496" i="4"/>
  <c r="AZ297" i="4"/>
  <c r="AZ617" i="4"/>
  <c r="AZ296" i="4"/>
  <c r="AZ515" i="4"/>
  <c r="AZ518" i="4"/>
  <c r="AZ158" i="4"/>
  <c r="AZ441" i="4"/>
  <c r="AZ540" i="4"/>
  <c r="AZ378" i="4"/>
  <c r="AZ427" i="4"/>
  <c r="AZ651" i="4"/>
  <c r="AZ227" i="4"/>
  <c r="AZ262" i="4"/>
  <c r="AZ255" i="4"/>
  <c r="AZ532" i="4"/>
  <c r="AZ477" i="4"/>
  <c r="AZ313" i="4"/>
  <c r="AZ272" i="4"/>
  <c r="AZ263" i="4"/>
  <c r="AZ148" i="4"/>
  <c r="AZ648" i="4"/>
  <c r="AZ366" i="4"/>
  <c r="AZ204" i="4"/>
  <c r="AZ592" i="4"/>
  <c r="AZ328" i="4"/>
  <c r="AZ435" i="4"/>
  <c r="AZ365" i="4"/>
  <c r="AZ218" i="4"/>
  <c r="AZ334" i="4"/>
  <c r="AZ523" i="4"/>
  <c r="AZ343" i="4"/>
  <c r="AZ494" i="4"/>
  <c r="AZ289" i="4"/>
  <c r="AZ242" i="4"/>
  <c r="AZ607" i="4"/>
  <c r="AZ333" i="4"/>
  <c r="AZ318" i="4"/>
  <c r="AZ291" i="4"/>
  <c r="AZ469" i="4"/>
  <c r="AZ310" i="4"/>
  <c r="AZ642" i="4"/>
  <c r="AZ176" i="4"/>
  <c r="AZ426" i="4"/>
  <c r="AZ659" i="4"/>
  <c r="AZ570" i="4"/>
  <c r="BD129" i="4"/>
  <c r="BE129" i="4"/>
  <c r="BI129" i="4"/>
  <c r="BJ129" i="4"/>
  <c r="BK304" i="4"/>
  <c r="BL304" i="4"/>
  <c r="BK158" i="4"/>
  <c r="BL158" i="4"/>
  <c r="BK222" i="4"/>
  <c r="BL222" i="4"/>
  <c r="BD121" i="4"/>
  <c r="BE121" i="4"/>
  <c r="BI121" i="4"/>
  <c r="BJ121" i="4"/>
  <c r="BN120" i="4"/>
  <c r="J22" i="4"/>
  <c r="BK447" i="4"/>
  <c r="BL447" i="4"/>
  <c r="BK464" i="4"/>
  <c r="BL464" i="4"/>
  <c r="BD120" i="4"/>
  <c r="BE120" i="4"/>
  <c r="BL193" i="4"/>
  <c r="BK193" i="4"/>
  <c r="BL346" i="4"/>
  <c r="BK346" i="4"/>
  <c r="BL124" i="4"/>
  <c r="BK124" i="4"/>
  <c r="M15" i="9"/>
  <c r="M16" i="16"/>
  <c r="M18" i="24"/>
  <c r="M17" i="29"/>
  <c r="BL601" i="4"/>
  <c r="BK601" i="4"/>
  <c r="J33" i="4"/>
  <c r="BK335" i="4"/>
  <c r="AZ649" i="4"/>
  <c r="AZ658" i="4"/>
  <c r="AZ436" i="4"/>
  <c r="AZ389" i="4"/>
  <c r="AZ527" i="4"/>
  <c r="AZ470" i="4"/>
  <c r="AZ455" i="4"/>
  <c r="AZ125" i="4"/>
  <c r="AZ156" i="4"/>
  <c r="AZ538" i="4"/>
  <c r="AZ468" i="4"/>
  <c r="AZ254" i="4"/>
  <c r="AZ347" i="4"/>
  <c r="AZ462" i="4"/>
  <c r="AZ259" i="4"/>
  <c r="AZ235" i="4"/>
  <c r="AZ285" i="4"/>
  <c r="AZ566" i="4"/>
  <c r="AZ531" i="4"/>
  <c r="AZ288" i="4"/>
  <c r="AZ337" i="4"/>
  <c r="AZ550" i="4"/>
  <c r="AZ536" i="4"/>
  <c r="AZ495" i="4"/>
  <c r="AZ216" i="4"/>
  <c r="AZ451" i="4"/>
  <c r="AZ350" i="4"/>
  <c r="AZ165" i="4"/>
  <c r="AZ196" i="4"/>
  <c r="AZ537" i="4"/>
  <c r="AZ508" i="4"/>
  <c r="AZ380" i="4"/>
  <c r="AZ461" i="4"/>
  <c r="AZ560" i="4"/>
  <c r="AZ439" i="4"/>
  <c r="AZ170" i="4"/>
  <c r="AZ321" i="4"/>
  <c r="AZ382" i="4"/>
  <c r="AZ246" i="4"/>
  <c r="AZ273" i="4"/>
  <c r="AZ459" i="4"/>
  <c r="AZ145" i="4"/>
  <c r="AZ645" i="4"/>
  <c r="AZ175" i="4"/>
  <c r="AZ368" i="4"/>
  <c r="AZ188" i="4"/>
  <c r="AZ619" i="4"/>
  <c r="AZ553" i="4"/>
  <c r="AZ597" i="4"/>
  <c r="AZ586" i="4"/>
  <c r="AZ199" i="4"/>
  <c r="AZ307" i="4"/>
  <c r="AZ565" i="4"/>
  <c r="AZ284" i="4"/>
  <c r="AZ561" i="4"/>
  <c r="AZ499" i="4"/>
  <c r="AZ237" i="4"/>
  <c r="BL239" i="4"/>
  <c r="BL236" i="4"/>
  <c r="BK560" i="4"/>
  <c r="J24" i="4"/>
  <c r="J35" i="4"/>
  <c r="AZ480" i="4"/>
  <c r="AZ385" i="4"/>
  <c r="AZ615" i="4"/>
  <c r="AZ258" i="4"/>
  <c r="AZ506" i="4"/>
  <c r="AZ133" i="4"/>
  <c r="AZ513" i="4"/>
  <c r="AZ236" i="4"/>
  <c r="AZ379" i="4"/>
  <c r="AZ290" i="4"/>
  <c r="AZ488" i="4"/>
  <c r="AZ621" i="4"/>
  <c r="AZ245" i="4"/>
  <c r="AZ484" i="4"/>
  <c r="AZ498" i="4"/>
  <c r="AZ238" i="4"/>
  <c r="AZ220" i="4"/>
  <c r="AZ630" i="4"/>
  <c r="AZ403" i="4"/>
  <c r="AZ407" i="4"/>
  <c r="AZ264" i="4"/>
  <c r="AZ293" i="4"/>
  <c r="AZ519" i="4"/>
  <c r="AZ152" i="4"/>
  <c r="AZ121" i="4"/>
  <c r="AZ613" i="4"/>
  <c r="AZ146" i="4"/>
  <c r="AZ140" i="4"/>
  <c r="AZ393" i="4"/>
  <c r="AZ580" i="4"/>
  <c r="AZ624" i="4"/>
  <c r="AZ401" i="4"/>
  <c r="AZ413" i="4"/>
  <c r="AZ511" i="4"/>
  <c r="AZ431" i="4"/>
  <c r="AZ582" i="4"/>
  <c r="AZ425" i="4"/>
  <c r="AZ335" i="4"/>
  <c r="AZ606" i="4"/>
  <c r="AZ520" i="4"/>
  <c r="AZ208" i="4"/>
  <c r="AZ640" i="4"/>
  <c r="AZ622" i="4"/>
  <c r="AZ330" i="4"/>
  <c r="AZ359" i="4"/>
  <c r="AZ528" i="4"/>
  <c r="AZ294" i="4"/>
  <c r="AZ212" i="4"/>
  <c r="AZ563" i="4"/>
  <c r="AZ585" i="4"/>
  <c r="AZ172" i="4"/>
  <c r="AZ391" i="4"/>
  <c r="AZ534" i="4"/>
  <c r="AZ141" i="4"/>
  <c r="AZ299" i="4"/>
  <c r="AZ456" i="4"/>
  <c r="AZ457" i="4"/>
  <c r="BI399" i="4"/>
  <c r="BJ399" i="4"/>
  <c r="BL399" i="4"/>
  <c r="BL625" i="4"/>
  <c r="BK625" i="4"/>
  <c r="BD508" i="4"/>
  <c r="BE508" i="4"/>
  <c r="BI508" i="4"/>
  <c r="BJ508" i="4"/>
  <c r="BI516" i="4"/>
  <c r="BJ516" i="4"/>
  <c r="BI540" i="4"/>
  <c r="BJ540" i="4"/>
  <c r="BL450" i="4"/>
  <c r="BI183" i="4"/>
  <c r="BJ183" i="4"/>
  <c r="BI368" i="4"/>
  <c r="BJ368" i="4"/>
  <c r="BI240" i="4"/>
  <c r="BJ240" i="4"/>
  <c r="BI363" i="4"/>
  <c r="BJ363" i="4"/>
  <c r="BL363" i="4"/>
  <c r="BK575" i="4"/>
  <c r="BL575" i="4"/>
  <c r="BI408" i="4"/>
  <c r="BJ408" i="4"/>
  <c r="BI620" i="4"/>
  <c r="BJ620" i="4"/>
  <c r="BI261" i="4"/>
  <c r="BJ261" i="4"/>
  <c r="BI212" i="4"/>
  <c r="BJ212" i="4"/>
  <c r="BL212" i="4"/>
  <c r="BL567" i="4"/>
  <c r="BK567" i="4"/>
  <c r="BL628" i="4"/>
  <c r="BK628" i="4"/>
  <c r="BI641" i="4"/>
  <c r="BJ641" i="4"/>
  <c r="BI583" i="4"/>
  <c r="BJ583" i="4"/>
  <c r="BL213" i="4"/>
  <c r="BK213" i="4"/>
  <c r="BI179" i="4"/>
  <c r="BJ179" i="4"/>
  <c r="BK179" i="4"/>
  <c r="BI160" i="4"/>
  <c r="BJ160" i="4"/>
  <c r="BL160" i="4"/>
  <c r="BI139" i="4"/>
  <c r="BJ139" i="4"/>
  <c r="BI206" i="4"/>
  <c r="BJ206" i="4"/>
  <c r="BI269" i="4"/>
  <c r="BJ269" i="4"/>
  <c r="BL473" i="4"/>
  <c r="BI586" i="4"/>
  <c r="BJ586" i="4"/>
  <c r="BI155" i="4"/>
  <c r="BJ155" i="4"/>
  <c r="BI220" i="4"/>
  <c r="BJ220" i="4"/>
  <c r="BI272" i="4"/>
  <c r="BJ272" i="4"/>
  <c r="BI194" i="4"/>
  <c r="BJ194" i="4"/>
  <c r="BK194" i="4"/>
  <c r="BL311" i="4"/>
  <c r="BK311" i="4"/>
  <c r="BK356" i="4"/>
  <c r="BL356" i="4"/>
  <c r="BI546" i="4"/>
  <c r="BJ546" i="4"/>
  <c r="BI135" i="4"/>
  <c r="BJ135" i="4"/>
  <c r="BL135" i="4"/>
  <c r="BI544" i="4"/>
  <c r="BJ544" i="4"/>
  <c r="BI283" i="4"/>
  <c r="BJ283" i="4"/>
  <c r="BI449" i="4"/>
  <c r="BJ449" i="4"/>
  <c r="BI496" i="4"/>
  <c r="BJ496" i="4"/>
  <c r="BK496" i="4"/>
  <c r="BL557" i="4"/>
  <c r="BI273" i="4"/>
  <c r="BJ273" i="4"/>
  <c r="BL317" i="4"/>
  <c r="BK317" i="4"/>
  <c r="BI436" i="4"/>
  <c r="BJ436" i="4"/>
  <c r="BK348" i="4"/>
  <c r="BL348" i="4"/>
  <c r="J26" i="4"/>
  <c r="F60" i="4"/>
  <c r="BI608" i="4"/>
  <c r="BJ608" i="4"/>
  <c r="BL608" i="4"/>
  <c r="BI263" i="4"/>
  <c r="BJ263" i="4"/>
  <c r="BL263" i="4"/>
  <c r="BI633" i="4"/>
  <c r="BJ633" i="4"/>
  <c r="BL633" i="4"/>
  <c r="BI535" i="4"/>
  <c r="BJ535" i="4"/>
  <c r="BI576" i="4"/>
  <c r="BJ576" i="4"/>
  <c r="BL576" i="4"/>
  <c r="BI292" i="4"/>
  <c r="BJ292" i="4"/>
  <c r="BI375" i="4"/>
  <c r="BJ375" i="4"/>
  <c r="BL467" i="4"/>
  <c r="BK467" i="4"/>
  <c r="B69" i="4"/>
  <c r="BK155" i="4"/>
  <c r="BL155" i="4"/>
  <c r="AZ437" i="4"/>
  <c r="AZ324" i="4"/>
  <c r="AZ503" i="4"/>
  <c r="AZ353" i="4"/>
  <c r="AZ277" i="4"/>
  <c r="AZ305" i="4"/>
  <c r="AZ479" i="4"/>
  <c r="AZ169" i="4"/>
  <c r="AZ233" i="4"/>
  <c r="AZ308" i="4"/>
  <c r="AZ229" i="4"/>
  <c r="AZ295" i="4"/>
  <c r="AZ205" i="4"/>
  <c r="AZ465" i="4"/>
  <c r="AZ409" i="4"/>
  <c r="AZ625" i="4"/>
  <c r="AZ400" i="4"/>
  <c r="AZ576" i="4"/>
  <c r="AZ574" i="4"/>
  <c r="AZ626" i="4"/>
  <c r="AZ573" i="4"/>
  <c r="AZ287" i="4"/>
  <c r="AZ414" i="4"/>
  <c r="AZ129" i="4"/>
  <c r="AZ535" i="4"/>
  <c r="AZ482" i="4"/>
  <c r="AZ458" i="4"/>
  <c r="AZ306" i="4"/>
  <c r="AZ483" i="4"/>
  <c r="AZ578" i="4"/>
  <c r="AZ486" i="4"/>
  <c r="AZ491" i="4"/>
  <c r="AZ474" i="4"/>
  <c r="AZ632" i="4"/>
  <c r="AZ516" i="4"/>
  <c r="AZ311" i="4"/>
  <c r="AZ153" i="4"/>
  <c r="AZ372" i="4"/>
  <c r="AZ419" i="4"/>
  <c r="AZ587" i="4"/>
  <c r="AZ396" i="4"/>
  <c r="AZ319" i="4"/>
  <c r="AZ510" i="4"/>
  <c r="AZ601" i="4"/>
  <c r="AZ279" i="4"/>
  <c r="AZ142" i="4"/>
  <c r="AZ609" i="4"/>
  <c r="AZ371" i="4"/>
  <c r="AZ541" i="4"/>
  <c r="AZ327" i="4"/>
  <c r="BI345" i="4"/>
  <c r="BJ345" i="4"/>
  <c r="BI338" i="4"/>
  <c r="BJ338" i="4"/>
  <c r="BL338" i="4"/>
  <c r="BI502" i="4"/>
  <c r="BJ502" i="4"/>
  <c r="AZ183" i="4"/>
  <c r="AZ602" i="4"/>
  <c r="AZ260" i="4"/>
  <c r="AZ361" i="4"/>
  <c r="AZ487" i="4"/>
  <c r="AZ502" i="4"/>
  <c r="AZ475" i="4"/>
  <c r="AZ438" i="4"/>
  <c r="AZ171" i="4"/>
  <c r="AZ320" i="4"/>
  <c r="AZ159" i="4"/>
  <c r="AZ584" i="4"/>
  <c r="AZ131" i="4"/>
  <c r="AZ395" i="4"/>
  <c r="AZ186" i="4"/>
  <c r="AZ549" i="4"/>
  <c r="AZ557" i="4"/>
  <c r="AZ207" i="4"/>
  <c r="AZ325" i="4"/>
  <c r="AZ154" i="4"/>
  <c r="AZ336" i="4"/>
  <c r="AZ167" i="4"/>
  <c r="AZ463" i="4"/>
  <c r="AZ591" i="4"/>
  <c r="AZ556" i="4"/>
  <c r="AZ505" i="4"/>
  <c r="AZ369" i="4"/>
  <c r="AZ239" i="4"/>
  <c r="AZ544" i="4"/>
  <c r="AZ197" i="4"/>
  <c r="AZ567" i="4"/>
  <c r="AZ552" i="4"/>
  <c r="AZ190" i="4"/>
  <c r="AZ348" i="4"/>
  <c r="AZ444" i="4"/>
  <c r="AZ370" i="4"/>
  <c r="AZ650" i="4"/>
  <c r="AZ599" i="4"/>
  <c r="AZ247" i="4"/>
  <c r="AZ344" i="4"/>
  <c r="AZ257" i="4"/>
  <c r="AZ386" i="4"/>
  <c r="AZ405" i="4"/>
  <c r="AZ138" i="4"/>
  <c r="AZ231" i="4"/>
  <c r="AZ512" i="4"/>
  <c r="AZ213" i="4"/>
  <c r="AZ271" i="4"/>
  <c r="AZ240" i="4"/>
  <c r="BK160" i="4"/>
  <c r="BI276" i="4"/>
  <c r="BJ276" i="4"/>
  <c r="BI237" i="4"/>
  <c r="BJ237" i="4"/>
  <c r="BK237" i="4"/>
  <c r="BI180" i="4"/>
  <c r="BJ180" i="4"/>
  <c r="BL180" i="4"/>
  <c r="BK355" i="4"/>
  <c r="BL355" i="4"/>
  <c r="AZ406" i="4"/>
  <c r="AZ232" i="4"/>
  <c r="AZ191" i="4"/>
  <c r="AZ234" i="4"/>
  <c r="AZ124" i="4"/>
  <c r="AZ548" i="4"/>
  <c r="AZ373" i="4"/>
  <c r="AZ627" i="4"/>
  <c r="AZ127" i="4"/>
  <c r="AZ215" i="4"/>
  <c r="AZ221" i="4"/>
  <c r="AZ185" i="4"/>
  <c r="AZ329" i="4"/>
  <c r="AZ559" i="4"/>
  <c r="AZ460" i="4"/>
  <c r="AZ164" i="4"/>
  <c r="AZ529" i="4"/>
  <c r="AZ526" i="4"/>
  <c r="AZ135" i="4"/>
  <c r="AZ274" i="4"/>
  <c r="AZ422" i="4"/>
  <c r="AZ209" i="4"/>
  <c r="AZ542" i="4"/>
  <c r="AZ341" i="4"/>
  <c r="AZ151" i="4"/>
  <c r="AZ471" i="4"/>
  <c r="AZ551" i="4"/>
  <c r="AZ251" i="4"/>
  <c r="AZ302" i="4"/>
  <c r="AZ357" i="4"/>
  <c r="AZ509" i="4"/>
  <c r="AZ312" i="4"/>
  <c r="AZ383" i="4"/>
  <c r="AZ577" i="4"/>
  <c r="AZ253" i="4"/>
  <c r="AZ616" i="4"/>
  <c r="AZ473" i="4"/>
  <c r="AZ269" i="4"/>
  <c r="AZ432" i="4"/>
  <c r="AZ323" i="4"/>
  <c r="AZ418" i="4"/>
  <c r="AZ340" i="4"/>
  <c r="AZ579" i="4"/>
  <c r="AZ149" i="4"/>
  <c r="AZ374" i="4"/>
  <c r="AZ184" i="4"/>
  <c r="AZ168" i="4"/>
  <c r="AZ433" i="4"/>
  <c r="AZ203" i="4"/>
  <c r="AZ194" i="4"/>
  <c r="AZ445" i="4"/>
  <c r="AZ430" i="4"/>
  <c r="AZ388" i="4"/>
  <c r="AZ206" i="4"/>
  <c r="AZ249" i="4"/>
  <c r="AZ638" i="4"/>
  <c r="AZ358" i="4"/>
  <c r="AZ317" i="4"/>
  <c r="AZ226" i="4"/>
  <c r="AZ137" i="4"/>
  <c r="AZ639" i="4"/>
  <c r="AZ417" i="4"/>
  <c r="AZ198" i="4"/>
  <c r="AZ411" i="4"/>
  <c r="AZ193" i="4"/>
  <c r="AZ605" i="4"/>
  <c r="AZ442" i="4"/>
  <c r="AZ554" i="4"/>
  <c r="AZ446" i="4"/>
  <c r="AZ408" i="4"/>
  <c r="AZ398" i="4"/>
  <c r="AZ301" i="4"/>
  <c r="AZ490" i="4"/>
  <c r="AZ157" i="4"/>
  <c r="AZ173" i="4"/>
  <c r="AZ331" i="4"/>
  <c r="AZ342" i="4"/>
  <c r="AZ399" i="4"/>
  <c r="AZ453" i="4"/>
  <c r="AZ352" i="4"/>
  <c r="AZ466" i="4"/>
  <c r="AZ641" i="4"/>
  <c r="AZ223" i="4"/>
  <c r="AZ402" i="4"/>
  <c r="AZ501" i="4"/>
  <c r="AZ481" i="4"/>
  <c r="AZ633" i="4"/>
  <c r="AZ533" i="4"/>
  <c r="AZ187" i="4"/>
  <c r="AZ202" i="4"/>
  <c r="AZ161" i="4"/>
  <c r="AZ636" i="4"/>
  <c r="AZ657" i="4"/>
  <c r="AZ276" i="4"/>
  <c r="AZ364" i="4"/>
  <c r="AZ653" i="4"/>
  <c r="AZ248" i="4"/>
  <c r="AZ614" i="4"/>
  <c r="AZ449" i="4"/>
  <c r="AZ429" i="4"/>
  <c r="AZ410" i="4"/>
  <c r="AZ596" i="4"/>
  <c r="AZ522" i="4"/>
  <c r="AZ363" i="4"/>
  <c r="AZ504" i="4"/>
  <c r="AZ603" i="4"/>
  <c r="AZ377" i="4"/>
  <c r="AZ447" i="4"/>
  <c r="AZ604" i="4"/>
  <c r="AZ390" i="4"/>
  <c r="AZ356" i="4"/>
  <c r="AZ298" i="4"/>
  <c r="AZ136" i="4"/>
  <c r="AZ612" i="4"/>
  <c r="AZ123" i="4"/>
  <c r="AZ450" i="4"/>
  <c r="AZ174" i="4"/>
  <c r="AZ252" i="4"/>
  <c r="AZ571" i="4"/>
  <c r="AZ590" i="4"/>
  <c r="AZ250" i="4"/>
  <c r="AZ611" i="4"/>
  <c r="AZ219" i="4"/>
  <c r="AZ360" i="4"/>
  <c r="AZ629" i="4"/>
  <c r="AZ448" i="4"/>
  <c r="AZ416" i="4"/>
  <c r="AZ278" i="4"/>
  <c r="AZ268" i="4"/>
  <c r="AZ316" i="4"/>
  <c r="AZ452" i="4"/>
  <c r="AZ646" i="4"/>
  <c r="AZ564" i="4"/>
  <c r="AZ647" i="4"/>
  <c r="AZ210" i="4"/>
  <c r="AZ300" i="4"/>
  <c r="AZ608" i="4"/>
  <c r="AZ489" i="4"/>
  <c r="BI328" i="4"/>
  <c r="BJ328" i="4"/>
  <c r="BI476" i="4"/>
  <c r="BJ476" i="4"/>
  <c r="T75" i="4" a="1"/>
  <c r="T75" i="4"/>
  <c r="M20" i="24"/>
  <c r="BL354" i="4"/>
  <c r="BK354" i="4"/>
  <c r="BK367" i="4"/>
  <c r="BL367" i="4"/>
  <c r="BK308" i="4"/>
  <c r="BL308" i="4"/>
  <c r="BI294" i="4"/>
  <c r="BJ294" i="4"/>
  <c r="BL294" i="4"/>
  <c r="BI262" i="4"/>
  <c r="BJ262" i="4"/>
  <c r="BL262" i="4"/>
  <c r="BI244" i="4"/>
  <c r="BJ244" i="4"/>
  <c r="BI643" i="4"/>
  <c r="BJ643" i="4"/>
  <c r="BK643" i="4"/>
  <c r="BI123" i="4"/>
  <c r="BJ123" i="4"/>
  <c r="BI232" i="4"/>
  <c r="BJ232" i="4"/>
  <c r="BI197" i="4"/>
  <c r="BJ197" i="4"/>
  <c r="BK409" i="4"/>
  <c r="BL409" i="4"/>
  <c r="BK278" i="4"/>
  <c r="BL278" i="4"/>
  <c r="BI504" i="4"/>
  <c r="BJ504" i="4"/>
  <c r="BI199" i="4"/>
  <c r="BJ199" i="4"/>
  <c r="BI186" i="4"/>
  <c r="BJ186" i="4"/>
  <c r="BK186" i="4"/>
  <c r="BI568" i="4"/>
  <c r="BJ568" i="4"/>
  <c r="BK518" i="4"/>
  <c r="BL518" i="4"/>
  <c r="BI548" i="4"/>
  <c r="BJ548" i="4"/>
  <c r="BK282" i="4"/>
  <c r="BL282" i="4"/>
  <c r="BI456" i="4"/>
  <c r="BJ456" i="4"/>
  <c r="BI312" i="4"/>
  <c r="BJ312" i="4"/>
  <c r="BL312" i="4"/>
  <c r="BD588" i="4"/>
  <c r="BE588" i="4"/>
  <c r="BI588" i="4"/>
  <c r="BJ588" i="4"/>
  <c r="BI511" i="4"/>
  <c r="BJ511" i="4"/>
  <c r="BL596" i="4"/>
  <c r="BK596" i="4"/>
  <c r="BI171" i="4"/>
  <c r="BJ171" i="4"/>
  <c r="BK171" i="4"/>
  <c r="BI457" i="4"/>
  <c r="BJ457" i="4"/>
  <c r="BI485" i="4"/>
  <c r="BJ485" i="4"/>
  <c r="BL485" i="4"/>
  <c r="BI225" i="4"/>
  <c r="BJ225" i="4"/>
  <c r="BI630" i="4"/>
  <c r="BJ630" i="4"/>
  <c r="BK630" i="4"/>
  <c r="BI410" i="4"/>
  <c r="BJ410" i="4"/>
  <c r="BI381" i="4"/>
  <c r="BJ381" i="4"/>
  <c r="BK192" i="4"/>
  <c r="BL192" i="4"/>
  <c r="BI187" i="4"/>
  <c r="BJ187" i="4"/>
  <c r="BD265" i="4"/>
  <c r="BE265" i="4"/>
  <c r="BI265" i="4"/>
  <c r="BJ265" i="4"/>
  <c r="BK413" i="4"/>
  <c r="BL413" i="4"/>
  <c r="BD439" i="4"/>
  <c r="BE439" i="4"/>
  <c r="BI439" i="4"/>
  <c r="BJ439" i="4"/>
  <c r="BL208" i="4"/>
  <c r="BK208" i="4"/>
  <c r="BK640" i="4"/>
  <c r="BL640" i="4"/>
  <c r="BL442" i="4"/>
  <c r="BK442" i="4"/>
  <c r="BK209" i="4"/>
  <c r="BL209" i="4"/>
  <c r="BK551" i="4"/>
  <c r="BL551" i="4"/>
  <c r="BL471" i="4"/>
  <c r="BK471" i="4"/>
  <c r="BK524" i="4"/>
  <c r="BL524" i="4"/>
  <c r="BL623" i="4"/>
  <c r="BK623" i="4"/>
  <c r="BL521" i="4"/>
  <c r="BK521" i="4"/>
  <c r="BL350" i="4"/>
  <c r="BK350" i="4"/>
  <c r="BK487" i="4"/>
  <c r="BL487" i="4"/>
  <c r="BK283" i="4"/>
  <c r="BL283" i="4"/>
  <c r="BL416" i="4"/>
  <c r="BK416" i="4"/>
  <c r="BL541" i="4"/>
  <c r="BK541" i="4"/>
  <c r="BK380" i="4"/>
  <c r="BL380" i="4"/>
  <c r="BL484" i="4"/>
  <c r="BK484" i="4"/>
  <c r="BL377" i="4"/>
  <c r="BK377" i="4"/>
  <c r="BL310" i="4"/>
  <c r="BK310" i="4"/>
  <c r="BK520" i="4"/>
  <c r="BL520" i="4"/>
  <c r="BL194" i="4"/>
  <c r="BL243" i="4"/>
  <c r="BK243" i="4"/>
  <c r="BK556" i="4"/>
  <c r="BL556" i="4"/>
  <c r="BK379" i="4"/>
  <c r="BL379" i="4"/>
  <c r="BL361" i="4"/>
  <c r="BK361" i="4"/>
  <c r="BL223" i="4"/>
  <c r="BK223" i="4"/>
  <c r="BL659" i="4"/>
  <c r="BK659" i="4"/>
  <c r="BK170" i="4"/>
  <c r="BL170" i="4"/>
  <c r="BK638" i="4"/>
  <c r="BL638" i="4"/>
  <c r="BL254" i="4"/>
  <c r="BK254" i="4"/>
  <c r="BK326" i="4"/>
  <c r="BL326" i="4"/>
  <c r="BL200" i="4"/>
  <c r="BK200" i="4"/>
  <c r="BK595" i="4"/>
  <c r="BL595" i="4"/>
  <c r="BL443" i="4"/>
  <c r="BK443" i="4"/>
  <c r="BK130" i="4"/>
  <c r="BL130" i="4"/>
  <c r="BL398" i="4"/>
  <c r="BK398" i="4"/>
  <c r="BK302" i="4"/>
  <c r="BL302" i="4"/>
  <c r="BK264" i="4"/>
  <c r="BL264" i="4"/>
  <c r="BK137" i="4"/>
  <c r="BL137" i="4"/>
  <c r="BK592" i="4"/>
  <c r="BL592" i="4"/>
  <c r="BK474" i="4"/>
  <c r="BL474" i="4"/>
  <c r="BL147" i="4"/>
  <c r="BK147" i="4"/>
  <c r="BK591" i="4"/>
  <c r="BL591" i="4"/>
  <c r="BK260" i="4"/>
  <c r="BL260" i="4"/>
  <c r="BL151" i="4"/>
  <c r="BK151" i="4"/>
  <c r="BK570" i="4"/>
  <c r="BL570" i="4"/>
  <c r="BL646" i="4"/>
  <c r="BK646" i="4"/>
  <c r="BL654" i="4"/>
  <c r="BK654" i="4"/>
  <c r="BK297" i="4"/>
  <c r="BL297" i="4"/>
  <c r="BL426" i="4"/>
  <c r="BK426" i="4"/>
  <c r="BK181" i="4"/>
  <c r="BL181" i="4"/>
  <c r="BK363" i="4"/>
  <c r="BD460" i="4"/>
  <c r="BE460" i="4"/>
  <c r="BI460" i="4"/>
  <c r="BJ460" i="4"/>
  <c r="BI438" i="4"/>
  <c r="BJ438" i="4"/>
  <c r="BK344" i="4"/>
  <c r="BL344" i="4"/>
  <c r="BL498" i="4"/>
  <c r="BK498" i="4"/>
  <c r="BK648" i="4"/>
  <c r="BL648" i="4"/>
  <c r="BL587" i="4"/>
  <c r="BK587" i="4"/>
  <c r="BD482" i="4"/>
  <c r="BE482" i="4"/>
  <c r="BI482" i="4"/>
  <c r="BJ482" i="4"/>
  <c r="BK644" i="4"/>
  <c r="BL644" i="4"/>
  <c r="BK165" i="4"/>
  <c r="BL165" i="4"/>
  <c r="BD645" i="4"/>
  <c r="BE645" i="4"/>
  <c r="BI645" i="4"/>
  <c r="BJ645" i="4"/>
  <c r="BD360" i="4"/>
  <c r="BE360" i="4"/>
  <c r="BI360" i="4"/>
  <c r="BJ360" i="4"/>
  <c r="BL128" i="4"/>
  <c r="BK128" i="4"/>
  <c r="BK177" i="4"/>
  <c r="BL177" i="4"/>
  <c r="BD491" i="4"/>
  <c r="BE491" i="4"/>
  <c r="BI491" i="4"/>
  <c r="BJ491" i="4"/>
  <c r="BD351" i="4"/>
  <c r="BE351" i="4"/>
  <c r="BI351" i="4"/>
  <c r="BJ351" i="4"/>
  <c r="BD307" i="4"/>
  <c r="BE307" i="4"/>
  <c r="BI307" i="4"/>
  <c r="BJ307" i="4"/>
  <c r="BD334" i="4"/>
  <c r="BE334" i="4"/>
  <c r="BI334" i="4"/>
  <c r="BJ334" i="4"/>
  <c r="BL123" i="4"/>
  <c r="BK123" i="4"/>
  <c r="BD653" i="4"/>
  <c r="BE653" i="4"/>
  <c r="BI653" i="4"/>
  <c r="BJ653" i="4"/>
  <c r="BL546" i="4"/>
  <c r="BK546" i="4"/>
  <c r="BI247" i="4"/>
  <c r="BJ247" i="4"/>
  <c r="BK388" i="4"/>
  <c r="BL388" i="4"/>
  <c r="BD650" i="4"/>
  <c r="BE650" i="4"/>
  <c r="BI650" i="4"/>
  <c r="BJ650" i="4"/>
  <c r="BD352" i="4"/>
  <c r="BE352" i="4"/>
  <c r="BI352" i="4"/>
  <c r="BJ352" i="4"/>
  <c r="BL358" i="4"/>
  <c r="BK358" i="4"/>
  <c r="BL342" i="4"/>
  <c r="BK342" i="4"/>
  <c r="BD204" i="4"/>
  <c r="BE204" i="4"/>
  <c r="BI204" i="4"/>
  <c r="BJ204" i="4"/>
  <c r="BL544" i="4"/>
  <c r="BK544" i="4"/>
  <c r="BD242" i="4"/>
  <c r="BE242" i="4"/>
  <c r="BI242" i="4"/>
  <c r="BJ242" i="4"/>
  <c r="BI271" i="4"/>
  <c r="BJ271" i="4"/>
  <c r="BK132" i="4"/>
  <c r="BL132" i="4"/>
  <c r="BL660" i="4"/>
  <c r="BK660" i="4"/>
  <c r="J39" i="4"/>
  <c r="M42" i="30"/>
  <c r="BD332" i="4"/>
  <c r="BE332" i="4"/>
  <c r="BI332" i="4"/>
  <c r="BJ332" i="4"/>
  <c r="M21" i="30"/>
  <c r="M19" i="29"/>
  <c r="BD353" i="4"/>
  <c r="BE353" i="4"/>
  <c r="BI353" i="4"/>
  <c r="BJ353" i="4"/>
  <c r="BK270" i="4"/>
  <c r="BL270" i="4"/>
  <c r="BD431" i="4"/>
  <c r="BE431" i="4"/>
  <c r="BI431" i="4"/>
  <c r="BJ431" i="4"/>
  <c r="BI577" i="4"/>
  <c r="BJ577" i="4"/>
  <c r="BD475" i="4"/>
  <c r="BE475" i="4"/>
  <c r="BI475" i="4"/>
  <c r="BJ475" i="4"/>
  <c r="BK603" i="4"/>
  <c r="BL603" i="4"/>
  <c r="BD499" i="4"/>
  <c r="BE499" i="4"/>
  <c r="BI499" i="4"/>
  <c r="BJ499" i="4"/>
  <c r="BK635" i="4"/>
  <c r="BL635" i="4"/>
  <c r="BI400" i="4"/>
  <c r="BJ400" i="4"/>
  <c r="BI389" i="4"/>
  <c r="BJ389" i="4"/>
  <c r="BI251" i="4"/>
  <c r="BJ251" i="4"/>
  <c r="BI280" i="4"/>
  <c r="BJ280" i="4"/>
  <c r="BK417" i="4"/>
  <c r="BL417" i="4"/>
  <c r="BI337" i="4"/>
  <c r="BJ337" i="4"/>
  <c r="BI229" i="4"/>
  <c r="BJ229" i="4"/>
  <c r="BI425" i="4"/>
  <c r="BJ425" i="4"/>
  <c r="BD445" i="4"/>
  <c r="BE445" i="4"/>
  <c r="BI445" i="4"/>
  <c r="BJ445" i="4"/>
  <c r="BE455" i="4"/>
  <c r="BI455" i="4"/>
  <c r="BJ455" i="4"/>
  <c r="BD455" i="4"/>
  <c r="BI316" i="4"/>
  <c r="BJ316" i="4"/>
  <c r="BI157" i="4"/>
  <c r="BJ157" i="4"/>
  <c r="BK135" i="4"/>
  <c r="BK576" i="4"/>
  <c r="BD407" i="4"/>
  <c r="BE407" i="4"/>
  <c r="BI407" i="4"/>
  <c r="BJ407" i="4"/>
  <c r="BK175" i="4"/>
  <c r="BL175" i="4"/>
  <c r="BI210" i="4"/>
  <c r="BJ210" i="4"/>
  <c r="BD303" i="4"/>
  <c r="BE303" i="4"/>
  <c r="BI303" i="4"/>
  <c r="BJ303" i="4"/>
  <c r="BD174" i="4"/>
  <c r="BE174" i="4"/>
  <c r="BI174" i="4"/>
  <c r="BJ174" i="4"/>
  <c r="BI274" i="4"/>
  <c r="BJ274" i="4"/>
  <c r="BK199" i="4"/>
  <c r="BL199" i="4"/>
  <c r="BI580" i="4"/>
  <c r="BJ580" i="4"/>
  <c r="BI446" i="4"/>
  <c r="BJ446" i="4"/>
  <c r="BD315" i="4"/>
  <c r="BE315" i="4"/>
  <c r="BI315" i="4"/>
  <c r="BJ315" i="4"/>
  <c r="BD590" i="4"/>
  <c r="BE590" i="4"/>
  <c r="BI590" i="4"/>
  <c r="BJ590" i="4"/>
  <c r="BK515" i="4"/>
  <c r="BL515" i="4"/>
  <c r="BK631" i="4"/>
  <c r="BL631" i="4"/>
  <c r="BI393" i="4"/>
  <c r="BJ393" i="4"/>
  <c r="BI626" i="4"/>
  <c r="BJ626" i="4"/>
  <c r="BD488" i="4"/>
  <c r="BE488" i="4"/>
  <c r="BI488" i="4"/>
  <c r="BJ488" i="4"/>
  <c r="BI542" i="4"/>
  <c r="BJ542" i="4"/>
  <c r="BI612" i="4"/>
  <c r="BJ612" i="4"/>
  <c r="BD536" i="4"/>
  <c r="BE536" i="4"/>
  <c r="BI536" i="4"/>
  <c r="BJ536" i="4"/>
  <c r="BD435" i="4"/>
  <c r="BE435" i="4"/>
  <c r="BI435" i="4"/>
  <c r="BJ435" i="4"/>
  <c r="BD578" i="4"/>
  <c r="BE578" i="4"/>
  <c r="BI578" i="4"/>
  <c r="BJ578" i="4"/>
  <c r="BK266" i="4"/>
  <c r="BL266" i="4"/>
  <c r="BD441" i="4"/>
  <c r="BE441" i="4"/>
  <c r="BI441" i="4"/>
  <c r="BJ441" i="4"/>
  <c r="BL171" i="4"/>
  <c r="BD657" i="4"/>
  <c r="BE657" i="4"/>
  <c r="BI657" i="4"/>
  <c r="BJ657" i="4"/>
  <c r="BL656" i="4"/>
  <c r="BK656" i="4"/>
  <c r="BI624" i="4"/>
  <c r="BJ624" i="4"/>
  <c r="BD522" i="4"/>
  <c r="BE522" i="4"/>
  <c r="BI522" i="4"/>
  <c r="BJ522" i="4"/>
  <c r="BD531" i="4"/>
  <c r="BE531" i="4"/>
  <c r="BI531" i="4"/>
  <c r="BJ531" i="4"/>
  <c r="BD497" i="4"/>
  <c r="BE497" i="4"/>
  <c r="BI497" i="4"/>
  <c r="BJ497" i="4"/>
  <c r="BK399" i="4"/>
  <c r="BD532" i="4"/>
  <c r="BE532" i="4"/>
  <c r="BI532" i="4"/>
  <c r="BJ532" i="4"/>
  <c r="BL529" i="4"/>
  <c r="BK529" i="4"/>
  <c r="BK235" i="4"/>
  <c r="BL235" i="4"/>
  <c r="BK139" i="4"/>
  <c r="BL139" i="4"/>
  <c r="BI205" i="4"/>
  <c r="BJ205" i="4"/>
  <c r="BL534" i="4"/>
  <c r="BK534" i="4"/>
  <c r="BK149" i="4"/>
  <c r="BL149" i="4"/>
  <c r="BK244" i="4"/>
  <c r="BL244" i="4"/>
  <c r="BL510" i="4"/>
  <c r="BK510" i="4"/>
  <c r="BL643" i="4"/>
  <c r="BD314" i="4"/>
  <c r="BE314" i="4"/>
  <c r="BI314" i="4"/>
  <c r="BJ314" i="4"/>
  <c r="BD234" i="4"/>
  <c r="BE234" i="4"/>
  <c r="BI234" i="4"/>
  <c r="BJ234" i="4"/>
  <c r="BD376" i="4"/>
  <c r="BE376" i="4"/>
  <c r="BI376" i="4"/>
  <c r="BJ376" i="4"/>
  <c r="BL163" i="4"/>
  <c r="BK163" i="4"/>
  <c r="BL465" i="4"/>
  <c r="BK465" i="4"/>
  <c r="BK263" i="4"/>
  <c r="BD386" i="4"/>
  <c r="BE386" i="4"/>
  <c r="BI386" i="4"/>
  <c r="BJ386" i="4"/>
  <c r="BL449" i="4"/>
  <c r="BK449" i="4"/>
  <c r="BK368" i="4"/>
  <c r="BL368" i="4"/>
  <c r="BK633" i="4"/>
  <c r="BL127" i="4"/>
  <c r="BK127" i="4"/>
  <c r="BD288" i="4"/>
  <c r="BE288" i="4"/>
  <c r="BI288" i="4"/>
  <c r="BJ288" i="4"/>
  <c r="BL182" i="4"/>
  <c r="BK182" i="4"/>
  <c r="BD549" i="4"/>
  <c r="BE549" i="4"/>
  <c r="BI549" i="4"/>
  <c r="BJ549" i="4"/>
  <c r="BK537" i="4"/>
  <c r="BL537" i="4"/>
  <c r="BK240" i="4"/>
  <c r="BL240" i="4"/>
  <c r="BI252" i="4"/>
  <c r="BJ252" i="4"/>
  <c r="BD231" i="4"/>
  <c r="BE231" i="4"/>
  <c r="BI231" i="4"/>
  <c r="BJ231" i="4"/>
  <c r="BK313" i="4"/>
  <c r="BL313" i="4"/>
  <c r="BL319" i="4"/>
  <c r="BK319" i="4"/>
  <c r="BD559" i="4"/>
  <c r="BE559" i="4"/>
  <c r="BI559" i="4"/>
  <c r="BJ559" i="4"/>
  <c r="BK514" i="4"/>
  <c r="BL514" i="4"/>
  <c r="BD286" i="4"/>
  <c r="BE286" i="4"/>
  <c r="BI286" i="4"/>
  <c r="BJ286" i="4"/>
  <c r="BL267" i="4"/>
  <c r="BK267" i="4"/>
  <c r="BK466" i="4"/>
  <c r="BL466" i="4"/>
  <c r="BL382" i="4"/>
  <c r="BK382" i="4"/>
  <c r="BK437" i="4"/>
  <c r="BL437" i="4"/>
  <c r="BI391" i="4"/>
  <c r="BJ391" i="4"/>
  <c r="BK571" i="4"/>
  <c r="BL571" i="4"/>
  <c r="BI419" i="4"/>
  <c r="BJ419" i="4"/>
  <c r="BD461" i="4"/>
  <c r="BE461" i="4"/>
  <c r="BI461" i="4"/>
  <c r="BJ461" i="4"/>
  <c r="BI642" i="4"/>
  <c r="BJ642" i="4"/>
  <c r="BI564" i="4"/>
  <c r="BJ564" i="4"/>
  <c r="BI370" i="4"/>
  <c r="BJ370" i="4"/>
  <c r="BD500" i="4"/>
  <c r="BE500" i="4"/>
  <c r="BI500" i="4"/>
  <c r="BJ500" i="4"/>
  <c r="BD246" i="4"/>
  <c r="BE246" i="4"/>
  <c r="BI246" i="4"/>
  <c r="BJ246" i="4"/>
  <c r="BK324" i="4"/>
  <c r="BL324" i="4"/>
  <c r="BK481" i="4"/>
  <c r="BL481" i="4"/>
  <c r="BD357" i="4"/>
  <c r="BE357" i="4"/>
  <c r="BI357" i="4"/>
  <c r="BJ357" i="4"/>
  <c r="BL185" i="4"/>
  <c r="BK185" i="4"/>
  <c r="BD318" i="4"/>
  <c r="BE318" i="4"/>
  <c r="BI318" i="4"/>
  <c r="BJ318" i="4"/>
  <c r="BI138" i="4"/>
  <c r="BJ138" i="4"/>
  <c r="BI343" i="4"/>
  <c r="BJ343" i="4"/>
  <c r="BI126" i="4"/>
  <c r="BJ126" i="4"/>
  <c r="BL309" i="4"/>
  <c r="BK309" i="4"/>
  <c r="BK621" i="4"/>
  <c r="BL621" i="4"/>
  <c r="BI322" i="4"/>
  <c r="BJ322" i="4"/>
  <c r="BD513" i="4"/>
  <c r="BE513" i="4"/>
  <c r="BI513" i="4"/>
  <c r="BJ513" i="4"/>
  <c r="BK649" i="4"/>
  <c r="BL649" i="4"/>
  <c r="BL167" i="4"/>
  <c r="BK167" i="4"/>
  <c r="BI159" i="4"/>
  <c r="BJ159" i="4"/>
  <c r="BD373" i="4"/>
  <c r="BE373" i="4"/>
  <c r="BI373" i="4"/>
  <c r="BJ373" i="4"/>
  <c r="BD258" i="4"/>
  <c r="BE258" i="4"/>
  <c r="BI258" i="4"/>
  <c r="BJ258" i="4"/>
  <c r="BD421" i="4"/>
  <c r="BE421" i="4"/>
  <c r="BI421" i="4"/>
  <c r="BJ421" i="4"/>
  <c r="BD169" i="4"/>
  <c r="BE169" i="4"/>
  <c r="BI169" i="4"/>
  <c r="BJ169" i="4"/>
  <c r="BI483" i="4"/>
  <c r="BJ483" i="4"/>
  <c r="BL256" i="4"/>
  <c r="BK256" i="4"/>
  <c r="BL145" i="4"/>
  <c r="BK145" i="4"/>
  <c r="BD259" i="4"/>
  <c r="BE259" i="4"/>
  <c r="BI259" i="4"/>
  <c r="BJ259" i="4"/>
  <c r="BK562" i="4"/>
  <c r="BL562" i="4"/>
  <c r="BI216" i="4"/>
  <c r="BJ216" i="4"/>
  <c r="BD341" i="4"/>
  <c r="BE341" i="4"/>
  <c r="BI341" i="4"/>
  <c r="BJ341" i="4"/>
  <c r="BD452" i="4"/>
  <c r="BE452" i="4"/>
  <c r="BI452" i="4"/>
  <c r="BJ452" i="4"/>
  <c r="BL227" i="4"/>
  <c r="BK227" i="4"/>
  <c r="BK387" i="4"/>
  <c r="BL387" i="4"/>
  <c r="BI412" i="4"/>
  <c r="BJ412" i="4"/>
  <c r="BL618" i="4"/>
  <c r="BK618" i="4"/>
  <c r="BI422" i="4"/>
  <c r="BJ422" i="4"/>
  <c r="BD462" i="4"/>
  <c r="BE462" i="4"/>
  <c r="BI462" i="4"/>
  <c r="BJ462" i="4"/>
  <c r="BK212" i="4"/>
  <c r="BK415" i="4"/>
  <c r="BL415" i="4"/>
  <c r="BD572" i="4"/>
  <c r="BE572" i="4"/>
  <c r="BI572" i="4"/>
  <c r="BJ572" i="4"/>
  <c r="BI211" i="4"/>
  <c r="BJ211" i="4"/>
  <c r="BD492" i="4"/>
  <c r="BE492" i="4"/>
  <c r="BI492" i="4"/>
  <c r="BJ492" i="4"/>
  <c r="BI424" i="4"/>
  <c r="BJ424" i="4"/>
  <c r="BD142" i="4"/>
  <c r="BE142" i="4"/>
  <c r="BI142" i="4"/>
  <c r="BJ142" i="4"/>
  <c r="BK608" i="4"/>
  <c r="BK469" i="4"/>
  <c r="BL469" i="4"/>
  <c r="BD599" i="4"/>
  <c r="BE599" i="4"/>
  <c r="BI599" i="4"/>
  <c r="BJ599" i="4"/>
  <c r="BD611" i="4"/>
  <c r="BE611" i="4"/>
  <c r="BI611" i="4"/>
  <c r="BJ611" i="4"/>
  <c r="BD573" i="4"/>
  <c r="BE573" i="4"/>
  <c r="BI573" i="4"/>
  <c r="BJ573" i="4"/>
  <c r="BD289" i="4"/>
  <c r="BE289" i="4"/>
  <c r="BI289" i="4"/>
  <c r="BJ289" i="4"/>
  <c r="BK349" i="4"/>
  <c r="BL349" i="4"/>
  <c r="BD493" i="4"/>
  <c r="BE493" i="4"/>
  <c r="BI493" i="4"/>
  <c r="BJ493" i="4"/>
  <c r="BI287" i="4"/>
  <c r="BJ287" i="4"/>
  <c r="BI558" i="4"/>
  <c r="BJ558" i="4"/>
  <c r="BD331" i="4"/>
  <c r="BE331" i="4"/>
  <c r="BI331" i="4"/>
  <c r="BJ331" i="4"/>
  <c r="BI189" i="4"/>
  <c r="BJ189" i="4"/>
  <c r="BI143" i="4"/>
  <c r="BJ143" i="4"/>
  <c r="BD178" i="4"/>
  <c r="BE178" i="4"/>
  <c r="BI178" i="4"/>
  <c r="BJ178" i="4"/>
  <c r="BI574" i="4"/>
  <c r="BJ574" i="4"/>
  <c r="BL594" i="4"/>
  <c r="BK594" i="4"/>
  <c r="BD248" i="4"/>
  <c r="BE248" i="4"/>
  <c r="BI248" i="4"/>
  <c r="BJ248" i="4"/>
  <c r="BD166" i="4"/>
  <c r="BE166" i="4"/>
  <c r="BI166" i="4"/>
  <c r="BJ166" i="4"/>
  <c r="BL196" i="4"/>
  <c r="BK196" i="4"/>
  <c r="BI321" i="4"/>
  <c r="BJ321" i="4"/>
  <c r="BD131" i="4"/>
  <c r="BE131" i="4"/>
  <c r="BD555" i="4"/>
  <c r="BE555" i="4"/>
  <c r="BI555" i="4"/>
  <c r="BJ555" i="4"/>
  <c r="BI136" i="4"/>
  <c r="BJ136" i="4"/>
  <c r="BD156" i="4"/>
  <c r="BE156" i="4"/>
  <c r="BI156" i="4"/>
  <c r="BJ156" i="4"/>
  <c r="BD503" i="4"/>
  <c r="BE503" i="4"/>
  <c r="BI503" i="4"/>
  <c r="BJ503" i="4"/>
  <c r="BI490" i="4"/>
  <c r="BJ490" i="4"/>
  <c r="BI647" i="4"/>
  <c r="BJ647" i="4"/>
  <c r="BI228" i="4"/>
  <c r="BJ228" i="4"/>
  <c r="BI454" i="4"/>
  <c r="BJ454" i="4"/>
  <c r="BD340" i="4"/>
  <c r="BE340" i="4"/>
  <c r="BI340" i="4"/>
  <c r="BJ340" i="4"/>
  <c r="BI401" i="4"/>
  <c r="BJ401" i="4"/>
  <c r="BI639" i="4"/>
  <c r="BJ639" i="4"/>
  <c r="BD627" i="4"/>
  <c r="BE627" i="4"/>
  <c r="BI627" i="4"/>
  <c r="BJ627" i="4"/>
  <c r="BI486" i="4"/>
  <c r="BJ486" i="4"/>
  <c r="BD527" i="4"/>
  <c r="BE527" i="4"/>
  <c r="BI527" i="4"/>
  <c r="BJ527" i="4"/>
  <c r="BD172" i="4"/>
  <c r="BE172" i="4"/>
  <c r="BI172" i="4"/>
  <c r="BJ172" i="4"/>
  <c r="BD141" i="4"/>
  <c r="BE141" i="4"/>
  <c r="BI141" i="4"/>
  <c r="BJ141" i="4"/>
  <c r="BI494" i="4"/>
  <c r="BJ494" i="4"/>
  <c r="BD651" i="4"/>
  <c r="BE651" i="4"/>
  <c r="BI651" i="4"/>
  <c r="BJ651" i="4"/>
  <c r="BD219" i="4"/>
  <c r="BE219" i="4"/>
  <c r="BI219" i="4"/>
  <c r="BJ219" i="4"/>
  <c r="BI396" i="4"/>
  <c r="BJ396" i="4"/>
  <c r="BD195" i="4"/>
  <c r="BE195" i="4"/>
  <c r="BI195" i="4"/>
  <c r="BJ195" i="4"/>
  <c r="BD658" i="4"/>
  <c r="BE658" i="4"/>
  <c r="BI658" i="4"/>
  <c r="BJ658" i="4"/>
  <c r="BI480" i="4"/>
  <c r="BJ480" i="4"/>
  <c r="BK453" i="4"/>
  <c r="BL453" i="4"/>
  <c r="BL502" i="4"/>
  <c r="BK502" i="4"/>
  <c r="BD561" i="4"/>
  <c r="BE561" i="4"/>
  <c r="BI561" i="4"/>
  <c r="BJ561" i="4"/>
  <c r="BL291" i="4"/>
  <c r="BK291" i="4"/>
  <c r="BL429" i="4"/>
  <c r="BK429" i="4"/>
  <c r="BD632" i="4"/>
  <c r="BE632" i="4"/>
  <c r="BI632" i="4"/>
  <c r="BJ632" i="4"/>
  <c r="BI604" i="4"/>
  <c r="BJ604" i="4"/>
  <c r="BD506" i="4"/>
  <c r="BE506" i="4"/>
  <c r="BI506" i="4"/>
  <c r="BJ506" i="4"/>
  <c r="BI607" i="4"/>
  <c r="BJ607" i="4"/>
  <c r="BD333" i="4"/>
  <c r="BE333" i="4"/>
  <c r="BI333" i="4"/>
  <c r="BJ333" i="4"/>
  <c r="BD162" i="4"/>
  <c r="BE162" i="4"/>
  <c r="BI162" i="4"/>
  <c r="BJ162" i="4"/>
  <c r="BD602" i="4"/>
  <c r="BE602" i="4"/>
  <c r="BI602" i="4"/>
  <c r="BJ602" i="4"/>
  <c r="BK374" i="4"/>
  <c r="BL374" i="4"/>
  <c r="BD451" i="4"/>
  <c r="BE451" i="4"/>
  <c r="BI451" i="4"/>
  <c r="BJ451" i="4"/>
  <c r="BD495" i="4"/>
  <c r="BE495" i="4"/>
  <c r="BI495" i="4"/>
  <c r="BJ495" i="4"/>
  <c r="BL630" i="4"/>
  <c r="BK339" i="4"/>
  <c r="BL339" i="4"/>
  <c r="BD629" i="4"/>
  <c r="BE629" i="4"/>
  <c r="BI629" i="4"/>
  <c r="BJ629" i="4"/>
  <c r="BD176" i="4"/>
  <c r="BE176" i="4"/>
  <c r="BI176" i="4"/>
  <c r="BJ176" i="4"/>
  <c r="BK320" i="4"/>
  <c r="BL320" i="4"/>
  <c r="BI552" i="4"/>
  <c r="BJ552" i="4"/>
  <c r="BL540" i="4"/>
  <c r="BK540" i="4"/>
  <c r="BK285" i="4"/>
  <c r="BL285" i="4"/>
  <c r="BK458" i="4"/>
  <c r="BL458" i="4"/>
  <c r="BI404" i="4"/>
  <c r="BJ404" i="4"/>
  <c r="BK134" i="4"/>
  <c r="BL134" i="4"/>
  <c r="BI403" i="4"/>
  <c r="BJ403" i="4"/>
  <c r="BL433" i="4"/>
  <c r="BK433" i="4"/>
  <c r="BI565" i="4"/>
  <c r="BJ565" i="4"/>
  <c r="BD378" i="4"/>
  <c r="BE378" i="4"/>
  <c r="BI378" i="4"/>
  <c r="BJ378" i="4"/>
  <c r="BD281" i="4"/>
  <c r="BE281" i="4"/>
  <c r="BI281" i="4"/>
  <c r="BJ281" i="4"/>
  <c r="BD366" i="4"/>
  <c r="BE366" i="4"/>
  <c r="BI366" i="4"/>
  <c r="BJ366" i="4"/>
  <c r="BL198" i="4"/>
  <c r="BK198" i="4"/>
  <c r="BK392" i="4"/>
  <c r="BL392" i="4"/>
  <c r="BK408" i="4"/>
  <c r="BL408" i="4"/>
  <c r="BD545" i="4"/>
  <c r="BE545" i="4"/>
  <c r="BI545" i="4"/>
  <c r="BJ545" i="4"/>
  <c r="BD593" i="4"/>
  <c r="BE593" i="4"/>
  <c r="BI593" i="4"/>
  <c r="BJ593" i="4"/>
  <c r="BL217" i="4"/>
  <c r="BK217" i="4"/>
  <c r="BD523" i="4"/>
  <c r="BE523" i="4"/>
  <c r="BI523" i="4"/>
  <c r="BJ523" i="4"/>
  <c r="BL479" i="4"/>
  <c r="BK479" i="4"/>
  <c r="BL272" i="4"/>
  <c r="BK272" i="4"/>
  <c r="BD501" i="4"/>
  <c r="BE501" i="4"/>
  <c r="BI501" i="4"/>
  <c r="BJ501" i="4"/>
  <c r="BK539" i="4"/>
  <c r="BL539" i="4"/>
  <c r="BK485" i="4"/>
  <c r="BK347" i="4"/>
  <c r="BL347" i="4"/>
  <c r="BK180" i="4"/>
  <c r="BD250" i="4"/>
  <c r="BE250" i="4"/>
  <c r="BI250" i="4"/>
  <c r="BJ250" i="4"/>
  <c r="BK293" i="4"/>
  <c r="BL293" i="4"/>
  <c r="BD146" i="4"/>
  <c r="BE146" i="4"/>
  <c r="BI146" i="4"/>
  <c r="BJ146" i="4"/>
  <c r="BD434" i="4"/>
  <c r="BE434" i="4"/>
  <c r="BI434" i="4"/>
  <c r="BJ434" i="4"/>
  <c r="BD432" i="4"/>
  <c r="BE432" i="4"/>
  <c r="BI432" i="4"/>
  <c r="BJ432" i="4"/>
  <c r="BD390" i="4"/>
  <c r="BE390" i="4"/>
  <c r="BI390" i="4"/>
  <c r="BJ390" i="4"/>
  <c r="BK516" i="4"/>
  <c r="BL516" i="4"/>
  <c r="BD394" i="4"/>
  <c r="BE394" i="4"/>
  <c r="BI394" i="4"/>
  <c r="BJ394" i="4"/>
  <c r="BD652" i="4"/>
  <c r="BE652" i="4"/>
  <c r="BI652" i="4"/>
  <c r="BJ652" i="4"/>
  <c r="BD553" i="4"/>
  <c r="BE553" i="4"/>
  <c r="BI553" i="4"/>
  <c r="BJ553" i="4"/>
  <c r="BD385" i="4"/>
  <c r="BE385" i="4"/>
  <c r="BI385" i="4"/>
  <c r="BJ385" i="4"/>
  <c r="BD584" i="4"/>
  <c r="BE584" i="4"/>
  <c r="BI584" i="4"/>
  <c r="BJ584" i="4"/>
  <c r="BL519" i="4"/>
  <c r="BK519" i="4"/>
  <c r="BL512" i="4"/>
  <c r="BK512" i="4"/>
  <c r="BK300" i="4"/>
  <c r="BL300" i="4"/>
  <c r="BD395" i="4"/>
  <c r="BE395" i="4"/>
  <c r="BI395" i="4"/>
  <c r="BJ395" i="4"/>
  <c r="BL206" i="4"/>
  <c r="BK206" i="4"/>
  <c r="BL641" i="4"/>
  <c r="BK641" i="4"/>
  <c r="BK152" i="4"/>
  <c r="BL152" i="4"/>
  <c r="BK418" i="4"/>
  <c r="BL418" i="4"/>
  <c r="BK414" i="4"/>
  <c r="BL414" i="4"/>
  <c r="BL402" i="4"/>
  <c r="BK402" i="4"/>
  <c r="BL463" i="4"/>
  <c r="BK463" i="4"/>
  <c r="BD477" i="4"/>
  <c r="BE477" i="4"/>
  <c r="BI477" i="4"/>
  <c r="BJ477" i="4"/>
  <c r="BK279" i="4"/>
  <c r="BL279" i="4"/>
  <c r="BD440" i="4"/>
  <c r="BE440" i="4"/>
  <c r="BI440" i="4"/>
  <c r="BJ440" i="4"/>
  <c r="BK530" i="4"/>
  <c r="BL530" i="4"/>
  <c r="BD420" i="4"/>
  <c r="BE420" i="4"/>
  <c r="BI420" i="4"/>
  <c r="BJ420" i="4"/>
  <c r="BK312" i="4"/>
  <c r="BK269" i="4"/>
  <c r="BL269" i="4"/>
  <c r="BL606" i="4"/>
  <c r="BK606" i="4"/>
  <c r="BI384" i="4"/>
  <c r="BJ384" i="4"/>
  <c r="BD598" i="4"/>
  <c r="BE598" i="4"/>
  <c r="BI598" i="4"/>
  <c r="BJ598" i="4"/>
  <c r="BI489" i="4"/>
  <c r="BJ489" i="4"/>
  <c r="BK257" i="4"/>
  <c r="BL257" i="4"/>
  <c r="BD203" i="4"/>
  <c r="BE203" i="4"/>
  <c r="BI203" i="4"/>
  <c r="BJ203" i="4"/>
  <c r="BI255" i="4"/>
  <c r="BJ255" i="4"/>
  <c r="BI581" i="4"/>
  <c r="BJ581" i="4"/>
  <c r="BI359" i="4"/>
  <c r="BJ359" i="4"/>
  <c r="BD218" i="4"/>
  <c r="BE218" i="4"/>
  <c r="BI218" i="4"/>
  <c r="BJ218" i="4"/>
  <c r="BD427" i="4"/>
  <c r="BE427" i="4"/>
  <c r="BI427" i="4"/>
  <c r="BJ427" i="4"/>
  <c r="BD329" i="4"/>
  <c r="BE329" i="4"/>
  <c r="BI329" i="4"/>
  <c r="BJ329" i="4"/>
  <c r="BD428" i="4"/>
  <c r="BE428" i="4"/>
  <c r="BI428" i="4"/>
  <c r="BJ428" i="4"/>
  <c r="BI190" i="4"/>
  <c r="BJ190" i="4"/>
  <c r="BD364" i="4"/>
  <c r="BE364" i="4"/>
  <c r="BI364" i="4"/>
  <c r="BJ364" i="4"/>
  <c r="BD253" i="4"/>
  <c r="BE253" i="4"/>
  <c r="BI253" i="4"/>
  <c r="BJ253" i="4"/>
  <c r="BL507" i="4"/>
  <c r="BK507" i="4"/>
  <c r="BD459" i="4"/>
  <c r="BE459" i="4"/>
  <c r="BI459" i="4"/>
  <c r="BJ459" i="4"/>
  <c r="BD224" i="4"/>
  <c r="BE224" i="4"/>
  <c r="BI224" i="4"/>
  <c r="BJ224" i="4"/>
  <c r="BD330" i="4"/>
  <c r="BE330" i="4"/>
  <c r="BI330" i="4"/>
  <c r="BJ330" i="4"/>
  <c r="BD369" i="4"/>
  <c r="BE369" i="4"/>
  <c r="BI369" i="4"/>
  <c r="BJ369" i="4"/>
  <c r="BK444" i="4"/>
  <c r="BL444" i="4"/>
  <c r="BD472" i="4"/>
  <c r="BE472" i="4"/>
  <c r="BI472" i="4"/>
  <c r="BJ472" i="4"/>
  <c r="BI605" i="4"/>
  <c r="BJ605" i="4"/>
  <c r="BI406" i="4"/>
  <c r="BJ406" i="4"/>
  <c r="BI613" i="4"/>
  <c r="BJ613" i="4"/>
  <c r="BD207" i="4"/>
  <c r="BE207" i="4"/>
  <c r="BI207" i="4"/>
  <c r="BJ207" i="4"/>
  <c r="BI150" i="4"/>
  <c r="BJ150" i="4"/>
  <c r="BI589" i="4"/>
  <c r="BJ589" i="4"/>
  <c r="BI284" i="4"/>
  <c r="BJ284" i="4"/>
  <c r="BL362" i="4"/>
  <c r="BK362" i="4"/>
  <c r="BD597" i="4"/>
  <c r="BE597" i="4"/>
  <c r="BI597" i="4"/>
  <c r="BJ597" i="4"/>
  <c r="BD655" i="4"/>
  <c r="BE655" i="4"/>
  <c r="BI655" i="4"/>
  <c r="BJ655" i="4"/>
  <c r="BD614" i="4"/>
  <c r="BE614" i="4"/>
  <c r="BI614" i="4"/>
  <c r="BJ614" i="4"/>
  <c r="BD241" i="4"/>
  <c r="BE241" i="4"/>
  <c r="BI241" i="4"/>
  <c r="BJ241" i="4"/>
  <c r="BD610" i="4"/>
  <c r="BE610" i="4"/>
  <c r="BI610" i="4"/>
  <c r="BJ610" i="4"/>
  <c r="BD550" i="4"/>
  <c r="BE550" i="4"/>
  <c r="BI550" i="4"/>
  <c r="BJ550" i="4"/>
  <c r="BD296" i="4"/>
  <c r="BE296" i="4"/>
  <c r="BI296" i="4"/>
  <c r="BJ296" i="4"/>
  <c r="BD299" i="4"/>
  <c r="BE299" i="4"/>
  <c r="BI299" i="4"/>
  <c r="BJ299" i="4"/>
  <c r="BD201" i="4"/>
  <c r="BE201" i="4"/>
  <c r="BI201" i="4"/>
  <c r="BJ201" i="4"/>
  <c r="BI305" i="4"/>
  <c r="BJ305" i="4"/>
  <c r="BI405" i="4"/>
  <c r="BJ405" i="4"/>
  <c r="BI478" i="4"/>
  <c r="BJ478" i="4"/>
  <c r="BD423" i="4"/>
  <c r="BE423" i="4"/>
  <c r="BI423" i="4"/>
  <c r="BJ423" i="4"/>
  <c r="BI411" i="4"/>
  <c r="BJ411" i="4"/>
  <c r="BK129" i="4"/>
  <c r="BL129" i="4"/>
  <c r="BI120" i="4"/>
  <c r="BL121" i="4"/>
  <c r="BK121" i="4"/>
  <c r="M20" i="29"/>
  <c r="M18" i="16"/>
  <c r="F61" i="4"/>
  <c r="M22" i="30"/>
  <c r="M17" i="9"/>
  <c r="M21" i="24"/>
  <c r="J27" i="4"/>
  <c r="BK338" i="4"/>
  <c r="BL186" i="4"/>
  <c r="BL179" i="4"/>
  <c r="BK508" i="4"/>
  <c r="BL508" i="4"/>
  <c r="BL588" i="4"/>
  <c r="BK588" i="4"/>
  <c r="BK220" i="4"/>
  <c r="BL220" i="4"/>
  <c r="BL586" i="4"/>
  <c r="BK586" i="4"/>
  <c r="BK261" i="4"/>
  <c r="BL261" i="4"/>
  <c r="BK183" i="4"/>
  <c r="BL183" i="4"/>
  <c r="BL583" i="4"/>
  <c r="BK583" i="4"/>
  <c r="BK620" i="4"/>
  <c r="BL620" i="4"/>
  <c r="BL496" i="4"/>
  <c r="BL237" i="4"/>
  <c r="BK535" i="4"/>
  <c r="BL535" i="4"/>
  <c r="BL273" i="4"/>
  <c r="BK273" i="4"/>
  <c r="BK375" i="4"/>
  <c r="BL375" i="4"/>
  <c r="BL292" i="4"/>
  <c r="BK292" i="4"/>
  <c r="BL436" i="4"/>
  <c r="BK436" i="4"/>
  <c r="BL439" i="4"/>
  <c r="BK439" i="4"/>
  <c r="BK265" i="4"/>
  <c r="BL265" i="4"/>
  <c r="BK568" i="4"/>
  <c r="BL568" i="4"/>
  <c r="BK294" i="4"/>
  <c r="BK232" i="4"/>
  <c r="BL232" i="4"/>
  <c r="BK262" i="4"/>
  <c r="BK187" i="4"/>
  <c r="BL187" i="4"/>
  <c r="BL457" i="4"/>
  <c r="BK457" i="4"/>
  <c r="BL456" i="4"/>
  <c r="BK456" i="4"/>
  <c r="BL225" i="4"/>
  <c r="BK225" i="4"/>
  <c r="BL504" i="4"/>
  <c r="BK504" i="4"/>
  <c r="BK345" i="4"/>
  <c r="BL345" i="4"/>
  <c r="BK381" i="4"/>
  <c r="BL381" i="4"/>
  <c r="BK548" i="4"/>
  <c r="BL548" i="4"/>
  <c r="BL410" i="4"/>
  <c r="BK410" i="4"/>
  <c r="BL511" i="4"/>
  <c r="BK511" i="4"/>
  <c r="BK476" i="4"/>
  <c r="BL476" i="4"/>
  <c r="BK328" i="4"/>
  <c r="BL328" i="4"/>
  <c r="BK276" i="4"/>
  <c r="BL276" i="4"/>
  <c r="BL197" i="4"/>
  <c r="BK197" i="4"/>
  <c r="BK178" i="4"/>
  <c r="BL178" i="4"/>
  <c r="BL373" i="4"/>
  <c r="BK373" i="4"/>
  <c r="BL536" i="4"/>
  <c r="BK536" i="4"/>
  <c r="BL218" i="4"/>
  <c r="BK218" i="4"/>
  <c r="BK597" i="4"/>
  <c r="BL597" i="4"/>
  <c r="BK364" i="4"/>
  <c r="BL364" i="4"/>
  <c r="BK584" i="4"/>
  <c r="BL584" i="4"/>
  <c r="BK593" i="4"/>
  <c r="BL593" i="4"/>
  <c r="BK331" i="4"/>
  <c r="BL331" i="4"/>
  <c r="BL231" i="4"/>
  <c r="BK231" i="4"/>
  <c r="BL532" i="4"/>
  <c r="BK532" i="4"/>
  <c r="BL488" i="4"/>
  <c r="BK488" i="4"/>
  <c r="BL315" i="4"/>
  <c r="BK315" i="4"/>
  <c r="BL499" i="4"/>
  <c r="BK499" i="4"/>
  <c r="BL334" i="4"/>
  <c r="BK334" i="4"/>
  <c r="BK385" i="4"/>
  <c r="BL385" i="4"/>
  <c r="BL248" i="4"/>
  <c r="BK248" i="4"/>
  <c r="BK553" i="4"/>
  <c r="BL553" i="4"/>
  <c r="BL195" i="4"/>
  <c r="BK195" i="4"/>
  <c r="BK172" i="4"/>
  <c r="BL172" i="4"/>
  <c r="BL555" i="4"/>
  <c r="BK555" i="4"/>
  <c r="BK288" i="4"/>
  <c r="BL288" i="4"/>
  <c r="BL477" i="4"/>
  <c r="BK477" i="4"/>
  <c r="BL658" i="4"/>
  <c r="BK658" i="4"/>
  <c r="BL459" i="4"/>
  <c r="BK459" i="4"/>
  <c r="BL390" i="4"/>
  <c r="BK390" i="4"/>
  <c r="BK527" i="4"/>
  <c r="BL527" i="4"/>
  <c r="BI131" i="4"/>
  <c r="BJ131" i="4"/>
  <c r="J25" i="4"/>
  <c r="BK573" i="4"/>
  <c r="BL573" i="4"/>
  <c r="BL462" i="4"/>
  <c r="BK462" i="4"/>
  <c r="BL259" i="4"/>
  <c r="BK259" i="4"/>
  <c r="BK421" i="4"/>
  <c r="BL421" i="4"/>
  <c r="BL513" i="4"/>
  <c r="BK513" i="4"/>
  <c r="BK386" i="4"/>
  <c r="BL386" i="4"/>
  <c r="BL657" i="4"/>
  <c r="BK657" i="4"/>
  <c r="BL407" i="4"/>
  <c r="BK407" i="4"/>
  <c r="BK475" i="4"/>
  <c r="BL475" i="4"/>
  <c r="BK550" i="4"/>
  <c r="BL550" i="4"/>
  <c r="BL506" i="4"/>
  <c r="BK506" i="4"/>
  <c r="BK141" i="4"/>
  <c r="BL141" i="4"/>
  <c r="BK472" i="4"/>
  <c r="BL472" i="4"/>
  <c r="BL632" i="4"/>
  <c r="BK632" i="4"/>
  <c r="BK241" i="4"/>
  <c r="BL241" i="4"/>
  <c r="BL611" i="4"/>
  <c r="BK611" i="4"/>
  <c r="BK492" i="4"/>
  <c r="BL492" i="4"/>
  <c r="BL258" i="4"/>
  <c r="BK258" i="4"/>
  <c r="BL318" i="4"/>
  <c r="BK318" i="4"/>
  <c r="BL246" i="4"/>
  <c r="BK246" i="4"/>
  <c r="BL445" i="4"/>
  <c r="BK445" i="4"/>
  <c r="BL242" i="4"/>
  <c r="BK242" i="4"/>
  <c r="BL614" i="4"/>
  <c r="BK614" i="4"/>
  <c r="BL599" i="4"/>
  <c r="BK599" i="4"/>
  <c r="BK531" i="4"/>
  <c r="BL531" i="4"/>
  <c r="BL352" i="4"/>
  <c r="BK352" i="4"/>
  <c r="BL299" i="4"/>
  <c r="BK299" i="4"/>
  <c r="BK369" i="4"/>
  <c r="BL369" i="4"/>
  <c r="BK427" i="4"/>
  <c r="BL427" i="4"/>
  <c r="BK495" i="4"/>
  <c r="BL495" i="4"/>
  <c r="BL503" i="4"/>
  <c r="BK503" i="4"/>
  <c r="BL572" i="4"/>
  <c r="BK572" i="4"/>
  <c r="BL452" i="4"/>
  <c r="BK452" i="4"/>
  <c r="BL314" i="4"/>
  <c r="BK314" i="4"/>
  <c r="BL441" i="4"/>
  <c r="BK441" i="4"/>
  <c r="BL174" i="4"/>
  <c r="BK174" i="4"/>
  <c r="BK332" i="4"/>
  <c r="BL332" i="4"/>
  <c r="BL650" i="4"/>
  <c r="BK650" i="4"/>
  <c r="BL627" i="4"/>
  <c r="BK627" i="4"/>
  <c r="BL500" i="4"/>
  <c r="BK500" i="4"/>
  <c r="BL351" i="4"/>
  <c r="BK351" i="4"/>
  <c r="BK176" i="4"/>
  <c r="BL176" i="4"/>
  <c r="BL333" i="4"/>
  <c r="BK333" i="4"/>
  <c r="BL341" i="4"/>
  <c r="BK341" i="4"/>
  <c r="BL357" i="4"/>
  <c r="BK357" i="4"/>
  <c r="BK286" i="4"/>
  <c r="BL286" i="4"/>
  <c r="BL590" i="4"/>
  <c r="BK590" i="4"/>
  <c r="BK303" i="4"/>
  <c r="BL303" i="4"/>
  <c r="BL460" i="4"/>
  <c r="BK460" i="4"/>
  <c r="BL489" i="4"/>
  <c r="BK489" i="4"/>
  <c r="BL545" i="4"/>
  <c r="BK545" i="4"/>
  <c r="BK581" i="4"/>
  <c r="BL581" i="4"/>
  <c r="BK396" i="4"/>
  <c r="BL396" i="4"/>
  <c r="BL255" i="4"/>
  <c r="BK255" i="4"/>
  <c r="BK420" i="4"/>
  <c r="BL420" i="4"/>
  <c r="BL395" i="4"/>
  <c r="BK395" i="4"/>
  <c r="BL432" i="4"/>
  <c r="BK432" i="4"/>
  <c r="BL523" i="4"/>
  <c r="BK523" i="4"/>
  <c r="BK281" i="4"/>
  <c r="BL281" i="4"/>
  <c r="BK607" i="4"/>
  <c r="BL607" i="4"/>
  <c r="BL219" i="4"/>
  <c r="BK219" i="4"/>
  <c r="BL156" i="4"/>
  <c r="BK156" i="4"/>
  <c r="BK574" i="4"/>
  <c r="BL574" i="4"/>
  <c r="BL411" i="4"/>
  <c r="BK411" i="4"/>
  <c r="BL406" i="4"/>
  <c r="BK406" i="4"/>
  <c r="BL384" i="4"/>
  <c r="BK384" i="4"/>
  <c r="BK552" i="4"/>
  <c r="BL552" i="4"/>
  <c r="BK274" i="4"/>
  <c r="BL274" i="4"/>
  <c r="BK629" i="4"/>
  <c r="BL629" i="4"/>
  <c r="BL201" i="4"/>
  <c r="BK201" i="4"/>
  <c r="BK605" i="4"/>
  <c r="BL605" i="4"/>
  <c r="BK203" i="4"/>
  <c r="BL203" i="4"/>
  <c r="BK501" i="4"/>
  <c r="BL501" i="4"/>
  <c r="BK378" i="4"/>
  <c r="BL378" i="4"/>
  <c r="BL602" i="4"/>
  <c r="BK602" i="4"/>
  <c r="BK651" i="4"/>
  <c r="BL651" i="4"/>
  <c r="BK166" i="4"/>
  <c r="BL166" i="4"/>
  <c r="BK493" i="4"/>
  <c r="BL493" i="4"/>
  <c r="BL142" i="4"/>
  <c r="BK142" i="4"/>
  <c r="BK419" i="4"/>
  <c r="BL419" i="4"/>
  <c r="BK559" i="4"/>
  <c r="BL559" i="4"/>
  <c r="BL252" i="4"/>
  <c r="BK252" i="4"/>
  <c r="BK578" i="4"/>
  <c r="BL578" i="4"/>
  <c r="BL455" i="4"/>
  <c r="BK455" i="4"/>
  <c r="BL280" i="4"/>
  <c r="BK280" i="4"/>
  <c r="BL653" i="4"/>
  <c r="BK653" i="4"/>
  <c r="BL307" i="4"/>
  <c r="BK307" i="4"/>
  <c r="BL190" i="4"/>
  <c r="BK190" i="4"/>
  <c r="BK652" i="4"/>
  <c r="BL652" i="4"/>
  <c r="BK403" i="4"/>
  <c r="BL403" i="4"/>
  <c r="BL289" i="4"/>
  <c r="BK289" i="4"/>
  <c r="BL423" i="4"/>
  <c r="BK423" i="4"/>
  <c r="BL330" i="4"/>
  <c r="BK330" i="4"/>
  <c r="BK253" i="4"/>
  <c r="BL253" i="4"/>
  <c r="BK434" i="4"/>
  <c r="BL434" i="4"/>
  <c r="BL404" i="4"/>
  <c r="BK404" i="4"/>
  <c r="BK561" i="4"/>
  <c r="BL561" i="4"/>
  <c r="BL454" i="4"/>
  <c r="BK454" i="4"/>
  <c r="BL136" i="4"/>
  <c r="BK136" i="4"/>
  <c r="BL284" i="4"/>
  <c r="BK284" i="4"/>
  <c r="BK604" i="4"/>
  <c r="BL604" i="4"/>
  <c r="BK486" i="4"/>
  <c r="BL486" i="4"/>
  <c r="BL228" i="4"/>
  <c r="BK228" i="4"/>
  <c r="BL143" i="4"/>
  <c r="BK143" i="4"/>
  <c r="BK412" i="4"/>
  <c r="BL412" i="4"/>
  <c r="BL626" i="4"/>
  <c r="BK626" i="4"/>
  <c r="BK251" i="4"/>
  <c r="BL251" i="4"/>
  <c r="BL478" i="4"/>
  <c r="BK478" i="4"/>
  <c r="BK296" i="4"/>
  <c r="BL296" i="4"/>
  <c r="BK589" i="4"/>
  <c r="BL589" i="4"/>
  <c r="BL224" i="4"/>
  <c r="BK224" i="4"/>
  <c r="BK565" i="4"/>
  <c r="BL565" i="4"/>
  <c r="BK494" i="4"/>
  <c r="BL494" i="4"/>
  <c r="BK647" i="4"/>
  <c r="BL647" i="4"/>
  <c r="BK189" i="4"/>
  <c r="BL189" i="4"/>
  <c r="BL424" i="4"/>
  <c r="BK424" i="4"/>
  <c r="BK126" i="4"/>
  <c r="BL126" i="4"/>
  <c r="BL435" i="4"/>
  <c r="BK435" i="4"/>
  <c r="BL393" i="4"/>
  <c r="BK393" i="4"/>
  <c r="BL389" i="4"/>
  <c r="BK389" i="4"/>
  <c r="BK353" i="4"/>
  <c r="BL353" i="4"/>
  <c r="BK204" i="4"/>
  <c r="BL204" i="4"/>
  <c r="BK655" i="4"/>
  <c r="BL655" i="4"/>
  <c r="BL440" i="4"/>
  <c r="BK440" i="4"/>
  <c r="BK146" i="4"/>
  <c r="BL146" i="4"/>
  <c r="BK162" i="4"/>
  <c r="BL162" i="4"/>
  <c r="BL490" i="4"/>
  <c r="BK490" i="4"/>
  <c r="BL343" i="4"/>
  <c r="BK343" i="4"/>
  <c r="BL370" i="4"/>
  <c r="BK370" i="4"/>
  <c r="BK391" i="4"/>
  <c r="BL391" i="4"/>
  <c r="BK376" i="4"/>
  <c r="BL376" i="4"/>
  <c r="BK205" i="4"/>
  <c r="BL205" i="4"/>
  <c r="BL522" i="4"/>
  <c r="BK522" i="4"/>
  <c r="BK446" i="4"/>
  <c r="BL446" i="4"/>
  <c r="BL425" i="4"/>
  <c r="BK425" i="4"/>
  <c r="BL400" i="4"/>
  <c r="BK400" i="4"/>
  <c r="BK360" i="4"/>
  <c r="BL360" i="4"/>
  <c r="BK482" i="4"/>
  <c r="BL482" i="4"/>
  <c r="BK405" i="4"/>
  <c r="BL405" i="4"/>
  <c r="BL366" i="4"/>
  <c r="BK366" i="4"/>
  <c r="BK451" i="4"/>
  <c r="BL451" i="4"/>
  <c r="BL639" i="4"/>
  <c r="BK639" i="4"/>
  <c r="BK216" i="4"/>
  <c r="BL216" i="4"/>
  <c r="BK138" i="4"/>
  <c r="BL138" i="4"/>
  <c r="BL564" i="4"/>
  <c r="BK564" i="4"/>
  <c r="BL624" i="4"/>
  <c r="BK624" i="4"/>
  <c r="BK580" i="4"/>
  <c r="BL580" i="4"/>
  <c r="BL210" i="4"/>
  <c r="BK210" i="4"/>
  <c r="BL229" i="4"/>
  <c r="BK229" i="4"/>
  <c r="BL577" i="4"/>
  <c r="BK577" i="4"/>
  <c r="BL271" i="4"/>
  <c r="BK271" i="4"/>
  <c r="BK491" i="4"/>
  <c r="BL491" i="4"/>
  <c r="BL645" i="4"/>
  <c r="BK645" i="4"/>
  <c r="BL438" i="4"/>
  <c r="BK438" i="4"/>
  <c r="BL150" i="4"/>
  <c r="BK150" i="4"/>
  <c r="BK305" i="4"/>
  <c r="BL305" i="4"/>
  <c r="BK428" i="4"/>
  <c r="BL428" i="4"/>
  <c r="BK401" i="4"/>
  <c r="BL401" i="4"/>
  <c r="BK321" i="4"/>
  <c r="BL321" i="4"/>
  <c r="BK558" i="4"/>
  <c r="BL558" i="4"/>
  <c r="BK211" i="4"/>
  <c r="BL211" i="4"/>
  <c r="BK483" i="4"/>
  <c r="BL483" i="4"/>
  <c r="BL322" i="4"/>
  <c r="BK322" i="4"/>
  <c r="BK642" i="4"/>
  <c r="BL642" i="4"/>
  <c r="BK549" i="4"/>
  <c r="BL549" i="4"/>
  <c r="BK234" i="4"/>
  <c r="BL234" i="4"/>
  <c r="BL612" i="4"/>
  <c r="BK612" i="4"/>
  <c r="BL157" i="4"/>
  <c r="BK157" i="4"/>
  <c r="BK337" i="4"/>
  <c r="BL337" i="4"/>
  <c r="BL431" i="4"/>
  <c r="BK431" i="4"/>
  <c r="BL247" i="4"/>
  <c r="BK247" i="4"/>
  <c r="BK207" i="4"/>
  <c r="BL207" i="4"/>
  <c r="BL359" i="4"/>
  <c r="BK359" i="4"/>
  <c r="BK610" i="4"/>
  <c r="BL610" i="4"/>
  <c r="BK598" i="4"/>
  <c r="BL598" i="4"/>
  <c r="BK613" i="4"/>
  <c r="BL613" i="4"/>
  <c r="BK329" i="4"/>
  <c r="BL329" i="4"/>
  <c r="BL394" i="4"/>
  <c r="BK394" i="4"/>
  <c r="BK250" i="4"/>
  <c r="BL250" i="4"/>
  <c r="BK480" i="4"/>
  <c r="BL480" i="4"/>
  <c r="BL340" i="4"/>
  <c r="BK340" i="4"/>
  <c r="BK287" i="4"/>
  <c r="BL287" i="4"/>
  <c r="BL422" i="4"/>
  <c r="BK422" i="4"/>
  <c r="BK169" i="4"/>
  <c r="BL169" i="4"/>
  <c r="BK159" i="4"/>
  <c r="BL159" i="4"/>
  <c r="BK461" i="4"/>
  <c r="BL461" i="4"/>
  <c r="BK497" i="4"/>
  <c r="BL497" i="4"/>
  <c r="BK542" i="4"/>
  <c r="BL542" i="4"/>
  <c r="BK316" i="4"/>
  <c r="BL316" i="4"/>
  <c r="M19" i="16"/>
  <c r="M18" i="9"/>
  <c r="M22" i="24"/>
  <c r="M23" i="30"/>
  <c r="M21" i="29"/>
  <c r="J30" i="4"/>
  <c r="BJ120" i="4"/>
  <c r="BK131" i="4"/>
  <c r="BL131" i="4"/>
  <c r="J28" i="4"/>
  <c r="M40" i="30"/>
  <c r="BK120" i="4"/>
  <c r="J38" i="4"/>
  <c r="M43" i="30"/>
  <c r="BL120" i="4"/>
  <c r="T95" i="4"/>
  <c r="B18" i="4"/>
  <c r="J12" i="4"/>
</calcChain>
</file>

<file path=xl/sharedStrings.xml><?xml version="1.0" encoding="utf-8"?>
<sst xmlns="http://schemas.openxmlformats.org/spreadsheetml/2006/main" count="1249" uniqueCount="711">
  <si>
    <t>V</t>
  </si>
  <si>
    <t>ILED</t>
  </si>
  <si>
    <t>A</t>
  </si>
  <si>
    <t>Ω</t>
  </si>
  <si>
    <t>kHz</t>
  </si>
  <si>
    <t>RCOIL</t>
  </si>
  <si>
    <t>Issue</t>
  </si>
  <si>
    <t>INPUTS</t>
  </si>
  <si>
    <t>▼</t>
  </si>
  <si>
    <t>RESULTS</t>
  </si>
  <si>
    <t>N</t>
  </si>
  <si>
    <t>Number of LEDs</t>
  </si>
  <si>
    <t>LED forward voltage</t>
  </si>
  <si>
    <t>VINMIN</t>
  </si>
  <si>
    <t>VINMAX</t>
  </si>
  <si>
    <t>Minimum input supply voltage</t>
  </si>
  <si>
    <t>Maximum input supply voltage</t>
  </si>
  <si>
    <t>nC</t>
  </si>
  <si>
    <t>RTHMOS</t>
  </si>
  <si>
    <t>RTHFW</t>
  </si>
  <si>
    <t>VFLED</t>
  </si>
  <si>
    <t>Mean input supply voltage</t>
  </si>
  <si>
    <t>GI_ADJ</t>
  </si>
  <si>
    <t>RS</t>
  </si>
  <si>
    <t>RGI1</t>
  </si>
  <si>
    <t>kΩ</t>
  </si>
  <si>
    <t>RGI2</t>
  </si>
  <si>
    <t>W</t>
  </si>
  <si>
    <t>µH</t>
  </si>
  <si>
    <t>IGATE</t>
  </si>
  <si>
    <t>IINEST</t>
  </si>
  <si>
    <t>VSATEST</t>
  </si>
  <si>
    <t>%</t>
  </si>
  <si>
    <t>RON</t>
  </si>
  <si>
    <t>VADJ</t>
  </si>
  <si>
    <t>QGSW</t>
  </si>
  <si>
    <t>VDSOFF</t>
  </si>
  <si>
    <t>°C</t>
  </si>
  <si>
    <t>L</t>
  </si>
  <si>
    <t>Total loss</t>
  </si>
  <si>
    <t>Output power to LEDs</t>
  </si>
  <si>
    <t>Tamb</t>
  </si>
  <si>
    <t>-40 to +125°C</t>
  </si>
  <si>
    <t>TONEST</t>
  </si>
  <si>
    <t>s</t>
  </si>
  <si>
    <t>FINIT</t>
  </si>
  <si>
    <t>Sense resistors</t>
  </si>
  <si>
    <t>E24</t>
  </si>
  <si>
    <t>E6</t>
  </si>
  <si>
    <t>E12</t>
  </si>
  <si>
    <t>E48</t>
  </si>
  <si>
    <t>E96</t>
  </si>
  <si>
    <t>E192</t>
  </si>
  <si>
    <t>DMAXEST</t>
  </si>
  <si>
    <t>Estimated maximum duty cycle</t>
  </si>
  <si>
    <t>as a fraction</t>
  </si>
  <si>
    <t>Schottky max VR</t>
  </si>
  <si>
    <t>IINMAXEST</t>
  </si>
  <si>
    <t>PINMAXEST</t>
  </si>
  <si>
    <t>Estimated maximum input current (90% eff)</t>
  </si>
  <si>
    <t>Estimated max input power</t>
  </si>
  <si>
    <t>IRMSMAXEST</t>
  </si>
  <si>
    <t>MOSFET max rms current, estimate</t>
  </si>
  <si>
    <t>VDSMAX</t>
  </si>
  <si>
    <t>p44ff, Eqn. No.</t>
  </si>
  <si>
    <t>Log bk 5</t>
  </si>
  <si>
    <t>LEST</t>
  </si>
  <si>
    <t>TONMAXEST</t>
  </si>
  <si>
    <t>Estimated switch maximum ON time</t>
  </si>
  <si>
    <t>DMIDEST</t>
  </si>
  <si>
    <t>Estimated duty cycle, design centre</t>
  </si>
  <si>
    <t>5 (VINMIN)</t>
  </si>
  <si>
    <t>5 (VINAV)</t>
  </si>
  <si>
    <t>ICOILEST</t>
  </si>
  <si>
    <t>1 (VINAV)</t>
  </si>
  <si>
    <t>1 (VINMIN)</t>
  </si>
  <si>
    <t>12 (VINAV)</t>
  </si>
  <si>
    <t>ICOILMAXEST</t>
  </si>
  <si>
    <t>12 (VINMIN)</t>
  </si>
  <si>
    <t>Estimated mean coil current, centre</t>
  </si>
  <si>
    <t>Estimated maximum mean coil current</t>
  </si>
  <si>
    <t>RDSONEST</t>
  </si>
  <si>
    <t>This includes temperature factor</t>
  </si>
  <si>
    <t>6 (VINMIN)</t>
  </si>
  <si>
    <t>Estimated switch ON time, design centre</t>
  </si>
  <si>
    <t>6 (VINAV)</t>
  </si>
  <si>
    <t>MOSFET selection Q1</t>
  </si>
  <si>
    <t>Schottky selection D1</t>
  </si>
  <si>
    <t>RFACTOR 100C</t>
  </si>
  <si>
    <t>VRMAX</t>
  </si>
  <si>
    <t>Part Number</t>
  </si>
  <si>
    <t>Value, µH</t>
  </si>
  <si>
    <t>Imax (-10%), A</t>
  </si>
  <si>
    <t>Winding R, mΩ</t>
  </si>
  <si>
    <t>Estimated input current (90%eff), centre</t>
  </si>
  <si>
    <t xml:space="preserve">Criteria: </t>
  </si>
  <si>
    <t>1. Match inductance</t>
  </si>
  <si>
    <t>3. ICOIL&lt;Imax(-10%)</t>
  </si>
  <si>
    <t>RCOILEST</t>
  </si>
  <si>
    <t>R - RCOILEST, Ω</t>
  </si>
  <si>
    <t>Imax - ILMAXEST</t>
  </si>
  <si>
    <t>ILMAXEST</t>
  </si>
  <si>
    <t>L - LEST, µH, ABS</t>
  </si>
  <si>
    <t>Table index</t>
  </si>
  <si>
    <t>(VINMIN)</t>
  </si>
  <si>
    <t>Package</t>
  </si>
  <si>
    <t>BVDSS min, V</t>
  </si>
  <si>
    <t>RDSON 25C, Ω</t>
  </si>
  <si>
    <t>Qgtot 10V, nC</t>
  </si>
  <si>
    <t>Qgs, nC</t>
  </si>
  <si>
    <t>Qgd, nC</t>
  </si>
  <si>
    <t>tr, ns</t>
  </si>
  <si>
    <t>tf, ns</t>
  </si>
  <si>
    <t>Criteria:</t>
  </si>
  <si>
    <t>1.  BVDSS&gt;VDSMAX</t>
  </si>
  <si>
    <t>ID max, A</t>
  </si>
  <si>
    <t>Estimated coil resistance to give 4% winding loss</t>
  </si>
  <si>
    <t>Estimated maximum coil current, ±10% ripple</t>
  </si>
  <si>
    <t>TO252</t>
  </si>
  <si>
    <t>IMOSMAXEST</t>
  </si>
  <si>
    <t>PSWMAXEST</t>
  </si>
  <si>
    <t>Coils meeting criteria</t>
  </si>
  <si>
    <t>MOSFETs meeting criteria</t>
  </si>
  <si>
    <t>Diodes meeting criteria</t>
  </si>
  <si>
    <r>
      <t>I</t>
    </r>
    <r>
      <rPr>
        <b/>
        <vertAlign val="subscript"/>
        <sz val="8"/>
        <rFont val="Trebuchet MS"/>
        <family val="2"/>
      </rPr>
      <t>AV</t>
    </r>
  </si>
  <si>
    <t>Thetaja °C/W</t>
  </si>
  <si>
    <t>(max copper)</t>
  </si>
  <si>
    <t>Coil selection (E6 values)</t>
  </si>
  <si>
    <t>(E6 values)</t>
  </si>
  <si>
    <r>
      <t>Leakage, I</t>
    </r>
    <r>
      <rPr>
        <b/>
        <vertAlign val="subscript"/>
        <sz val="8"/>
        <rFont val="Trebuchet MS"/>
        <family val="2"/>
      </rPr>
      <t>R</t>
    </r>
    <r>
      <rPr>
        <b/>
        <sz val="8"/>
        <rFont val="Trebuchet MS"/>
        <family val="2"/>
      </rPr>
      <t xml:space="preserve">  mA</t>
    </r>
  </si>
  <si>
    <r>
      <t>2.  I</t>
    </r>
    <r>
      <rPr>
        <vertAlign val="subscript"/>
        <sz val="8"/>
        <rFont val="Trebuchet MS"/>
        <family val="2"/>
      </rPr>
      <t>AV</t>
    </r>
    <r>
      <rPr>
        <sz val="8"/>
        <rFont val="Trebuchet MS"/>
        <family val="2"/>
      </rPr>
      <t>&gt;IMOSMAXEST</t>
    </r>
  </si>
  <si>
    <t>2.  IDmax&gt;IMOSMAXEST</t>
  </si>
  <si>
    <r>
      <t>V</t>
    </r>
    <r>
      <rPr>
        <b/>
        <vertAlign val="subscript"/>
        <sz val="8"/>
        <rFont val="Trebuchet MS"/>
        <family val="2"/>
      </rPr>
      <t>F</t>
    </r>
    <r>
      <rPr>
        <b/>
        <sz val="8"/>
        <rFont val="Trebuchet MS"/>
        <family val="2"/>
      </rPr>
      <t xml:space="preserve"> typ @ I</t>
    </r>
    <r>
      <rPr>
        <b/>
        <vertAlign val="subscript"/>
        <sz val="8"/>
        <rFont val="Trebuchet MS"/>
        <family val="2"/>
      </rPr>
      <t>AV</t>
    </r>
  </si>
  <si>
    <t>VBR min</t>
  </si>
  <si>
    <t>Tjmax °C</t>
  </si>
  <si>
    <t>PSDMAXEST</t>
  </si>
  <si>
    <t>Value</t>
  </si>
  <si>
    <t>3.  Tjmax&gt;TAMB+thetaja*PSDMAXEST</t>
  </si>
  <si>
    <t>Note: low leakage types have been selected</t>
  </si>
  <si>
    <t>1.  VBR&gt;VRMAX</t>
  </si>
  <si>
    <r>
      <t>typ, 80% V</t>
    </r>
    <r>
      <rPr>
        <vertAlign val="subscript"/>
        <sz val="8"/>
        <rFont val="Trebuchet MS"/>
        <family val="2"/>
      </rPr>
      <t>R</t>
    </r>
    <r>
      <rPr>
        <sz val="8"/>
        <rFont val="Trebuchet MS"/>
        <family val="2"/>
      </rPr>
      <t>, 100C</t>
    </r>
  </si>
  <si>
    <t>SMB</t>
  </si>
  <si>
    <t>PowerDI5</t>
  </si>
  <si>
    <t>Initial Calculated Estimates for Component Selection</t>
  </si>
  <si>
    <t>Calculation of final system parameters</t>
  </si>
  <si>
    <t>LED current (target)</t>
  </si>
  <si>
    <t>Sense resistor, initial calculation based on target ILED</t>
  </si>
  <si>
    <t>RSINIT</t>
  </si>
  <si>
    <t>Intermediate parameters</t>
  </si>
  <si>
    <t>GI_ADJ_INIT</t>
  </si>
  <si>
    <t>ILEDF</t>
  </si>
  <si>
    <t>Final LED current</t>
  </si>
  <si>
    <t>GI_ADJ_INT</t>
  </si>
  <si>
    <t>Ratio, VGI/VADJ, calculated from RS</t>
  </si>
  <si>
    <t>15a</t>
  </si>
  <si>
    <t>Final GI_ADJ</t>
  </si>
  <si>
    <t>GI_err</t>
  </si>
  <si>
    <t>Not used if BUCK</t>
  </si>
  <si>
    <t>0 if BUCK</t>
  </si>
  <si>
    <t>Vin</t>
  </si>
  <si>
    <t>MOSFET max drain voltage (VFFW estimated 0.5V)</t>
  </si>
  <si>
    <t>MOSFET ON resistance, high temp  [RDSON*RFACTOR]</t>
  </si>
  <si>
    <t>Coil winding resistance</t>
  </si>
  <si>
    <t>Duty Cycle, BUCK</t>
  </si>
  <si>
    <t>Duty Cycle BB</t>
  </si>
  <si>
    <t>Iin (new estimate, 90% eff)</t>
  </si>
  <si>
    <t>[25]</t>
  </si>
  <si>
    <t>[26]</t>
  </si>
  <si>
    <t>[27]</t>
  </si>
  <si>
    <t>[28]</t>
  </si>
  <si>
    <t>[29]</t>
  </si>
  <si>
    <t>[Eqn no. 1, Book 5, p44]</t>
  </si>
  <si>
    <t>(15)</t>
  </si>
  <si>
    <t>Optimum selection from E24 series</t>
  </si>
  <si>
    <t>See Passives sheet</t>
  </si>
  <si>
    <t>for selected coil</t>
  </si>
  <si>
    <t>for selected FET</t>
  </si>
  <si>
    <t>1370 data sheet</t>
  </si>
  <si>
    <t>Duty Cycle, BOOST</t>
  </si>
  <si>
    <t>ICOIL mean est</t>
  </si>
  <si>
    <t>Large coil, 22uH</t>
  </si>
  <si>
    <t>Large coil, 15uH</t>
  </si>
  <si>
    <t>ton @ FINIT</t>
  </si>
  <si>
    <t>[31]</t>
  </si>
  <si>
    <t>[34]</t>
  </si>
  <si>
    <t>[32]</t>
  </si>
  <si>
    <r>
      <t xml:space="preserve">Ripple </t>
    </r>
    <r>
      <rPr>
        <b/>
        <sz val="8"/>
        <rFont val="Arial"/>
        <family val="2"/>
      </rPr>
      <t>Δ</t>
    </r>
    <r>
      <rPr>
        <b/>
        <sz val="8"/>
        <rFont val="Trebuchet MS"/>
        <family val="2"/>
      </rPr>
      <t>I @ FINIT</t>
    </r>
  </si>
  <si>
    <t>Minimum ripple %age</t>
  </si>
  <si>
    <t>RIPLOW</t>
  </si>
  <si>
    <t>RIPHIGH</t>
  </si>
  <si>
    <t>Maximum ripple %age</t>
  </si>
  <si>
    <t>Inductor value (final)</t>
  </si>
  <si>
    <t>[33]</t>
  </si>
  <si>
    <t>Ripple ±% low limit</t>
  </si>
  <si>
    <t>Ripple ±% high limit</t>
  </si>
  <si>
    <t>Ripple p-p low limit, A</t>
  </si>
  <si>
    <t>Ripple p-p high limit, A</t>
  </si>
  <si>
    <t>Final ripple p-p, A</t>
  </si>
  <si>
    <t>Final Frequency, kHz</t>
  </si>
  <si>
    <t>[36]</t>
  </si>
  <si>
    <t>[37]</t>
  </si>
  <si>
    <t>Large coil, 33uH</t>
  </si>
  <si>
    <t>Large coil, 47uH</t>
  </si>
  <si>
    <t>Large coil, 68uH</t>
  </si>
  <si>
    <t>Large coil, 100uH</t>
  </si>
  <si>
    <t>Large coil, 150uH</t>
  </si>
  <si>
    <t>Large coil, 220uH</t>
  </si>
  <si>
    <t>Large coil, 330uH</t>
  </si>
  <si>
    <t>GRAPH DATA</t>
  </si>
  <si>
    <t>Coil V drop</t>
  </si>
  <si>
    <t>[38]</t>
  </si>
  <si>
    <t>[39]</t>
  </si>
  <si>
    <t>VSAT final</t>
  </si>
  <si>
    <t>[40]</t>
  </si>
  <si>
    <t>ICOIL mean,final</t>
  </si>
  <si>
    <t>2. RCOIL&lt;value for 4% winding loss</t>
  </si>
  <si>
    <t>Duty cycle, final</t>
  </si>
  <si>
    <t>COMPONENT SELECTIONS</t>
  </si>
  <si>
    <t>Power in RS</t>
  </si>
  <si>
    <t>[42]</t>
  </si>
  <si>
    <t>ICOIL peak, A</t>
  </si>
  <si>
    <t>ICOIL valley, A</t>
  </si>
  <si>
    <t xml:space="preserve">IMOSFET rms, A </t>
  </si>
  <si>
    <t>SWITCH LOSS, W</t>
  </si>
  <si>
    <t>[45]</t>
  </si>
  <si>
    <t>[44]</t>
  </si>
  <si>
    <t>[48]</t>
  </si>
  <si>
    <t>[49]</t>
  </si>
  <si>
    <t>[47]</t>
  </si>
  <si>
    <t>[46]</t>
  </si>
  <si>
    <t>IQ</t>
  </si>
  <si>
    <t>ZXLD1370 Available MOSFET gate current ±</t>
  </si>
  <si>
    <t>[50]</t>
  </si>
  <si>
    <t>[51]</t>
  </si>
  <si>
    <t>Coil Loss</t>
  </si>
  <si>
    <t>ZXLD1370 gate drive voltage</t>
  </si>
  <si>
    <t>VGATEH</t>
  </si>
  <si>
    <t>QGTOT</t>
  </si>
  <si>
    <t>MOSFET total gate charge @ 10V</t>
  </si>
  <si>
    <t>MOSFET switching charge (Qgs  + Qgd)</t>
  </si>
  <si>
    <t>PLEDS</t>
  </si>
  <si>
    <t>ICOIL rms</t>
  </si>
  <si>
    <t>Winding loss</t>
  </si>
  <si>
    <t>Core loss (est)</t>
  </si>
  <si>
    <t>Efficiency</t>
  </si>
  <si>
    <t>Input Power</t>
  </si>
  <si>
    <t>PLEDS + loss</t>
  </si>
  <si>
    <t>VRS mean</t>
  </si>
  <si>
    <t>Reverse  loss</t>
  </si>
  <si>
    <t>Schottky</t>
  </si>
  <si>
    <t>Forward loss</t>
  </si>
  <si>
    <t>MOSFET</t>
  </si>
  <si>
    <t>VF</t>
  </si>
  <si>
    <t>Input Current, final</t>
  </si>
  <si>
    <t>K/W</t>
  </si>
  <si>
    <t>TJMAXMOS</t>
  </si>
  <si>
    <t>TJMAXFW</t>
  </si>
  <si>
    <t>MOSFET Tj</t>
  </si>
  <si>
    <t>Schottky Diss</t>
  </si>
  <si>
    <t>MOSFET Diss</t>
  </si>
  <si>
    <t>Schottky Tj</t>
  </si>
  <si>
    <t>Schottky max power, estimate (4% PINMAXEST)</t>
  </si>
  <si>
    <t>MOSFET max power, estimate (8% PINMAXEST)</t>
  </si>
  <si>
    <t>Electrical efficiency @ VINMIN</t>
  </si>
  <si>
    <t>Electrical efficiency @ VINMAX</t>
  </si>
  <si>
    <t>(Sense resistor)</t>
  </si>
  <si>
    <t>RTH</t>
  </si>
  <si>
    <t>ZXLD1370 thermal resistance, junction to ambient</t>
  </si>
  <si>
    <t>MOSFET maximum rated junction temperature</t>
  </si>
  <si>
    <t>Schottky maximum rated junction temperature</t>
  </si>
  <si>
    <t>Coil current, peak max</t>
  </si>
  <si>
    <t>Input current, max</t>
  </si>
  <si>
    <t>Schottky diode</t>
  </si>
  <si>
    <t>Sense resistor</t>
  </si>
  <si>
    <t>Coil</t>
  </si>
  <si>
    <t>ZXLD1370</t>
  </si>
  <si>
    <t>Input power</t>
  </si>
  <si>
    <t>Output power</t>
  </si>
  <si>
    <t>12x12x4.6h</t>
  </si>
  <si>
    <t>12.3x12.3x8h</t>
  </si>
  <si>
    <t>Next larger to min:</t>
  </si>
  <si>
    <t>L - LEST, µH</t>
  </si>
  <si>
    <t>Min Abs:</t>
  </si>
  <si>
    <t>rank (not used)</t>
  </si>
  <si>
    <t>E6 ratio</t>
  </si>
  <si>
    <t>(1)</t>
  </si>
  <si>
    <t>1/E66 atio</t>
  </si>
  <si>
    <t>Ileak, A</t>
  </si>
  <si>
    <t>(unlimited)</t>
  </si>
  <si>
    <t>(not used)</t>
  </si>
  <si>
    <t>VINMIN+0.2V to 60V</t>
  </si>
  <si>
    <t>Need to enter pats in ascending voltage order - lower BVDSS first</t>
  </si>
  <si>
    <t>3rd smallest</t>
  </si>
  <si>
    <t>7.3x7.3x3.2h</t>
  </si>
  <si>
    <t>12x12x4.5h</t>
  </si>
  <si>
    <t>IAV</t>
  </si>
  <si>
    <t>Leakage, IR  mA</t>
  </si>
  <si>
    <t>VF typ @ IAV</t>
  </si>
  <si>
    <t>3rd smallest unique</t>
  </si>
  <si>
    <t>12x12x6h</t>
  </si>
  <si>
    <t>Wurth 74477110  [10µH]</t>
  </si>
  <si>
    <t>Wurth 744771115  [15µH]</t>
  </si>
  <si>
    <t>Wurth 744771122  [22µH]</t>
  </si>
  <si>
    <t>Wurth 744778133  [33µH]</t>
  </si>
  <si>
    <t>Wurth 7447715330  [33µH]</t>
  </si>
  <si>
    <t>Wurth 7447715100  [10µH]</t>
  </si>
  <si>
    <t>Wurth 7447715220  [22µH]</t>
  </si>
  <si>
    <t>Wurth 7447715470  [47µH]</t>
  </si>
  <si>
    <t>Wurth 7447715101  [100µH]</t>
  </si>
  <si>
    <t>Wurth 7447715221  [220µH]</t>
  </si>
  <si>
    <t>Wurth 744771133  [33µH]</t>
  </si>
  <si>
    <t>Wurth 744771147  [47µH]</t>
  </si>
  <si>
    <t>Wurth 744771168  [68µH]</t>
  </si>
  <si>
    <t>Wurth 74477120  [100µH]</t>
  </si>
  <si>
    <t>Wurth 744771215  [150µH]</t>
  </si>
  <si>
    <t>Winding R, typ, mΩ</t>
  </si>
  <si>
    <t>Wurth 744771220  [220µH]</t>
  </si>
  <si>
    <t>Wurth 744771233  [330µH]</t>
  </si>
  <si>
    <t>Wurth 74477124  [470µH]</t>
  </si>
  <si>
    <t>Wurth 74477010  [10µH]</t>
  </si>
  <si>
    <t>12x12x8h</t>
  </si>
  <si>
    <t>Wurth 744770115  [15µH]</t>
  </si>
  <si>
    <t>Wurth 744770122  [22µH]</t>
  </si>
  <si>
    <t>Wurth 744770133  [33µH]</t>
  </si>
  <si>
    <t>Wurth 744770147  [47µH]</t>
  </si>
  <si>
    <t>Wurth 744770168  [68µH]</t>
  </si>
  <si>
    <t>Wurth 74477020 [100µH]</t>
  </si>
  <si>
    <t>Wurth 744770215  [150µH]</t>
  </si>
  <si>
    <t>Wurth 744770222  [220µH]</t>
  </si>
  <si>
    <t>Wurth 744770233  [330µH]</t>
  </si>
  <si>
    <t>Wurth 744770247  [470µH]</t>
  </si>
  <si>
    <t>Wurth 7447709100  [10µH]</t>
  </si>
  <si>
    <t>12x12x10h</t>
  </si>
  <si>
    <t>Wurth 7447709150  [15µH]</t>
  </si>
  <si>
    <t>Wurth 7447709220  [22µH]</t>
  </si>
  <si>
    <t>Wurth 7447709330  [33µH]</t>
  </si>
  <si>
    <t>Wurth 7447709680  [68µH]</t>
  </si>
  <si>
    <t>Wurth 7447709470  [47µH]</t>
  </si>
  <si>
    <t>Wurth 7447709101  [100µH]</t>
  </si>
  <si>
    <t>Wurth 7447709151  [150µH]</t>
  </si>
  <si>
    <t>Wurth 7447709221  [220µH]</t>
  </si>
  <si>
    <t>Wurth 7447709331  [330µH]</t>
  </si>
  <si>
    <t>Wurth 7447709471  [470µH]</t>
  </si>
  <si>
    <t>Freq; Assume 330kHz for Buck, else 300kHz</t>
  </si>
  <si>
    <t>not used</t>
  </si>
  <si>
    <t>final ripple +/-%</t>
  </si>
  <si>
    <t>Enter your LED driver requirements here</t>
  </si>
  <si>
    <t>Estimated optimum inductance, ±15% ripple</t>
  </si>
  <si>
    <t>RIPMID</t>
  </si>
  <si>
    <t>Estimated +/- % ripple</t>
  </si>
  <si>
    <t>(UK distributor, E12 +...)</t>
  </si>
  <si>
    <t>(Gain set resistor)</t>
  </si>
  <si>
    <t>4.  RDSON*RFACTOR&lt;RDSONEST - 3rd choice &lt;5*RDSONEST</t>
  </si>
  <si>
    <t>[3.  Tjmax&gt;TAMB+thetaja*PSWMAXEST - not applied]</t>
  </si>
  <si>
    <t>MOSFET RDS(ON) required for &lt;6% conduction loss</t>
  </si>
  <si>
    <t>Input ripple, A</t>
  </si>
  <si>
    <t>Output ripple, A</t>
  </si>
  <si>
    <t>VRIPIN</t>
  </si>
  <si>
    <t>VRIPOUT</t>
  </si>
  <si>
    <t>Input ripple voltage</t>
  </si>
  <si>
    <t>Output ripple voltage</t>
  </si>
  <si>
    <t>Output C, µF</t>
  </si>
  <si>
    <t>Input C, µF</t>
  </si>
  <si>
    <t>µF</t>
  </si>
  <si>
    <t>Input decoupling capacitance to meet VRIPIN</t>
  </si>
  <si>
    <t>Output decoupling capacitance to meet VRIPOUT</t>
  </si>
  <si>
    <t>CIN</t>
  </si>
  <si>
    <t>COUT</t>
  </si>
  <si>
    <t>[58]</t>
  </si>
  <si>
    <t>C, µF</t>
  </si>
  <si>
    <t>High current Schottky</t>
  </si>
  <si>
    <t>0.05 to 10A</t>
  </si>
  <si>
    <t>TJMAX</t>
  </si>
  <si>
    <t>ZXLD1370 maximum recommended junction temperature</t>
  </si>
  <si>
    <t>Ambient temperature, maximum</t>
  </si>
  <si>
    <t>Dissipation limiting required?</t>
  </si>
  <si>
    <t>DISSLIM</t>
  </si>
  <si>
    <t>LOWV</t>
  </si>
  <si>
    <t>tsw, ns</t>
  </si>
  <si>
    <t>Conductn Loss</t>
  </si>
  <si>
    <t>Initial ADJ input voltage (ADJ connected to REF)</t>
  </si>
  <si>
    <t>VAUX</t>
  </si>
  <si>
    <t>CONFIG</t>
  </si>
  <si>
    <t>Topology</t>
  </si>
  <si>
    <t>VIN IQ Loss</t>
  </si>
  <si>
    <t>IQAUX</t>
  </si>
  <si>
    <t>ZXLD1370 quiescent VIN supply current</t>
  </si>
  <si>
    <t>ZXLD1370 quiescent AUX supply current</t>
  </si>
  <si>
    <t>1370 diss, final</t>
  </si>
  <si>
    <t>VAUX loss</t>
  </si>
  <si>
    <t>1370 junction temperature if dissipation limiting not used, max</t>
  </si>
  <si>
    <t>1370 dissipation if dissipation limiting not used, max</t>
  </si>
  <si>
    <t>VAUX Loss, final</t>
  </si>
  <si>
    <t>no disslim</t>
  </si>
  <si>
    <t>DISSNOLIM</t>
  </si>
  <si>
    <t>TJNOLIM</t>
  </si>
  <si>
    <t>R1</t>
  </si>
  <si>
    <t>R2</t>
  </si>
  <si>
    <t>Second sense resistor</t>
  </si>
  <si>
    <t>First sense resistor, selected</t>
  </si>
  <si>
    <t>Second sense resistor, initial calculation</t>
  </si>
  <si>
    <t>VALR1</t>
  </si>
  <si>
    <t>VALR2INIT</t>
  </si>
  <si>
    <t>VALR2</t>
  </si>
  <si>
    <t>R</t>
  </si>
  <si>
    <t>Sense resistor, final parallel value</t>
  </si>
  <si>
    <t>Input capacitance required, min</t>
  </si>
  <si>
    <t>VAUX bootstrap required?</t>
  </si>
  <si>
    <t>If input voltage is higher than about 12V</t>
  </si>
  <si>
    <t>If input voltage is lower than about 10V, bootstrap</t>
  </si>
  <si>
    <t>may be needed in Boost or Buck-Boost.</t>
  </si>
  <si>
    <t>(Not possible in Buck with single supply)</t>
  </si>
  <si>
    <t>PARTS LIST</t>
  </si>
  <si>
    <t>Quantity</t>
  </si>
  <si>
    <t>Ref</t>
  </si>
  <si>
    <t>Description</t>
  </si>
  <si>
    <t>U1</t>
  </si>
  <si>
    <t>Q1</t>
  </si>
  <si>
    <t>L1</t>
  </si>
  <si>
    <t>C1</t>
  </si>
  <si>
    <t>Capacitor, 1µF, X7R, 100V, 1206</t>
  </si>
  <si>
    <t>VALC3</t>
  </si>
  <si>
    <t>Input decoupling C3 and C4</t>
  </si>
  <si>
    <t>C3, C4</t>
  </si>
  <si>
    <t>Topology:</t>
  </si>
  <si>
    <t>BUCK</t>
  </si>
  <si>
    <t>Large coil, 10uH</t>
  </si>
  <si>
    <t>C9</t>
  </si>
  <si>
    <t>Capacitor, 0.1µF, X7R, 100V, 0805</t>
  </si>
  <si>
    <t>CONDITIONS</t>
  </si>
  <si>
    <t>PERFORMANCE</t>
  </si>
  <si>
    <t>V, max</t>
  </si>
  <si>
    <t>TAMB</t>
  </si>
  <si>
    <t>VOUT</t>
  </si>
  <si>
    <t>LED current</t>
  </si>
  <si>
    <t>Efficiency at VINMAX</t>
  </si>
  <si>
    <t>Efficiency at VINMIN</t>
  </si>
  <si>
    <t>BUCK with dissipation limiting</t>
  </si>
  <si>
    <t>R11, R13</t>
  </si>
  <si>
    <t>Resistor, 10k, 0.25W, 1206</t>
  </si>
  <si>
    <t>D1</t>
  </si>
  <si>
    <t>Number of LEDS</t>
  </si>
  <si>
    <t>D2</t>
  </si>
  <si>
    <t>Schematic</t>
  </si>
  <si>
    <t>Schematic, no disslim, no bootstrap</t>
  </si>
  <si>
    <t>Schematic with disslim, no bootstrap</t>
  </si>
  <si>
    <t>Schematic with bootstrap</t>
  </si>
  <si>
    <t>dissipation limiting may be needed in any topology.</t>
  </si>
  <si>
    <t>The bootstrap may include dissipation limiting.</t>
  </si>
  <si>
    <t>Resistor, 2R2, 0805</t>
  </si>
  <si>
    <t>0805</t>
  </si>
  <si>
    <t>IAUX, A</t>
  </si>
  <si>
    <t>disslim loss</t>
  </si>
  <si>
    <t>bootstrap loss</t>
  </si>
  <si>
    <t>[60]</t>
  </si>
  <si>
    <t>Bootstrap or dissipation limiting</t>
  </si>
  <si>
    <t>D3</t>
  </si>
  <si>
    <t>VZD3</t>
  </si>
  <si>
    <t>Only possible without bootstrap</t>
  </si>
  <si>
    <t>Separate VAUX if used, D3 zener voltage</t>
  </si>
  <si>
    <t>Voltage</t>
  </si>
  <si>
    <t>Zener selection D4</t>
  </si>
  <si>
    <t>VZD4</t>
  </si>
  <si>
    <t>[62]</t>
  </si>
  <si>
    <t>[61]</t>
  </si>
  <si>
    <t>2.  Optional for FLAG logic output</t>
  </si>
  <si>
    <t>3.  May require prototype adjustment, depending on layout and components</t>
  </si>
  <si>
    <t>Notes</t>
  </si>
  <si>
    <t>Resistor, 1k3, 0805</t>
  </si>
  <si>
    <t>Resistor, 47k, 0805</t>
  </si>
  <si>
    <t>Thermistor, 10k NTC</t>
  </si>
  <si>
    <t>D4</t>
  </si>
  <si>
    <t>Zener selection, D4, BUT……</t>
  </si>
  <si>
    <t>R9</t>
  </si>
  <si>
    <t>R10</t>
  </si>
  <si>
    <t>R10 (RGI1)</t>
  </si>
  <si>
    <t>R9 (RGI2)</t>
  </si>
  <si>
    <t>Resistor, 10k, 0805</t>
  </si>
  <si>
    <t>R15</t>
  </si>
  <si>
    <t>Resistor, 2k2, 0805</t>
  </si>
  <si>
    <t>3.  Requires prototype adjustment</t>
  </si>
  <si>
    <t>C2,C5,C8</t>
  </si>
  <si>
    <t>C2,C5</t>
  </si>
  <si>
    <t>Output decoupling C10 and C13</t>
  </si>
  <si>
    <t>VALC10</t>
  </si>
  <si>
    <t>C10, C13</t>
  </si>
  <si>
    <t>R13</t>
  </si>
  <si>
    <t>Resistor, 100 ohm, 1206</t>
  </si>
  <si>
    <t>Introduction</t>
  </si>
  <si>
    <t>Electrical Description</t>
  </si>
  <si>
    <t>PCB Layout</t>
  </si>
  <si>
    <t>When designing the PCB layout please ensure the following:</t>
  </si>
  <si>
    <t>♦</t>
  </si>
  <si>
    <t>Use a minimum of 2 copper layers, with a common ground plane, which is uninterrupted as far as possible</t>
  </si>
  <si>
    <t>Place C9 within 5mm of pin 12 (VIN).  Place C3 and C4 within 25mm of pin 12.</t>
  </si>
  <si>
    <t>minimise noise and also a thermal path to minimise junction temperature.</t>
  </si>
  <si>
    <t>(where used).</t>
  </si>
  <si>
    <t>Place plated via holes to the ground plane near other component ground connnections, including Q1 source, C10 and C13</t>
  </si>
  <si>
    <t>If you wish to copy this sheet, you will need to unprotect it.</t>
  </si>
  <si>
    <t>100C</t>
  </si>
  <si>
    <t>No password is required</t>
  </si>
  <si>
    <r>
      <t>R4</t>
    </r>
    <r>
      <rPr>
        <vertAlign val="superscript"/>
        <sz val="10"/>
        <rFont val="Trebuchet MS"/>
        <family val="2"/>
      </rPr>
      <t>1</t>
    </r>
  </si>
  <si>
    <r>
      <t>R7</t>
    </r>
    <r>
      <rPr>
        <vertAlign val="superscript"/>
        <sz val="10"/>
        <rFont val="Trebuchet MS"/>
        <family val="2"/>
      </rPr>
      <t>2</t>
    </r>
  </si>
  <si>
    <r>
      <t>R12</t>
    </r>
    <r>
      <rPr>
        <vertAlign val="superscript"/>
        <sz val="10"/>
        <rFont val="Trebuchet MS"/>
        <family val="2"/>
      </rPr>
      <t>3</t>
    </r>
  </si>
  <si>
    <r>
      <t>R20</t>
    </r>
    <r>
      <rPr>
        <vertAlign val="superscript"/>
        <sz val="10"/>
        <rFont val="Trebuchet MS"/>
        <family val="2"/>
      </rPr>
      <t>1</t>
    </r>
  </si>
  <si>
    <r>
      <t>R17</t>
    </r>
    <r>
      <rPr>
        <vertAlign val="superscript"/>
        <sz val="10"/>
        <rFont val="Trebuchet MS"/>
        <family val="2"/>
      </rPr>
      <t>4</t>
    </r>
  </si>
  <si>
    <r>
      <t>Q2, Q3</t>
    </r>
    <r>
      <rPr>
        <vertAlign val="superscript"/>
        <sz val="10"/>
        <rFont val="Trebuchet MS"/>
        <family val="2"/>
      </rPr>
      <t>4</t>
    </r>
  </si>
  <si>
    <t>VSNOM</t>
  </si>
  <si>
    <t>Sense voltage, nominal design centre</t>
  </si>
  <si>
    <t>GIFACT</t>
  </si>
  <si>
    <t>GI factor to establish starting GI</t>
  </si>
  <si>
    <t>no such zener!</t>
  </si>
  <si>
    <t>Diode, Schottky, Diode Inc., DFLS160</t>
  </si>
  <si>
    <t>Total LED volt drop, VLEDS</t>
  </si>
  <si>
    <t>IINMAX</t>
  </si>
  <si>
    <t>maximum input current, final</t>
  </si>
  <si>
    <t>VOUTA</t>
  </si>
  <si>
    <t>LED Anode voltage</t>
  </si>
  <si>
    <t>Large coil, 6.8uH</t>
  </si>
  <si>
    <t>Large coil, 4.7uH</t>
  </si>
  <si>
    <t>Large coil, 3.3uH</t>
  </si>
  <si>
    <t>Large coil, 2.2uH</t>
  </si>
  <si>
    <t>RGI2 nearest pref value</t>
  </si>
  <si>
    <t>GI values</t>
  </si>
  <si>
    <t>(NOT IMPLEMENTED)</t>
  </si>
  <si>
    <t>GI_ADJ_INITM</t>
  </si>
  <si>
    <t>Initial target ratio, VGI/VADJ, automatic or manual</t>
  </si>
  <si>
    <t>Initial target ratio, VGI/VADJ (automatic)</t>
  </si>
  <si>
    <t>Load capacitance required, min</t>
  </si>
  <si>
    <t>Maximum coil pk-pk ripple current</t>
  </si>
  <si>
    <t>Issued by Geoff Stokes</t>
  </si>
  <si>
    <t>Revision History!</t>
  </si>
  <si>
    <t>Hidden sheets:</t>
  </si>
  <si>
    <r>
      <t xml:space="preserve">Passives!  </t>
    </r>
    <r>
      <rPr>
        <sz val="10"/>
        <rFont val="Arial"/>
        <family val="2"/>
      </rPr>
      <t>-  contains calculations of preferred values of resistors and capacitors</t>
    </r>
  </si>
  <si>
    <t>if VOUTA&gt;42V, use 2 zeners in series (See schematic sheets)</t>
  </si>
  <si>
    <t xml:space="preserve">Q1 VDS(off), max </t>
  </si>
  <si>
    <t>DMAX</t>
  </si>
  <si>
    <t>DMIN</t>
  </si>
  <si>
    <t>Maximum duty cycle, final</t>
  </si>
  <si>
    <t>Minimum duty cycle, final</t>
  </si>
  <si>
    <t xml:space="preserve">D1 VR, max </t>
  </si>
  <si>
    <t>Total dissipation</t>
  </si>
  <si>
    <t>Automatic selection</t>
  </si>
  <si>
    <t>Book 6 eqn 64  (was 53)</t>
  </si>
  <si>
    <t>LED current error (actual - target)</t>
  </si>
  <si>
    <t>3, but allowing 15% overshoot</t>
  </si>
  <si>
    <t>MOSFET &amp; Schottky max current (this is pk coil current *1.1)</t>
  </si>
  <si>
    <t>Wurth 74477130  [1000µH]</t>
  </si>
  <si>
    <t>Wurth 74477126  [680µH]</t>
  </si>
  <si>
    <t>Designed in Microsoft Excel 2010 (2003 compatible)</t>
  </si>
  <si>
    <t>Integer, 1 to 30</t>
  </si>
  <si>
    <t>BVDSS min</t>
  </si>
  <si>
    <t>ID max</t>
  </si>
  <si>
    <t xml:space="preserve"> Ω</t>
  </si>
  <si>
    <t>RDSON max 25C</t>
  </si>
  <si>
    <t>RFACTOR</t>
  </si>
  <si>
    <t>PowerDI123</t>
  </si>
  <si>
    <t>9, but allowing 15% overshoot</t>
  </si>
  <si>
    <t>1 to 5V (Typically 3.1 to 3.8V)</t>
  </si>
  <si>
    <t>Note 1371 is around 390kHz</t>
  </si>
  <si>
    <t>Maximum Peak Sense voltage, VRS</t>
  </si>
  <si>
    <t>Minimum Sense voltage, VRS, av over cycle</t>
  </si>
  <si>
    <t>0 to 1V</t>
  </si>
  <si>
    <t>1.0</t>
  </si>
  <si>
    <t xml:space="preserve"> First issue 1st Feb 2012</t>
  </si>
  <si>
    <t>DRIVER</t>
  </si>
  <si>
    <t>5V to VINMAX-0.2V</t>
  </si>
  <si>
    <t>4.  Optional for PWM dimming control- active high disables U1</t>
  </si>
  <si>
    <t>Capacitor, 330pF, NPO, 50V, 0805</t>
  </si>
  <si>
    <t>AL8871Q</t>
  </si>
  <si>
    <t>Guidance on this may be found in the User Guides for AL8871QEV1.</t>
  </si>
  <si>
    <t>Place L1, D1 anode, and Q1 drain close together so that the common connection stray inductance and capacitance is minimised.</t>
  </si>
  <si>
    <t>Place input decoupling capacitors as follows, close to the AL8871Q, with local plated via holes to the ground plane.</t>
  </si>
  <si>
    <t xml:space="preserve">Place plated via holes to the ground plane under the central paddle of the AL8871Q.  This provides an electrical path to  </t>
  </si>
  <si>
    <t>Place C1 close to pin 4 (COMP) of the AL8871Q, in any case within 5mm, with multiple local plated via holes to the ground plane.</t>
  </si>
  <si>
    <t xml:space="preserve">Where C8 is used, it may not be possible to fit C9, but place C8 within 10mm of pin 11 (BST) with local ground vias. </t>
  </si>
  <si>
    <t xml:space="preserve">Place R1 and R2 close to pins 12 (VIN) and 13 (CS), within 10mm.   </t>
  </si>
  <si>
    <t>1.  Optional for LED thermal control.  If not required, join NTC to REF.</t>
  </si>
  <si>
    <t>Copyright, Diodes Incorporated, 2021</t>
  </si>
  <si>
    <t>AL8871Q (quiescent + gate charging)</t>
  </si>
  <si>
    <t>Coilcraft MSS1246-105KL [1000µH]</t>
  </si>
  <si>
    <t>Coilcraft MSS1246-684KL [680µH]</t>
  </si>
  <si>
    <t>Coilcraft MSS1246-474KL [470µH]</t>
  </si>
  <si>
    <t>Coilcraft MSS1246-334KL [330µH]</t>
  </si>
  <si>
    <t>Coilcraft MSS1246-224KL [220µH]</t>
  </si>
  <si>
    <t>Coilcraft MSS1246-154KL [150µH]</t>
  </si>
  <si>
    <t>Coilcraft MSS1246-104ML [100µH]</t>
  </si>
  <si>
    <t>Coilcraft MSS1246-683ML [68µH]</t>
  </si>
  <si>
    <t>Coilcraft MSS1246-473ML [47µH]</t>
  </si>
  <si>
    <t>Coilcraft MSS1246-333ML [33µH]</t>
  </si>
  <si>
    <t>Coilcraft MSS1246-223ML [22µH]</t>
  </si>
  <si>
    <t>Coilcraft MSS1278-104ML [100µH]</t>
  </si>
  <si>
    <t>Coilcraft MSS1278-683ML [68µH]</t>
  </si>
  <si>
    <t>Coilcraft MSS1278-473ML [47µH]</t>
  </si>
  <si>
    <t>Coilcraft MSS1278-333ML [33µH]</t>
  </si>
  <si>
    <t>Coilcraft MSS1278-223ML [22µH]</t>
  </si>
  <si>
    <t>Coilcraft MSS1278-153ML [15µH]</t>
  </si>
  <si>
    <t>Coilcraft MSS1278-103ML [10µH]</t>
  </si>
  <si>
    <t>Coilcraft MSS1278-154KL [150µH]</t>
  </si>
  <si>
    <t>Coilcraft MSS1278-224KL [220µH]</t>
  </si>
  <si>
    <t>Coilcraft MSS1278-334KL [330µH]</t>
  </si>
  <si>
    <t>TOPOLOGY</t>
  </si>
  <si>
    <t>BUCK-BOOST</t>
  </si>
  <si>
    <t>Diode, Zener, 47V, Diodes Inc., BZT52C47Q</t>
  </si>
  <si>
    <t>Diode, Zener, Diodes Inc., BZT52C15Q</t>
  </si>
  <si>
    <t>Diode, Zener, 15V, Diodes Inc., BZT52C15Q</t>
  </si>
  <si>
    <t>PowerDI5060-8</t>
  </si>
  <si>
    <t>DMTH8028LFVWQ</t>
  </si>
  <si>
    <t>PowerDI3333-8</t>
  </si>
  <si>
    <t>DMTH4014LFVWQ</t>
  </si>
  <si>
    <t xml:space="preserve">DMT3006LFDFQ	</t>
  </si>
  <si>
    <t>U-DFN2020-6</t>
  </si>
  <si>
    <t>DMTH6016LK3Q</t>
  </si>
  <si>
    <t>DMTH6016LPSQ</t>
  </si>
  <si>
    <t>DMTH10H025LPSQ</t>
  </si>
  <si>
    <t>DMT10H072LFDFQ</t>
  </si>
  <si>
    <t>DMN10H170SK3Q</t>
  </si>
  <si>
    <t>DMN4035LQ</t>
  </si>
  <si>
    <t xml:space="preserve">SOT23 </t>
  </si>
  <si>
    <t>DMN4034SSSQ</t>
  </si>
  <si>
    <t>SO-8</t>
  </si>
  <si>
    <t>B2100Q</t>
  </si>
  <si>
    <t>PDS3100Q</t>
  </si>
  <si>
    <t>PDS5100Q</t>
  </si>
  <si>
    <t>PDS760Q</t>
  </si>
  <si>
    <t>DFLS1150Q</t>
  </si>
  <si>
    <t>PDS4150Q</t>
  </si>
  <si>
    <t>PDS1040Q</t>
  </si>
  <si>
    <t>MOSFET, Diodes Inc., 2N7002Q</t>
  </si>
  <si>
    <t>FoM</t>
  </si>
  <si>
    <t>keep last</t>
  </si>
  <si>
    <t>High voltage MOSFET</t>
  </si>
  <si>
    <t>Enable bootstrap option</t>
  </si>
  <si>
    <t>BOOTSTRAP</t>
  </si>
  <si>
    <t>AUTO</t>
  </si>
  <si>
    <t>Symbol</t>
  </si>
  <si>
    <t>Parameter</t>
  </si>
  <si>
    <t>Unit</t>
  </si>
  <si>
    <t>SELECTION:</t>
  </si>
  <si>
    <t>AUTOMATIC</t>
  </si>
  <si>
    <t>PART NUMBER:</t>
  </si>
  <si>
    <t>RDSON(max)</t>
  </si>
  <si>
    <t>BVDSS(min)</t>
  </si>
  <si>
    <t>ID(max)</t>
  </si>
  <si>
    <t>-/-</t>
  </si>
  <si>
    <t xml:space="preserve">Qgtot 10V </t>
  </si>
  <si>
    <t>Qgs</t>
  </si>
  <si>
    <t>Qgd</t>
  </si>
  <si>
    <t>tr</t>
  </si>
  <si>
    <t>tf</t>
  </si>
  <si>
    <t>Thetaja C/W</t>
  </si>
  <si>
    <t>Tjmax</t>
  </si>
  <si>
    <t>PACKAGE:</t>
  </si>
  <si>
    <t>SCHOTTKY</t>
  </si>
  <si>
    <t>Vf</t>
  </si>
  <si>
    <t>Vbr</t>
  </si>
  <si>
    <t>DCR</t>
  </si>
  <si>
    <t>I_AV</t>
  </si>
  <si>
    <t>Imax</t>
  </si>
  <si>
    <t>I_R</t>
  </si>
  <si>
    <t>COIL</t>
  </si>
  <si>
    <t>Inductance</t>
  </si>
  <si>
    <t>uH</t>
  </si>
  <si>
    <t>DC resistance</t>
  </si>
  <si>
    <t>Max current</t>
  </si>
  <si>
    <t>MISC.</t>
  </si>
  <si>
    <t>V/V</t>
  </si>
  <si>
    <t>(Gain set resistor)  GI ratio = 0.3333</t>
  </si>
  <si>
    <t>uF</t>
  </si>
  <si>
    <t>Overvoltage Protection zener</t>
  </si>
  <si>
    <t>mΩ</t>
  </si>
  <si>
    <t>CUSTOM</t>
  </si>
  <si>
    <t>NAMES ONLY</t>
  </si>
  <si>
    <t>ns</t>
  </si>
  <si>
    <t>Input Custom Values</t>
  </si>
  <si>
    <t>°C/W</t>
  </si>
  <si>
    <t>ALT. SCHOTTKY</t>
  </si>
  <si>
    <t>ALT. MOSFET</t>
  </si>
  <si>
    <t>ALT. COIL</t>
  </si>
  <si>
    <t>Large coil, 39uH</t>
  </si>
  <si>
    <t>Large coil, 82uH</t>
  </si>
  <si>
    <t>Large coil, 390uH</t>
  </si>
  <si>
    <t>Large coil, 470uH</t>
  </si>
  <si>
    <t>B82472P6473M000</t>
  </si>
  <si>
    <t>Static Drain-Source On-Resistance</t>
  </si>
  <si>
    <t>Drain-Source Breakdown Voltage</t>
  </si>
  <si>
    <r>
      <t>Continuous Drain Current T</t>
    </r>
    <r>
      <rPr>
        <b/>
        <vertAlign val="subscript"/>
        <sz val="8"/>
        <rFont val="Trebuchet MS"/>
        <family val="2"/>
      </rPr>
      <t>C</t>
    </r>
    <r>
      <rPr>
        <b/>
        <sz val="8"/>
        <rFont val="Trebuchet MS"/>
        <family val="2"/>
      </rPr>
      <t>=+25°C</t>
    </r>
  </si>
  <si>
    <t>On-state Resistance Factor</t>
  </si>
  <si>
    <t>Gate-Drain Charge</t>
  </si>
  <si>
    <t>Total Gate Charge</t>
  </si>
  <si>
    <t xml:space="preserve">Gate-Source Charge </t>
  </si>
  <si>
    <t xml:space="preserve">Turn-On Rise Time </t>
  </si>
  <si>
    <t xml:space="preserve">Turn-Off Fall Time </t>
  </si>
  <si>
    <t>Thermal Resistance, J-to-A</t>
  </si>
  <si>
    <t>Max Junction Temperature</t>
  </si>
  <si>
    <t>Forward Voltage</t>
  </si>
  <si>
    <t xml:space="preserve">Reverse Leakage Current </t>
  </si>
  <si>
    <t>Reverse Breakdown Voltage</t>
  </si>
  <si>
    <t xml:space="preserve">Average Rectified Output Current </t>
  </si>
  <si>
    <t>mA</t>
  </si>
  <si>
    <t>AUTOMATIC SELECTION</t>
  </si>
  <si>
    <t>BOOST</t>
  </si>
  <si>
    <t xml:space="preserve">POSSIBLE TOPOLOGIES/SELECTION </t>
  </si>
  <si>
    <t>BASED ON INPUT CONDITIONS:</t>
  </si>
  <si>
    <t>Max Duty</t>
  </si>
  <si>
    <t>Min Duty</t>
  </si>
  <si>
    <t>all:</t>
  </si>
  <si>
    <t>October 2021</t>
  </si>
  <si>
    <t>B340AQ</t>
  </si>
  <si>
    <t>SMA</t>
  </si>
  <si>
    <t>Target GI ratio: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</si>
</sst>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2" formatCode="0.000"/>
    <numFmt numFmtId="173" formatCode="0.0%"/>
    <numFmt numFmtId="177" formatCode="0.0"/>
    <numFmt numFmtId="179" formatCode="0.0000"/>
    <numFmt numFmtId="181" formatCode="&quot;True&quot;;&quot;True&quot;;&quot;False&quot;"/>
    <numFmt numFmtId="186" formatCode="0.000E+00"/>
    <numFmt numFmtId="187" formatCode="0.00000"/>
  </numFmts>
  <fonts count="63" x14ac:knownFonts="1">
    <font>
      <sz val="10"/>
      <name val="Arial"/>
    </font>
    <font>
      <sz val="10"/>
      <name val="Arial"/>
    </font>
    <font>
      <sz val="8"/>
      <name val="Arial"/>
      <family val="2"/>
    </font>
    <font>
      <sz val="10"/>
      <name val="Trebuchet MS"/>
      <family val="2"/>
    </font>
    <font>
      <b/>
      <u/>
      <sz val="16"/>
      <name val="Trebuchet MS"/>
      <family val="2"/>
    </font>
    <font>
      <sz val="14"/>
      <name val="Trebuchet MS"/>
      <family val="2"/>
    </font>
    <font>
      <sz val="8"/>
      <name val="Trebuchet MS"/>
      <family val="2"/>
    </font>
    <font>
      <b/>
      <sz val="10"/>
      <name val="Trebuchet MS"/>
      <family val="2"/>
    </font>
    <font>
      <b/>
      <sz val="8"/>
      <name val="Trebuchet MS"/>
      <family val="2"/>
    </font>
    <font>
      <b/>
      <u/>
      <sz val="14"/>
      <name val="Trebuchet MS"/>
      <family val="2"/>
    </font>
    <font>
      <sz val="12"/>
      <name val="Trebuchet MS"/>
      <family val="2"/>
    </font>
    <font>
      <i/>
      <sz val="10"/>
      <color indexed="10"/>
      <name val="Arial"/>
      <family val="2"/>
    </font>
    <font>
      <b/>
      <vertAlign val="subscript"/>
      <sz val="8"/>
      <name val="Trebuchet MS"/>
      <family val="2"/>
    </font>
    <font>
      <b/>
      <sz val="8"/>
      <name val="Arial"/>
      <family val="2"/>
    </font>
    <font>
      <i/>
      <sz val="8"/>
      <name val="Trebuchet MS"/>
      <family val="2"/>
    </font>
    <font>
      <vertAlign val="subscript"/>
      <sz val="8"/>
      <name val="Trebuchet M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b/>
      <sz val="7.5"/>
      <color indexed="18"/>
      <name val="Arial"/>
      <family val="2"/>
    </font>
    <font>
      <b/>
      <sz val="7.5"/>
      <color indexed="8"/>
      <name val="Arial"/>
      <family val="2"/>
    </font>
    <font>
      <sz val="10"/>
      <name val="Arial"/>
      <family val="2"/>
    </font>
    <font>
      <b/>
      <sz val="8"/>
      <color indexed="14"/>
      <name val="Trebuchet MS"/>
      <family val="2"/>
    </font>
    <font>
      <sz val="8"/>
      <color indexed="14"/>
      <name val="Trebuchet MS"/>
      <family val="2"/>
    </font>
    <font>
      <b/>
      <sz val="10"/>
      <color indexed="60"/>
      <name val="Trebuchet MS"/>
      <family val="2"/>
    </font>
    <font>
      <i/>
      <sz val="10"/>
      <name val="Trebuchet MS"/>
      <family val="2"/>
    </font>
    <font>
      <b/>
      <sz val="10"/>
      <color indexed="10"/>
      <name val="Trebuchet MS"/>
      <family val="2"/>
    </font>
    <font>
      <i/>
      <sz val="10"/>
      <color indexed="10"/>
      <name val="Arial Black"/>
      <family val="2"/>
    </font>
    <font>
      <i/>
      <sz val="14"/>
      <color indexed="10"/>
      <name val="Trebuchet MS"/>
      <family val="2"/>
    </font>
    <font>
      <b/>
      <sz val="14"/>
      <name val="Arial"/>
      <family val="2"/>
    </font>
    <font>
      <b/>
      <sz val="10"/>
      <color indexed="12"/>
      <name val="Trebuchet MS"/>
      <family val="2"/>
    </font>
    <font>
      <b/>
      <sz val="14"/>
      <color indexed="10"/>
      <name val="Arial"/>
      <family val="2"/>
    </font>
    <font>
      <b/>
      <sz val="12"/>
      <name val="Trebuchet MS"/>
      <family val="2"/>
    </font>
    <font>
      <vertAlign val="superscript"/>
      <sz val="10"/>
      <name val="Trebuchet MS"/>
      <family val="2"/>
    </font>
    <font>
      <b/>
      <sz val="14"/>
      <color indexed="12"/>
      <name val="Trebuchet MS"/>
      <family val="2"/>
    </font>
    <font>
      <b/>
      <sz val="14"/>
      <color indexed="10"/>
      <name val="Trebuchet MS"/>
      <family val="2"/>
    </font>
    <font>
      <b/>
      <sz val="14"/>
      <name val="Trebuchet MS"/>
      <family val="2"/>
    </font>
    <font>
      <b/>
      <sz val="12"/>
      <color indexed="10"/>
      <name val="Trebuchet MS"/>
      <family val="2"/>
    </font>
    <font>
      <b/>
      <i/>
      <sz val="14"/>
      <name val="Trebuchet MS"/>
      <family val="2"/>
    </font>
    <font>
      <b/>
      <sz val="10"/>
      <name val="Arial"/>
      <family val="2"/>
    </font>
    <font>
      <sz val="10"/>
      <name val="Arial"/>
      <family val="2"/>
    </font>
    <font>
      <i/>
      <sz val="10"/>
      <name val="Arial"/>
      <family val="2"/>
    </font>
    <font>
      <b/>
      <i/>
      <sz val="10"/>
      <color indexed="10"/>
      <name val="Trebuchet MS"/>
      <family val="2"/>
    </font>
    <font>
      <sz val="6"/>
      <name val="Trebuchet MS"/>
      <family val="2"/>
    </font>
    <font>
      <b/>
      <u/>
      <sz val="10"/>
      <color theme="1"/>
      <name val="Trebuchet MS"/>
      <family val="2"/>
    </font>
    <font>
      <b/>
      <sz val="8"/>
      <color theme="1"/>
      <name val="Trebuchet MS"/>
      <family val="2"/>
    </font>
    <font>
      <sz val="8"/>
      <color rgb="FFFF0000"/>
      <name val="Trebuchet MS"/>
      <family val="2"/>
    </font>
    <font>
      <sz val="10"/>
      <color rgb="FFFF0000"/>
      <name val="Trebuchet MS"/>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51"/>
        <bgColor indexed="64"/>
      </patternFill>
    </fill>
    <fill>
      <patternFill patternType="solid">
        <fgColor indexed="40"/>
        <bgColor indexed="64"/>
      </patternFill>
    </fill>
    <fill>
      <patternFill patternType="solid">
        <fgColor indexed="44"/>
        <bgColor indexed="64"/>
      </patternFill>
    </fill>
    <fill>
      <patternFill patternType="solid">
        <fgColor indexed="21"/>
        <bgColor indexed="64"/>
      </patternFill>
    </fill>
    <fill>
      <patternFill patternType="solid">
        <fgColor indexed="26"/>
        <bgColor indexed="64"/>
      </patternFill>
    </fill>
    <fill>
      <patternFill patternType="solid">
        <fgColor indexed="11"/>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13"/>
        <bgColor indexed="64"/>
      </patternFill>
    </fill>
    <fill>
      <patternFill patternType="solid">
        <fgColor indexed="24"/>
        <bgColor indexed="64"/>
      </patternFill>
    </fill>
    <fill>
      <patternFill patternType="solid">
        <fgColor indexed="47"/>
        <bgColor indexed="64"/>
      </patternFill>
    </fill>
    <fill>
      <patternFill patternType="solid">
        <fgColor indexed="55"/>
        <bgColor indexed="64"/>
      </patternFill>
    </fill>
    <fill>
      <patternFill patternType="solid">
        <fgColor rgb="FFCCFFFF"/>
        <bgColor indexed="64"/>
      </patternFill>
    </fill>
    <fill>
      <patternFill patternType="solid">
        <fgColor rgb="FFFFCC00"/>
        <bgColor indexed="64"/>
      </patternFill>
    </fill>
    <fill>
      <patternFill patternType="solid">
        <fgColor theme="3" tint="0.7999816888943144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6" fillId="0" borderId="0"/>
    <xf numFmtId="0" fontId="16" fillId="23" borderId="7" applyNumberFormat="0" applyFont="0" applyAlignment="0" applyProtection="0"/>
    <xf numFmtId="0" fontId="29" fillId="20" borderId="8" applyNumberFormat="0" applyAlignment="0" applyProtection="0"/>
    <xf numFmtId="9" fontId="1"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cellStyleXfs>
  <cellXfs count="304">
    <xf numFmtId="0" fontId="0" fillId="0" borderId="0" xfId="0"/>
    <xf numFmtId="0" fontId="3" fillId="0" borderId="0" xfId="0" applyFont="1" applyAlignment="1" applyProtection="1">
      <alignment wrapText="1"/>
    </xf>
    <xf numFmtId="0" fontId="3" fillId="0" borderId="0" xfId="0" applyFont="1" applyProtection="1"/>
    <xf numFmtId="0" fontId="7" fillId="0" borderId="0" xfId="0" applyFont="1" applyProtection="1"/>
    <xf numFmtId="0" fontId="3" fillId="0" borderId="0" xfId="0" applyFont="1" applyAlignment="1" applyProtection="1">
      <alignment vertical="top"/>
    </xf>
    <xf numFmtId="0" fontId="7" fillId="0" borderId="0" xfId="0" applyFont="1" applyAlignment="1" applyProtection="1">
      <alignment vertical="top"/>
    </xf>
    <xf numFmtId="0" fontId="0" fillId="0" borderId="0" xfId="0" applyProtection="1"/>
    <xf numFmtId="0" fontId="9" fillId="0" borderId="0" xfId="0" applyFont="1" applyBorder="1" applyAlignment="1" applyProtection="1">
      <alignment horizontal="left"/>
    </xf>
    <xf numFmtId="0" fontId="6" fillId="24" borderId="10" xfId="0" applyFont="1" applyFill="1" applyBorder="1" applyAlignment="1" applyProtection="1">
      <alignment vertical="top"/>
    </xf>
    <xf numFmtId="0" fontId="6" fillId="24" borderId="11" xfId="0" applyFont="1" applyFill="1" applyBorder="1" applyAlignment="1" applyProtection="1">
      <alignment vertical="top"/>
    </xf>
    <xf numFmtId="0" fontId="8" fillId="24" borderId="10" xfId="0" applyFont="1" applyFill="1" applyBorder="1" applyAlignment="1" applyProtection="1">
      <alignment horizontal="left" vertical="top"/>
    </xf>
    <xf numFmtId="0" fontId="8" fillId="25" borderId="12" xfId="0" applyFont="1" applyFill="1" applyBorder="1" applyAlignment="1" applyProtection="1">
      <alignment horizontal="right" vertical="top"/>
      <protection locked="0"/>
    </xf>
    <xf numFmtId="0" fontId="6" fillId="25" borderId="13" xfId="0" applyFont="1" applyFill="1" applyBorder="1" applyAlignment="1" applyProtection="1">
      <alignment vertical="top"/>
    </xf>
    <xf numFmtId="0" fontId="6" fillId="0" borderId="0" xfId="0" applyFont="1" applyAlignment="1" applyProtection="1">
      <alignment vertical="top"/>
    </xf>
    <xf numFmtId="0" fontId="8" fillId="26" borderId="14" xfId="0" applyFont="1" applyFill="1" applyBorder="1" applyAlignment="1" applyProtection="1">
      <alignment horizontal="left" vertical="top"/>
    </xf>
    <xf numFmtId="0" fontId="11" fillId="0" borderId="0" xfId="0" applyFont="1" applyProtection="1"/>
    <xf numFmtId="0" fontId="8" fillId="0" borderId="0" xfId="0" applyFont="1" applyFill="1" applyBorder="1" applyAlignment="1" applyProtection="1">
      <alignment vertical="top"/>
    </xf>
    <xf numFmtId="0" fontId="6" fillId="0" borderId="0" xfId="0" applyFont="1" applyFill="1" applyBorder="1" applyAlignment="1" applyProtection="1">
      <alignment vertical="top"/>
    </xf>
    <xf numFmtId="0" fontId="8" fillId="24" borderId="11" xfId="0" applyFont="1" applyFill="1" applyBorder="1" applyAlignment="1" applyProtection="1">
      <alignment horizontal="left" vertical="top"/>
    </xf>
    <xf numFmtId="0" fontId="8" fillId="25" borderId="15" xfId="0" applyFont="1" applyFill="1" applyBorder="1" applyAlignment="1" applyProtection="1">
      <alignment horizontal="right" vertical="top"/>
      <protection locked="0"/>
    </xf>
    <xf numFmtId="0" fontId="6" fillId="25" borderId="16" xfId="0" applyFont="1" applyFill="1" applyBorder="1" applyAlignment="1" applyProtection="1">
      <alignment vertical="top"/>
    </xf>
    <xf numFmtId="0" fontId="8" fillId="26" borderId="17" xfId="0" applyFont="1" applyFill="1" applyBorder="1" applyAlignment="1" applyProtection="1">
      <alignment horizontal="left" vertical="top"/>
    </xf>
    <xf numFmtId="0" fontId="8" fillId="26" borderId="18" xfId="0" applyFont="1" applyFill="1" applyBorder="1" applyAlignment="1" applyProtection="1">
      <alignment horizontal="left" vertical="top"/>
    </xf>
    <xf numFmtId="0" fontId="6" fillId="0" borderId="0" xfId="0" quotePrefix="1" applyFont="1" applyAlignment="1" applyProtection="1">
      <alignment vertical="top"/>
    </xf>
    <xf numFmtId="0" fontId="6" fillId="27" borderId="19" xfId="0" applyFont="1" applyFill="1" applyBorder="1" applyAlignment="1" applyProtection="1">
      <alignment vertical="top"/>
    </xf>
    <xf numFmtId="172" fontId="8" fillId="27" borderId="12" xfId="0" applyNumberFormat="1" applyFont="1" applyFill="1" applyBorder="1" applyAlignment="1" applyProtection="1">
      <alignment horizontal="right" vertical="top"/>
    </xf>
    <xf numFmtId="0" fontId="6" fillId="27" borderId="13" xfId="0" applyFont="1" applyFill="1" applyBorder="1" applyAlignment="1" applyProtection="1">
      <alignment vertical="top"/>
    </xf>
    <xf numFmtId="172" fontId="8" fillId="27" borderId="15" xfId="0" applyNumberFormat="1" applyFont="1" applyFill="1" applyBorder="1" applyAlignment="1" applyProtection="1">
      <alignment horizontal="right" vertical="top"/>
    </xf>
    <xf numFmtId="0" fontId="6" fillId="27" borderId="16" xfId="0" applyFont="1" applyFill="1" applyBorder="1" applyAlignment="1" applyProtection="1">
      <alignment vertical="top"/>
    </xf>
    <xf numFmtId="17" fontId="0" fillId="0" borderId="0" xfId="0" applyNumberFormat="1" applyProtection="1"/>
    <xf numFmtId="0" fontId="3" fillId="0" borderId="0" xfId="0" applyFont="1" applyAlignment="1" applyProtection="1">
      <alignment vertical="top" wrapText="1"/>
    </xf>
    <xf numFmtId="0" fontId="4" fillId="0" borderId="0" xfId="0" applyFont="1" applyBorder="1" applyAlignment="1" applyProtection="1">
      <alignment horizontal="left" vertical="top"/>
    </xf>
    <xf numFmtId="0" fontId="5" fillId="0" borderId="0" xfId="0" applyFont="1" applyBorder="1" applyAlignment="1" applyProtection="1">
      <alignment horizontal="right" vertical="top"/>
    </xf>
    <xf numFmtId="17" fontId="3" fillId="0" borderId="0" xfId="0" quotePrefix="1" applyNumberFormat="1" applyFont="1" applyAlignment="1" applyProtection="1">
      <alignment vertical="top"/>
    </xf>
    <xf numFmtId="0" fontId="6" fillId="0" borderId="0" xfId="0" applyFont="1" applyAlignment="1" applyProtection="1">
      <alignment horizontal="right" vertical="top"/>
    </xf>
    <xf numFmtId="0" fontId="3" fillId="0" borderId="0" xfId="0" applyFont="1" applyAlignment="1" applyProtection="1">
      <alignment horizontal="right" vertical="top"/>
    </xf>
    <xf numFmtId="0" fontId="6" fillId="0" borderId="0" xfId="0" applyFont="1" applyFill="1" applyAlignment="1" applyProtection="1">
      <alignment vertical="top"/>
    </xf>
    <xf numFmtId="0" fontId="16" fillId="0" borderId="0" xfId="37"/>
    <xf numFmtId="0" fontId="35" fillId="28" borderId="20" xfId="37" applyFont="1" applyFill="1" applyBorder="1" applyAlignment="1">
      <alignment horizontal="center" vertical="center" wrapText="1"/>
    </xf>
    <xf numFmtId="0" fontId="35" fillId="29" borderId="21" xfId="37" applyFont="1" applyFill="1" applyBorder="1" applyAlignment="1">
      <alignment horizontal="center" vertical="center" wrapText="1"/>
    </xf>
    <xf numFmtId="0" fontId="35" fillId="28" borderId="21" xfId="37" applyFont="1" applyFill="1" applyBorder="1" applyAlignment="1">
      <alignment horizontal="center" vertical="center" wrapText="1"/>
    </xf>
    <xf numFmtId="0" fontId="35" fillId="29" borderId="22" xfId="37" applyFont="1" applyFill="1" applyBorder="1" applyAlignment="1">
      <alignment horizontal="center" vertical="center" wrapText="1"/>
    </xf>
    <xf numFmtId="0" fontId="35" fillId="28" borderId="23" xfId="37" applyFont="1" applyFill="1" applyBorder="1" applyAlignment="1">
      <alignment horizontal="center" vertical="center" wrapText="1"/>
    </xf>
    <xf numFmtId="0" fontId="35" fillId="29" borderId="24" xfId="37" applyFont="1" applyFill="1" applyBorder="1" applyAlignment="1">
      <alignment horizontal="center" vertical="center" wrapText="1"/>
    </xf>
    <xf numFmtId="0" fontId="35" fillId="28" borderId="24" xfId="37" applyFont="1" applyFill="1" applyBorder="1" applyAlignment="1">
      <alignment horizontal="center" vertical="center" wrapText="1"/>
    </xf>
    <xf numFmtId="0" fontId="35" fillId="28" borderId="25" xfId="37" applyFont="1" applyFill="1" applyBorder="1" applyAlignment="1">
      <alignment horizontal="center" vertical="center" wrapText="1"/>
    </xf>
    <xf numFmtId="0" fontId="35" fillId="29" borderId="25" xfId="37" applyFont="1" applyFill="1" applyBorder="1" applyAlignment="1">
      <alignment horizontal="center" vertical="center" wrapText="1"/>
    </xf>
    <xf numFmtId="0" fontId="35" fillId="29" borderId="26" xfId="37" applyFont="1" applyFill="1" applyBorder="1" applyAlignment="1">
      <alignment horizontal="center" vertical="center" wrapText="1"/>
    </xf>
    <xf numFmtId="0" fontId="35" fillId="29" borderId="27" xfId="37" applyFont="1" applyFill="1" applyBorder="1" applyAlignment="1">
      <alignment horizontal="center" vertical="center" wrapText="1"/>
    </xf>
    <xf numFmtId="0" fontId="16" fillId="0" borderId="0" xfId="37" applyAlignment="1"/>
    <xf numFmtId="0" fontId="16" fillId="0" borderId="0" xfId="37" applyFont="1"/>
    <xf numFmtId="0" fontId="16" fillId="0" borderId="0" xfId="0" applyFont="1"/>
    <xf numFmtId="173" fontId="16" fillId="0" borderId="0" xfId="40" applyNumberFormat="1" applyFont="1"/>
    <xf numFmtId="0" fontId="3" fillId="0" borderId="0" xfId="0" applyFont="1" applyFill="1" applyAlignment="1" applyProtection="1">
      <alignment vertical="top"/>
    </xf>
    <xf numFmtId="0" fontId="8" fillId="0" borderId="0" xfId="0" applyFont="1" applyAlignment="1" applyProtection="1">
      <alignment horizontal="right" vertical="top"/>
    </xf>
    <xf numFmtId="0" fontId="7" fillId="0" borderId="0" xfId="0" applyFont="1" applyAlignment="1" applyProtection="1">
      <alignment horizontal="left" vertical="top"/>
    </xf>
    <xf numFmtId="2" fontId="8" fillId="27" borderId="28" xfId="0" applyNumberFormat="1" applyFont="1" applyFill="1" applyBorder="1" applyAlignment="1" applyProtection="1">
      <alignment horizontal="right" vertical="top"/>
    </xf>
    <xf numFmtId="2" fontId="8" fillId="27" borderId="12" xfId="0" applyNumberFormat="1" applyFont="1" applyFill="1" applyBorder="1" applyAlignment="1" applyProtection="1">
      <alignment horizontal="right" vertical="top"/>
    </xf>
    <xf numFmtId="173" fontId="8" fillId="30" borderId="12" xfId="0" applyNumberFormat="1" applyFont="1" applyFill="1" applyBorder="1" applyAlignment="1" applyProtection="1">
      <alignment horizontal="right" vertical="top"/>
    </xf>
    <xf numFmtId="173" fontId="8" fillId="30" borderId="15" xfId="0" applyNumberFormat="1" applyFont="1" applyFill="1" applyBorder="1" applyAlignment="1" applyProtection="1">
      <alignment horizontal="right" vertical="top"/>
    </xf>
    <xf numFmtId="0" fontId="39" fillId="0" borderId="0" xfId="0" applyFont="1" applyAlignment="1" applyProtection="1">
      <alignment vertical="top"/>
    </xf>
    <xf numFmtId="0" fontId="16" fillId="0" borderId="0" xfId="37" quotePrefix="1" applyFont="1"/>
    <xf numFmtId="0" fontId="6" fillId="24" borderId="12" xfId="0" applyFont="1" applyFill="1" applyBorder="1" applyAlignment="1" applyProtection="1">
      <alignment vertical="top"/>
    </xf>
    <xf numFmtId="0" fontId="8" fillId="27" borderId="12" xfId="0" applyFont="1" applyFill="1" applyBorder="1" applyAlignment="1" applyProtection="1">
      <alignment vertical="top"/>
    </xf>
    <xf numFmtId="0" fontId="41" fillId="0" borderId="0" xfId="0" quotePrefix="1" applyFont="1" applyAlignment="1" applyProtection="1">
      <alignment vertical="top"/>
    </xf>
    <xf numFmtId="0" fontId="6" fillId="30" borderId="13" xfId="0" applyFont="1" applyFill="1" applyBorder="1" applyAlignment="1" applyProtection="1">
      <alignment vertical="top"/>
    </xf>
    <xf numFmtId="0" fontId="6" fillId="30" borderId="16" xfId="0" applyFont="1" applyFill="1" applyBorder="1" applyAlignment="1" applyProtection="1">
      <alignment vertical="top"/>
    </xf>
    <xf numFmtId="0" fontId="42" fillId="0" borderId="0" xfId="0" applyFont="1" applyAlignment="1" applyProtection="1">
      <alignment vertical="top"/>
    </xf>
    <xf numFmtId="0" fontId="43" fillId="0" borderId="0" xfId="0" applyFont="1" applyAlignment="1" applyProtection="1"/>
    <xf numFmtId="172" fontId="8" fillId="0" borderId="0" xfId="0" applyNumberFormat="1" applyFont="1" applyFill="1" applyBorder="1" applyAlignment="1" applyProtection="1">
      <alignment horizontal="center" vertical="top"/>
    </xf>
    <xf numFmtId="0" fontId="6" fillId="24" borderId="13" xfId="0" applyFont="1" applyFill="1" applyBorder="1" applyAlignment="1" applyProtection="1">
      <alignment vertical="top"/>
    </xf>
    <xf numFmtId="0" fontId="6" fillId="24" borderId="28" xfId="0" applyFont="1" applyFill="1" applyBorder="1" applyAlignment="1" applyProtection="1">
      <alignment vertical="top"/>
    </xf>
    <xf numFmtId="0" fontId="6" fillId="24" borderId="15" xfId="0" applyFont="1" applyFill="1" applyBorder="1" applyAlignment="1" applyProtection="1">
      <alignment vertical="top"/>
    </xf>
    <xf numFmtId="0" fontId="6" fillId="24" borderId="16" xfId="0" applyFont="1" applyFill="1" applyBorder="1" applyAlignment="1" applyProtection="1">
      <alignment vertical="top"/>
    </xf>
    <xf numFmtId="0" fontId="6" fillId="24" borderId="19" xfId="0" applyFont="1" applyFill="1" applyBorder="1" applyAlignment="1" applyProtection="1">
      <alignment vertical="top"/>
    </xf>
    <xf numFmtId="0" fontId="44" fillId="0" borderId="0" xfId="0" applyFont="1"/>
    <xf numFmtId="0" fontId="42" fillId="0" borderId="0" xfId="0" quotePrefix="1" applyFont="1" applyAlignment="1" applyProtection="1">
      <alignment vertical="top"/>
    </xf>
    <xf numFmtId="0" fontId="46" fillId="0" borderId="0" xfId="0" applyFont="1"/>
    <xf numFmtId="0" fontId="42" fillId="24" borderId="0" xfId="0" applyFont="1" applyFill="1" applyAlignment="1" applyProtection="1">
      <alignment vertical="top"/>
    </xf>
    <xf numFmtId="0" fontId="3" fillId="24" borderId="0" xfId="0" applyFont="1" applyFill="1" applyAlignment="1" applyProtection="1">
      <alignment vertical="top" wrapText="1"/>
    </xf>
    <xf numFmtId="0" fontId="3" fillId="24" borderId="0" xfId="0" applyFont="1" applyFill="1" applyAlignment="1" applyProtection="1">
      <alignment vertical="top"/>
    </xf>
    <xf numFmtId="0" fontId="0" fillId="0" borderId="0" xfId="0" applyFill="1" applyBorder="1"/>
    <xf numFmtId="0" fontId="47" fillId="0" borderId="0" xfId="0" applyFont="1" applyAlignment="1" applyProtection="1"/>
    <xf numFmtId="0" fontId="3" fillId="0" borderId="29" xfId="0" applyFont="1" applyBorder="1" applyProtection="1"/>
    <xf numFmtId="0" fontId="3" fillId="0" borderId="30" xfId="0" applyFont="1" applyBorder="1" applyAlignment="1" applyProtection="1">
      <alignment horizontal="center"/>
    </xf>
    <xf numFmtId="0" fontId="3" fillId="0" borderId="0" xfId="0" applyFont="1" applyBorder="1" applyProtection="1"/>
    <xf numFmtId="0" fontId="47" fillId="0" borderId="0" xfId="0" applyFont="1" applyProtection="1"/>
    <xf numFmtId="0" fontId="3" fillId="0" borderId="31" xfId="0" applyFont="1" applyBorder="1" applyProtection="1"/>
    <xf numFmtId="0" fontId="3" fillId="0" borderId="32" xfId="0" applyFont="1" applyBorder="1" applyProtection="1"/>
    <xf numFmtId="0" fontId="3" fillId="0" borderId="30" xfId="0" applyFont="1" applyBorder="1" applyProtection="1"/>
    <xf numFmtId="0" fontId="3" fillId="0" borderId="33" xfId="0" applyFont="1" applyBorder="1" applyProtection="1"/>
    <xf numFmtId="0" fontId="3" fillId="0" borderId="30" xfId="0" applyFont="1" applyBorder="1"/>
    <xf numFmtId="0" fontId="3" fillId="0" borderId="0" xfId="0" applyFont="1" applyBorder="1"/>
    <xf numFmtId="0" fontId="3" fillId="0" borderId="33" xfId="0" applyFont="1" applyBorder="1"/>
    <xf numFmtId="0" fontId="3" fillId="0" borderId="34" xfId="0" applyFont="1" applyBorder="1" applyProtection="1"/>
    <xf numFmtId="0" fontId="3" fillId="0" borderId="35" xfId="0" applyFont="1" applyBorder="1" applyProtection="1"/>
    <xf numFmtId="0" fontId="3" fillId="0" borderId="36" xfId="0" applyFont="1" applyBorder="1" applyProtection="1"/>
    <xf numFmtId="0" fontId="3" fillId="0" borderId="0" xfId="0" applyFont="1" applyFill="1" applyBorder="1" applyProtection="1"/>
    <xf numFmtId="0" fontId="7" fillId="0" borderId="0" xfId="0" applyFont="1"/>
    <xf numFmtId="0" fontId="3" fillId="0" borderId="0" xfId="0" applyFont="1"/>
    <xf numFmtId="0" fontId="3" fillId="31" borderId="0" xfId="0" applyFont="1" applyFill="1" applyBorder="1"/>
    <xf numFmtId="0" fontId="3" fillId="31" borderId="0" xfId="0" applyFont="1" applyFill="1" applyBorder="1" applyAlignment="1">
      <alignment horizontal="left"/>
    </xf>
    <xf numFmtId="0" fontId="3" fillId="0" borderId="0" xfId="0" applyFont="1" applyAlignment="1" applyProtection="1">
      <alignment vertical="center"/>
    </xf>
    <xf numFmtId="0" fontId="3" fillId="0" borderId="0" xfId="0" applyFont="1" applyAlignment="1">
      <alignment horizontal="right" vertical="center"/>
    </xf>
    <xf numFmtId="0" fontId="3" fillId="0" borderId="0" xfId="0" applyFont="1" applyAlignment="1">
      <alignment horizontal="left" vertical="center"/>
    </xf>
    <xf numFmtId="0" fontId="49" fillId="0" borderId="0" xfId="0" applyFont="1"/>
    <xf numFmtId="0" fontId="51" fillId="0" borderId="0" xfId="0" applyFont="1"/>
    <xf numFmtId="0" fontId="7" fillId="0" borderId="0" xfId="0" applyFont="1" applyFill="1"/>
    <xf numFmtId="0" fontId="3" fillId="0" borderId="0" xfId="0" applyFont="1" applyFill="1"/>
    <xf numFmtId="0" fontId="3" fillId="27" borderId="0" xfId="0" applyFont="1" applyFill="1"/>
    <xf numFmtId="0" fontId="3" fillId="0" borderId="37" xfId="0" applyFont="1" applyFill="1" applyBorder="1"/>
    <xf numFmtId="0" fontId="3" fillId="32" borderId="0" xfId="0" applyFont="1" applyFill="1"/>
    <xf numFmtId="179" fontId="3" fillId="32" borderId="0" xfId="0" applyNumberFormat="1" applyFont="1" applyFill="1"/>
    <xf numFmtId="2" fontId="3" fillId="32" borderId="0" xfId="0" applyNumberFormat="1" applyFont="1" applyFill="1"/>
    <xf numFmtId="0" fontId="3" fillId="30" borderId="0" xfId="0" applyFont="1" applyFill="1"/>
    <xf numFmtId="173" fontId="3" fillId="30" borderId="0" xfId="0" applyNumberFormat="1" applyFont="1" applyFill="1"/>
    <xf numFmtId="0" fontId="3" fillId="0" borderId="0" xfId="0" applyFont="1" applyAlignment="1">
      <alignment vertical="center"/>
    </xf>
    <xf numFmtId="0" fontId="50" fillId="0" borderId="0" xfId="0" applyFont="1"/>
    <xf numFmtId="0" fontId="3" fillId="0" borderId="0" xfId="0" applyFont="1" applyAlignment="1">
      <alignment horizontal="left"/>
    </xf>
    <xf numFmtId="0" fontId="7" fillId="31" borderId="0" xfId="0" applyFont="1" applyFill="1" applyBorder="1" applyAlignment="1">
      <alignment horizontal="left"/>
    </xf>
    <xf numFmtId="0" fontId="7" fillId="31" borderId="0" xfId="0" applyFont="1" applyFill="1" applyBorder="1"/>
    <xf numFmtId="0" fontId="3" fillId="0" borderId="0" xfId="0" applyFont="1" applyFill="1" applyBorder="1"/>
    <xf numFmtId="177" fontId="5" fillId="0" borderId="0" xfId="0" applyNumberFormat="1" applyFont="1" applyBorder="1" applyAlignment="1" applyProtection="1">
      <alignment horizontal="left" vertical="top"/>
    </xf>
    <xf numFmtId="0" fontId="3" fillId="0" borderId="0" xfId="0" applyFont="1" applyFill="1" applyBorder="1" applyAlignment="1" applyProtection="1">
      <alignment vertical="top"/>
    </xf>
    <xf numFmtId="0" fontId="52" fillId="0" borderId="0" xfId="0" applyFont="1"/>
    <xf numFmtId="0" fontId="10" fillId="0" borderId="0" xfId="0" applyFont="1" applyBorder="1" applyAlignment="1" applyProtection="1">
      <alignment horizontal="left"/>
    </xf>
    <xf numFmtId="0" fontId="16" fillId="0" borderId="0" xfId="37" applyAlignment="1">
      <alignment vertical="top"/>
    </xf>
    <xf numFmtId="0" fontId="16" fillId="0" borderId="0" xfId="37" applyFont="1" applyAlignment="1">
      <alignment vertical="top"/>
    </xf>
    <xf numFmtId="0" fontId="16" fillId="0" borderId="0" xfId="37" applyAlignment="1">
      <alignment vertical="top" wrapText="1"/>
    </xf>
    <xf numFmtId="0" fontId="34" fillId="28" borderId="38" xfId="37" applyFont="1" applyFill="1" applyBorder="1" applyAlignment="1">
      <alignment horizontal="center" vertical="top" wrapText="1"/>
    </xf>
    <xf numFmtId="0" fontId="34" fillId="29" borderId="25" xfId="37" applyFont="1" applyFill="1" applyBorder="1" applyAlignment="1">
      <alignment horizontal="center" vertical="top" wrapText="1"/>
    </xf>
    <xf numFmtId="0" fontId="34" fillId="28" borderId="25" xfId="37" applyFont="1" applyFill="1" applyBorder="1" applyAlignment="1">
      <alignment horizontal="center" vertical="top" wrapText="1"/>
    </xf>
    <xf numFmtId="0" fontId="53" fillId="0" borderId="0" xfId="0" applyFont="1" applyAlignment="1" applyProtection="1">
      <alignment horizontal="left" vertical="top"/>
    </xf>
    <xf numFmtId="177" fontId="8" fillId="27" borderId="12" xfId="0" applyNumberFormat="1" applyFont="1" applyFill="1" applyBorder="1" applyAlignment="1" applyProtection="1">
      <alignment horizontal="right" vertical="top"/>
    </xf>
    <xf numFmtId="177" fontId="8" fillId="27" borderId="15" xfId="0" applyNumberFormat="1" applyFont="1" applyFill="1" applyBorder="1" applyAlignment="1" applyProtection="1">
      <alignment horizontal="right" vertical="top"/>
    </xf>
    <xf numFmtId="173" fontId="8" fillId="27" borderId="15" xfId="0" applyNumberFormat="1" applyFont="1" applyFill="1" applyBorder="1" applyAlignment="1" applyProtection="1">
      <alignment horizontal="right" vertical="top"/>
    </xf>
    <xf numFmtId="0" fontId="54" fillId="0" borderId="0" xfId="0" applyFont="1"/>
    <xf numFmtId="0" fontId="55" fillId="0" borderId="0" xfId="0" applyFont="1"/>
    <xf numFmtId="0" fontId="56" fillId="0" borderId="0" xfId="0" applyFont="1"/>
    <xf numFmtId="0" fontId="54" fillId="0" borderId="0" xfId="0" quotePrefix="1" applyFont="1" applyAlignment="1">
      <alignment horizontal="center"/>
    </xf>
    <xf numFmtId="0" fontId="8" fillId="24" borderId="15" xfId="0" applyFont="1" applyFill="1" applyBorder="1" applyAlignment="1" applyProtection="1">
      <alignment vertical="top"/>
    </xf>
    <xf numFmtId="172" fontId="8" fillId="27" borderId="12" xfId="0" applyNumberFormat="1" applyFont="1" applyFill="1" applyBorder="1" applyAlignment="1" applyProtection="1">
      <alignment vertical="top"/>
    </xf>
    <xf numFmtId="0" fontId="57" fillId="0" borderId="0" xfId="0" applyFont="1" applyFill="1" applyBorder="1" applyAlignment="1" applyProtection="1">
      <alignment vertical="top"/>
    </xf>
    <xf numFmtId="0" fontId="54" fillId="0" borderId="0" xfId="0" applyFont="1" applyAlignment="1">
      <alignment horizontal="center"/>
    </xf>
    <xf numFmtId="0" fontId="36" fillId="0" borderId="0" xfId="0" applyFont="1"/>
    <xf numFmtId="0" fontId="3" fillId="0" borderId="0" xfId="0" quotePrefix="1" applyFont="1"/>
    <xf numFmtId="177" fontId="10" fillId="0" borderId="0" xfId="0" applyNumberFormat="1" applyFont="1" applyAlignment="1" applyProtection="1">
      <alignment horizontal="left"/>
    </xf>
    <xf numFmtId="177" fontId="5" fillId="0" borderId="0" xfId="0" applyNumberFormat="1" applyFont="1" applyAlignment="1" applyProtection="1">
      <alignment horizontal="left" vertical="top"/>
    </xf>
    <xf numFmtId="0" fontId="8" fillId="38" borderId="11" xfId="0" applyFont="1" applyFill="1" applyBorder="1" applyAlignment="1" applyProtection="1">
      <alignment horizontal="left" vertical="top"/>
    </xf>
    <xf numFmtId="172" fontId="8" fillId="25" borderId="39" xfId="0" applyNumberFormat="1" applyFont="1" applyFill="1" applyBorder="1" applyAlignment="1" applyProtection="1">
      <alignment horizontal="left" vertical="top"/>
      <protection locked="0"/>
    </xf>
    <xf numFmtId="0" fontId="3" fillId="0" borderId="0" xfId="0" applyFont="1" applyBorder="1" applyAlignment="1" applyProtection="1">
      <alignment vertical="top"/>
    </xf>
    <xf numFmtId="0" fontId="59" fillId="0" borderId="0" xfId="0" applyFont="1" applyBorder="1" applyAlignment="1" applyProtection="1">
      <alignment horizontal="right" vertical="top"/>
    </xf>
    <xf numFmtId="0" fontId="6" fillId="0" borderId="0" xfId="0" quotePrefix="1" applyFont="1" applyFill="1" applyAlignment="1" applyProtection="1">
      <alignment vertical="top"/>
    </xf>
    <xf numFmtId="0" fontId="8" fillId="26" borderId="40" xfId="0" applyFont="1" applyFill="1" applyBorder="1" applyAlignment="1" applyProtection="1">
      <alignment horizontal="left" vertical="top"/>
    </xf>
    <xf numFmtId="0" fontId="8" fillId="26" borderId="41" xfId="0" applyFont="1" applyFill="1" applyBorder="1" applyAlignment="1" applyProtection="1">
      <alignment horizontal="left" vertical="top"/>
    </xf>
    <xf numFmtId="0" fontId="8" fillId="26" borderId="42" xfId="0" applyFont="1" applyFill="1" applyBorder="1" applyAlignment="1" applyProtection="1">
      <alignment horizontal="left" vertical="top"/>
    </xf>
    <xf numFmtId="0" fontId="8" fillId="24" borderId="43" xfId="0" applyFont="1" applyFill="1" applyBorder="1" applyAlignment="1" applyProtection="1">
      <alignment horizontal="right" vertical="top"/>
    </xf>
    <xf numFmtId="0" fontId="8" fillId="24" borderId="44" xfId="0" applyFont="1" applyFill="1" applyBorder="1" applyAlignment="1" applyProtection="1">
      <alignment vertical="top"/>
    </xf>
    <xf numFmtId="0" fontId="8" fillId="24" borderId="45" xfId="0" applyFont="1" applyFill="1" applyBorder="1" applyAlignment="1" applyProtection="1">
      <alignment horizontal="left" vertical="top"/>
    </xf>
    <xf numFmtId="0" fontId="8" fillId="24" borderId="39" xfId="0" applyFont="1" applyFill="1" applyBorder="1" applyAlignment="1" applyProtection="1">
      <alignment horizontal="left" vertical="top"/>
    </xf>
    <xf numFmtId="0" fontId="6" fillId="24" borderId="39" xfId="0" applyFont="1" applyFill="1" applyBorder="1" applyAlignment="1" applyProtection="1">
      <alignment vertical="top"/>
    </xf>
    <xf numFmtId="0" fontId="6" fillId="24" borderId="46" xfId="0" applyFont="1" applyFill="1" applyBorder="1" applyAlignment="1" applyProtection="1">
      <alignment vertical="top"/>
    </xf>
    <xf numFmtId="0" fontId="6" fillId="24" borderId="46" xfId="0" quotePrefix="1" applyFont="1" applyFill="1" applyBorder="1" applyAlignment="1" applyProtection="1">
      <alignment vertical="top"/>
    </xf>
    <xf numFmtId="0" fontId="8" fillId="24" borderId="43" xfId="0" applyFont="1" applyFill="1" applyBorder="1" applyAlignment="1" applyProtection="1">
      <alignment horizontal="left" vertical="top"/>
    </xf>
    <xf numFmtId="0" fontId="8" fillId="24" borderId="47" xfId="0" applyFont="1" applyFill="1" applyBorder="1" applyAlignment="1" applyProtection="1">
      <alignment horizontal="left" vertical="top"/>
    </xf>
    <xf numFmtId="0" fontId="6" fillId="24" borderId="47" xfId="0" applyFont="1" applyFill="1" applyBorder="1" applyAlignment="1" applyProtection="1">
      <alignment vertical="top"/>
    </xf>
    <xf numFmtId="0" fontId="6" fillId="24" borderId="44" xfId="0" applyFont="1" applyFill="1" applyBorder="1" applyAlignment="1" applyProtection="1">
      <alignment vertical="top"/>
    </xf>
    <xf numFmtId="0" fontId="8" fillId="24" borderId="48" xfId="0" applyFont="1" applyFill="1" applyBorder="1" applyAlignment="1" applyProtection="1">
      <alignment horizontal="left" vertical="top"/>
    </xf>
    <xf numFmtId="0" fontId="8" fillId="24" borderId="49" xfId="0" applyFont="1" applyFill="1" applyBorder="1" applyAlignment="1" applyProtection="1">
      <alignment horizontal="left" vertical="top"/>
    </xf>
    <xf numFmtId="0" fontId="6" fillId="24" borderId="50" xfId="0" applyFont="1" applyFill="1" applyBorder="1" applyAlignment="1" applyProtection="1">
      <alignment vertical="top"/>
    </xf>
    <xf numFmtId="0" fontId="6" fillId="24" borderId="51" xfId="0" applyFont="1" applyFill="1" applyBorder="1" applyAlignment="1" applyProtection="1">
      <alignment vertical="top"/>
    </xf>
    <xf numFmtId="0" fontId="8" fillId="39" borderId="12" xfId="0" applyFont="1" applyFill="1" applyBorder="1" applyAlignment="1" applyProtection="1">
      <alignment horizontal="right" vertical="top"/>
      <protection locked="0"/>
    </xf>
    <xf numFmtId="172" fontId="8" fillId="39" borderId="45" xfId="0" applyNumberFormat="1" applyFont="1" applyFill="1" applyBorder="1" applyAlignment="1" applyProtection="1">
      <alignment horizontal="left" vertical="top"/>
    </xf>
    <xf numFmtId="0" fontId="8" fillId="24" borderId="51" xfId="0" applyFont="1" applyFill="1" applyBorder="1" applyAlignment="1" applyProtection="1">
      <alignment horizontal="right" vertical="top"/>
    </xf>
    <xf numFmtId="0" fontId="6" fillId="24" borderId="50" xfId="0" applyFont="1" applyFill="1" applyBorder="1" applyAlignment="1" applyProtection="1">
      <alignment horizontal="left" vertical="top"/>
    </xf>
    <xf numFmtId="0" fontId="8" fillId="38" borderId="39" xfId="0" applyFont="1" applyFill="1" applyBorder="1" applyAlignment="1" applyProtection="1">
      <alignment horizontal="left" vertical="top"/>
    </xf>
    <xf numFmtId="0" fontId="3" fillId="0" borderId="0" xfId="0" applyFont="1" applyAlignment="1" applyProtection="1">
      <alignment horizontal="right" vertical="top" wrapText="1"/>
    </xf>
    <xf numFmtId="0" fontId="7" fillId="0" borderId="0" xfId="0" applyFont="1" applyFill="1" applyBorder="1" applyAlignment="1" applyProtection="1">
      <alignment horizontal="right" vertical="top"/>
    </xf>
    <xf numFmtId="0" fontId="60" fillId="38" borderId="52" xfId="0" applyFont="1" applyFill="1" applyBorder="1" applyAlignment="1" applyProtection="1">
      <alignment vertical="top"/>
    </xf>
    <xf numFmtId="0" fontId="8" fillId="26" borderId="52" xfId="0" applyFont="1" applyFill="1" applyBorder="1" applyAlignment="1" applyProtection="1">
      <alignment horizontal="center" vertical="top"/>
    </xf>
    <xf numFmtId="0" fontId="8" fillId="40" borderId="53" xfId="0" applyFont="1" applyFill="1" applyBorder="1" applyAlignment="1" applyProtection="1">
      <alignment horizontal="center" vertical="top"/>
    </xf>
    <xf numFmtId="172" fontId="8" fillId="38" borderId="54" xfId="0" applyNumberFormat="1" applyFont="1" applyFill="1" applyBorder="1" applyAlignment="1" applyProtection="1">
      <alignment horizontal="right" vertical="top"/>
    </xf>
    <xf numFmtId="0" fontId="6" fillId="39" borderId="54" xfId="0" applyFont="1" applyFill="1" applyBorder="1" applyAlignment="1" applyProtection="1">
      <alignment vertical="top"/>
    </xf>
    <xf numFmtId="0" fontId="8" fillId="40" borderId="55" xfId="0" applyFont="1" applyFill="1" applyBorder="1" applyAlignment="1" applyProtection="1">
      <alignment horizontal="center" vertical="top"/>
    </xf>
    <xf numFmtId="0" fontId="8" fillId="39" borderId="45" xfId="0" applyFont="1" applyFill="1" applyBorder="1" applyAlignment="1" applyProtection="1">
      <alignment horizontal="left" vertical="top"/>
    </xf>
    <xf numFmtId="0" fontId="8" fillId="24" borderId="48" xfId="0" applyFont="1" applyFill="1" applyBorder="1" applyAlignment="1" applyProtection="1">
      <alignment vertical="top" wrapText="1"/>
    </xf>
    <xf numFmtId="0" fontId="6" fillId="24" borderId="49" xfId="0" applyFont="1" applyFill="1" applyBorder="1" applyAlignment="1" applyProtection="1">
      <alignment vertical="top"/>
    </xf>
    <xf numFmtId="0" fontId="6" fillId="24" borderId="56" xfId="0" applyFont="1" applyFill="1" applyBorder="1" applyAlignment="1" applyProtection="1">
      <alignment vertical="top"/>
    </xf>
    <xf numFmtId="0" fontId="60" fillId="39" borderId="18" xfId="0" applyFont="1" applyFill="1" applyBorder="1" applyAlignment="1" applyProtection="1">
      <alignment horizontal="center" vertical="top" wrapText="1"/>
      <protection locked="0"/>
    </xf>
    <xf numFmtId="0" fontId="6" fillId="39" borderId="54" xfId="0" applyFont="1" applyFill="1" applyBorder="1" applyAlignment="1" applyProtection="1">
      <alignment vertical="top"/>
      <protection locked="0"/>
    </xf>
    <xf numFmtId="0" fontId="6" fillId="39" borderId="54" xfId="0" applyFont="1" applyFill="1" applyBorder="1" applyAlignment="1" applyProtection="1">
      <alignment horizontal="left" vertical="top"/>
      <protection locked="0"/>
    </xf>
    <xf numFmtId="0" fontId="6" fillId="39" borderId="57" xfId="0" applyFont="1" applyFill="1" applyBorder="1" applyAlignment="1" applyProtection="1">
      <alignment horizontal="left" vertical="top"/>
      <protection locked="0"/>
    </xf>
    <xf numFmtId="0" fontId="3" fillId="0" borderId="0" xfId="0" applyFont="1" applyAlignment="1" applyProtection="1">
      <alignment vertical="top"/>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horizontal="left" vertical="top"/>
      <protection hidden="1"/>
    </xf>
    <xf numFmtId="0" fontId="2" fillId="0" borderId="0" xfId="0" applyFont="1" applyProtection="1">
      <protection hidden="1"/>
    </xf>
    <xf numFmtId="172" fontId="6" fillId="0" borderId="0" xfId="0" applyNumberFormat="1" applyFont="1" applyAlignment="1" applyProtection="1">
      <alignment vertical="top"/>
      <protection hidden="1"/>
    </xf>
    <xf numFmtId="0" fontId="6" fillId="0" borderId="0" xfId="0" applyNumberFormat="1" applyFont="1" applyAlignment="1" applyProtection="1">
      <alignment vertical="top"/>
      <protection hidden="1"/>
    </xf>
    <xf numFmtId="0" fontId="6" fillId="32" borderId="7" xfId="0" applyFont="1" applyFill="1" applyBorder="1" applyAlignment="1" applyProtection="1">
      <alignment vertical="top"/>
      <protection hidden="1"/>
    </xf>
    <xf numFmtId="0" fontId="7" fillId="32" borderId="7" xfId="0" applyFont="1" applyFill="1" applyBorder="1" applyAlignment="1" applyProtection="1">
      <alignment vertical="top"/>
      <protection hidden="1"/>
    </xf>
    <xf numFmtId="0" fontId="8" fillId="32" borderId="7" xfId="0" applyFont="1" applyFill="1" applyBorder="1" applyAlignment="1" applyProtection="1">
      <alignment horizontal="left" vertical="top"/>
      <protection hidden="1"/>
    </xf>
    <xf numFmtId="0" fontId="8" fillId="0" borderId="0" xfId="0" applyFont="1" applyAlignment="1" applyProtection="1">
      <alignment vertical="top"/>
      <protection hidden="1"/>
    </xf>
    <xf numFmtId="0" fontId="8" fillId="30" borderId="7" xfId="0" applyFont="1" applyFill="1" applyBorder="1" applyAlignment="1" applyProtection="1">
      <alignment vertical="top"/>
      <protection hidden="1"/>
    </xf>
    <xf numFmtId="0" fontId="6" fillId="30" borderId="7" xfId="0" applyFont="1" applyFill="1" applyBorder="1" applyAlignment="1" applyProtection="1">
      <alignment vertical="top"/>
      <protection hidden="1"/>
    </xf>
    <xf numFmtId="0" fontId="8" fillId="34" borderId="7" xfId="0" applyFont="1" applyFill="1" applyBorder="1" applyAlignment="1" applyProtection="1">
      <alignment vertical="top"/>
      <protection hidden="1"/>
    </xf>
    <xf numFmtId="0" fontId="6" fillId="34" borderId="7" xfId="0" applyNumberFormat="1" applyFont="1" applyFill="1" applyBorder="1" applyAlignment="1" applyProtection="1">
      <alignment vertical="top"/>
      <protection hidden="1"/>
    </xf>
    <xf numFmtId="0" fontId="6" fillId="34" borderId="7" xfId="0" applyFont="1" applyFill="1" applyBorder="1" applyAlignment="1" applyProtection="1">
      <alignment vertical="top"/>
      <protection hidden="1"/>
    </xf>
    <xf numFmtId="0" fontId="6" fillId="34" borderId="0" xfId="0" applyFont="1" applyFill="1" applyBorder="1" applyAlignment="1" applyProtection="1">
      <alignment vertical="top"/>
      <protection hidden="1"/>
    </xf>
    <xf numFmtId="0" fontId="8" fillId="35" borderId="7" xfId="0" applyFont="1" applyFill="1" applyBorder="1" applyAlignment="1" applyProtection="1">
      <alignment vertical="top"/>
      <protection hidden="1"/>
    </xf>
    <xf numFmtId="0" fontId="6" fillId="35" borderId="7" xfId="0" applyFont="1" applyFill="1" applyBorder="1" applyAlignment="1" applyProtection="1">
      <alignment vertical="top"/>
      <protection hidden="1"/>
    </xf>
    <xf numFmtId="0" fontId="14" fillId="35" borderId="7" xfId="0" applyFont="1" applyFill="1" applyBorder="1" applyAlignment="1" applyProtection="1">
      <alignment vertical="top"/>
      <protection hidden="1"/>
    </xf>
    <xf numFmtId="172" fontId="8" fillId="0" borderId="0" xfId="0" applyNumberFormat="1" applyFont="1" applyAlignment="1" applyProtection="1">
      <alignment vertical="top"/>
      <protection hidden="1"/>
    </xf>
    <xf numFmtId="0" fontId="8" fillId="34" borderId="7" xfId="0" applyNumberFormat="1" applyFont="1" applyFill="1" applyBorder="1" applyAlignment="1" applyProtection="1">
      <alignment vertical="top"/>
      <protection hidden="1"/>
    </xf>
    <xf numFmtId="0" fontId="8" fillId="34" borderId="0" xfId="0" applyFont="1" applyFill="1" applyBorder="1" applyAlignment="1" applyProtection="1">
      <alignment vertical="top"/>
      <protection hidden="1"/>
    </xf>
    <xf numFmtId="0" fontId="58" fillId="0" borderId="0" xfId="0" applyFont="1" applyAlignment="1" applyProtection="1">
      <alignment vertical="top"/>
      <protection hidden="1"/>
    </xf>
    <xf numFmtId="172" fontId="6" fillId="32" borderId="7" xfId="0" applyNumberFormat="1" applyFont="1" applyFill="1" applyBorder="1" applyAlignment="1" applyProtection="1">
      <alignment vertical="top"/>
      <protection hidden="1"/>
    </xf>
    <xf numFmtId="0" fontId="6" fillId="32" borderId="7" xfId="0" applyFont="1" applyFill="1" applyBorder="1" applyAlignment="1" applyProtection="1">
      <alignment horizontal="left" vertical="top"/>
      <protection hidden="1"/>
    </xf>
    <xf numFmtId="1" fontId="6" fillId="0" borderId="0" xfId="0" applyNumberFormat="1" applyFont="1" applyAlignment="1" applyProtection="1">
      <alignment vertical="top"/>
      <protection hidden="1"/>
    </xf>
    <xf numFmtId="0" fontId="6" fillId="31" borderId="7" xfId="0" applyFont="1" applyFill="1" applyBorder="1" applyAlignment="1" applyProtection="1">
      <alignment vertical="top"/>
      <protection hidden="1"/>
    </xf>
    <xf numFmtId="0" fontId="6" fillId="31" borderId="7" xfId="0" applyNumberFormat="1" applyFont="1" applyFill="1" applyBorder="1" applyAlignment="1" applyProtection="1">
      <alignment vertical="top"/>
      <protection hidden="1"/>
    </xf>
    <xf numFmtId="0" fontId="6" fillId="31" borderId="0" xfId="0" applyFont="1" applyFill="1" applyBorder="1" applyAlignment="1" applyProtection="1">
      <alignment vertical="top"/>
      <protection hidden="1"/>
    </xf>
    <xf numFmtId="0" fontId="6" fillId="33" borderId="7" xfId="0" applyFont="1" applyFill="1" applyBorder="1" applyAlignment="1" applyProtection="1">
      <alignment vertical="top"/>
      <protection hidden="1"/>
    </xf>
    <xf numFmtId="0" fontId="2" fillId="0" borderId="0" xfId="0" applyFont="1" applyAlignment="1" applyProtection="1">
      <alignment vertical="top"/>
      <protection hidden="1"/>
    </xf>
    <xf numFmtId="172" fontId="6" fillId="32" borderId="7" xfId="0" applyNumberFormat="1" applyFont="1" applyFill="1" applyBorder="1" applyAlignment="1" applyProtection="1">
      <alignment horizontal="left" vertical="top"/>
      <protection hidden="1"/>
    </xf>
    <xf numFmtId="0" fontId="61" fillId="31" borderId="0" xfId="0" applyFont="1" applyFill="1" applyBorder="1" applyAlignment="1" applyProtection="1">
      <alignment vertical="top"/>
      <protection hidden="1"/>
    </xf>
    <xf numFmtId="10" fontId="6" fillId="32" borderId="7" xfId="0" applyNumberFormat="1" applyFont="1" applyFill="1" applyBorder="1" applyAlignment="1" applyProtection="1">
      <alignment vertical="top"/>
      <protection hidden="1"/>
    </xf>
    <xf numFmtId="0" fontId="6" fillId="32" borderId="7" xfId="0" quotePrefix="1" applyFont="1" applyFill="1" applyBorder="1" applyAlignment="1" applyProtection="1">
      <alignment horizontal="left" vertical="top"/>
      <protection hidden="1"/>
    </xf>
    <xf numFmtId="0" fontId="6" fillId="0" borderId="0" xfId="0" applyFont="1" applyFill="1" applyAlignment="1" applyProtection="1">
      <alignment vertical="top"/>
      <protection hidden="1"/>
    </xf>
    <xf numFmtId="0" fontId="6" fillId="0" borderId="7" xfId="0" applyFont="1" applyFill="1" applyBorder="1" applyAlignment="1" applyProtection="1">
      <alignment vertical="top"/>
      <protection hidden="1"/>
    </xf>
    <xf numFmtId="0" fontId="6" fillId="0" borderId="7" xfId="0" applyNumberFormat="1" applyFont="1" applyFill="1" applyBorder="1" applyAlignment="1" applyProtection="1">
      <alignment vertical="top"/>
      <protection hidden="1"/>
    </xf>
    <xf numFmtId="0" fontId="6" fillId="0" borderId="0" xfId="0" applyFont="1" applyFill="1" applyBorder="1" applyAlignment="1" applyProtection="1">
      <alignment vertical="top"/>
      <protection hidden="1"/>
    </xf>
    <xf numFmtId="0" fontId="8" fillId="0" borderId="7" xfId="0" applyFont="1" applyFill="1" applyBorder="1" applyAlignment="1" applyProtection="1">
      <alignment vertical="top"/>
      <protection hidden="1"/>
    </xf>
    <xf numFmtId="0" fontId="8" fillId="0" borderId="7" xfId="0" applyNumberFormat="1" applyFont="1" applyFill="1" applyBorder="1" applyAlignment="1" applyProtection="1">
      <alignment vertical="top"/>
      <protection hidden="1"/>
    </xf>
    <xf numFmtId="0" fontId="8" fillId="0" borderId="0" xfId="0" applyFont="1" applyFill="1" applyBorder="1" applyAlignment="1" applyProtection="1">
      <alignment vertical="top"/>
      <protection hidden="1"/>
    </xf>
    <xf numFmtId="0" fontId="36" fillId="0" borderId="0" xfId="0" applyFont="1" applyAlignment="1" applyProtection="1">
      <alignment vertical="top"/>
      <protection hidden="1"/>
    </xf>
    <xf numFmtId="0" fontId="7" fillId="36" borderId="7" xfId="0" applyFont="1" applyFill="1" applyBorder="1" applyAlignment="1" applyProtection="1">
      <alignment vertical="top"/>
      <protection hidden="1"/>
    </xf>
    <xf numFmtId="0" fontId="6" fillId="36" borderId="7" xfId="0" applyFont="1" applyFill="1" applyBorder="1" applyAlignment="1" applyProtection="1">
      <alignment vertical="top"/>
      <protection hidden="1"/>
    </xf>
    <xf numFmtId="172" fontId="6" fillId="36" borderId="7" xfId="0" applyNumberFormat="1" applyFont="1" applyFill="1" applyBorder="1" applyAlignment="1" applyProtection="1">
      <alignment vertical="top"/>
      <protection hidden="1"/>
    </xf>
    <xf numFmtId="0" fontId="6" fillId="36" borderId="7" xfId="0" applyFont="1" applyFill="1" applyBorder="1" applyAlignment="1" applyProtection="1">
      <alignment horizontal="left" vertical="top"/>
      <protection hidden="1"/>
    </xf>
    <xf numFmtId="172" fontId="6" fillId="0" borderId="7" xfId="0" applyNumberFormat="1" applyFont="1" applyFill="1" applyBorder="1" applyAlignment="1" applyProtection="1">
      <alignment vertical="top"/>
      <protection hidden="1"/>
    </xf>
    <xf numFmtId="187" fontId="6" fillId="36" borderId="7" xfId="0" applyNumberFormat="1" applyFont="1" applyFill="1" applyBorder="1" applyAlignment="1" applyProtection="1">
      <alignment vertical="top"/>
      <protection hidden="1"/>
    </xf>
    <xf numFmtId="179" fontId="6" fillId="36" borderId="7" xfId="0" applyNumberFormat="1" applyFont="1" applyFill="1" applyBorder="1" applyAlignment="1" applyProtection="1">
      <alignment vertical="top"/>
      <protection hidden="1"/>
    </xf>
    <xf numFmtId="0" fontId="6" fillId="0" borderId="0" xfId="0" applyFont="1" applyProtection="1">
      <protection hidden="1"/>
    </xf>
    <xf numFmtId="181" fontId="6" fillId="0" borderId="0" xfId="0" applyNumberFormat="1" applyFont="1" applyAlignment="1" applyProtection="1">
      <alignment vertical="top"/>
      <protection hidden="1"/>
    </xf>
    <xf numFmtId="0" fontId="7" fillId="31" borderId="7" xfId="0" applyFont="1" applyFill="1" applyBorder="1" applyAlignment="1" applyProtection="1">
      <alignment vertical="top"/>
      <protection hidden="1"/>
    </xf>
    <xf numFmtId="172" fontId="6" fillId="31" borderId="7" xfId="0" applyNumberFormat="1" applyFont="1" applyFill="1" applyBorder="1" applyAlignment="1" applyProtection="1">
      <alignment vertical="top"/>
      <protection hidden="1"/>
    </xf>
    <xf numFmtId="0" fontId="6" fillId="31" borderId="7" xfId="0" applyFont="1" applyFill="1" applyBorder="1" applyAlignment="1" applyProtection="1">
      <alignment horizontal="left" vertical="top"/>
      <protection hidden="1"/>
    </xf>
    <xf numFmtId="179" fontId="6" fillId="31" borderId="7" xfId="0" applyNumberFormat="1" applyFont="1" applyFill="1" applyBorder="1" applyAlignment="1" applyProtection="1">
      <alignment vertical="top"/>
      <protection hidden="1"/>
    </xf>
    <xf numFmtId="0" fontId="3" fillId="0" borderId="0" xfId="0" applyFont="1" applyFill="1" applyAlignment="1" applyProtection="1">
      <alignment vertical="top"/>
      <protection hidden="1"/>
    </xf>
    <xf numFmtId="0" fontId="0" fillId="0" borderId="0" xfId="0" applyFill="1" applyAlignment="1" applyProtection="1">
      <alignment vertical="top"/>
      <protection hidden="1"/>
    </xf>
    <xf numFmtId="0" fontId="2" fillId="0" borderId="0" xfId="0" applyFont="1" applyFill="1" applyProtection="1">
      <protection hidden="1"/>
    </xf>
    <xf numFmtId="0" fontId="6" fillId="0" borderId="0" xfId="0" applyNumberFormat="1" applyFont="1" applyFill="1" applyAlignment="1" applyProtection="1">
      <alignment vertical="top"/>
      <protection hidden="1"/>
    </xf>
    <xf numFmtId="172" fontId="6" fillId="0" borderId="0" xfId="0" applyNumberFormat="1" applyFont="1" applyFill="1" applyAlignment="1" applyProtection="1">
      <alignment vertical="top"/>
      <protection hidden="1"/>
    </xf>
    <xf numFmtId="0" fontId="58" fillId="0" borderId="0" xfId="0" applyFont="1" applyFill="1" applyAlignment="1" applyProtection="1">
      <alignment vertical="top"/>
      <protection hidden="1"/>
    </xf>
    <xf numFmtId="187" fontId="6" fillId="31" borderId="7" xfId="0" applyNumberFormat="1" applyFont="1" applyFill="1" applyBorder="1" applyAlignment="1" applyProtection="1">
      <alignment vertical="top"/>
      <protection hidden="1"/>
    </xf>
    <xf numFmtId="1" fontId="6" fillId="31" borderId="7" xfId="0" applyNumberFormat="1" applyFont="1" applyFill="1" applyBorder="1" applyAlignment="1" applyProtection="1">
      <alignment vertical="top"/>
      <protection hidden="1"/>
    </xf>
    <xf numFmtId="0" fontId="6" fillId="31" borderId="7" xfId="0" quotePrefix="1" applyFont="1" applyFill="1" applyBorder="1" applyAlignment="1" applyProtection="1">
      <alignment horizontal="left" vertical="top"/>
      <protection hidden="1"/>
    </xf>
    <xf numFmtId="172" fontId="6" fillId="0" borderId="0" xfId="0" applyNumberFormat="1" applyFont="1" applyProtection="1">
      <protection hidden="1"/>
    </xf>
    <xf numFmtId="0" fontId="38" fillId="31" borderId="7" xfId="0" applyFont="1" applyFill="1" applyBorder="1" applyAlignment="1" applyProtection="1">
      <alignment vertical="top"/>
      <protection hidden="1"/>
    </xf>
    <xf numFmtId="179" fontId="38" fillId="31" borderId="7" xfId="0" applyNumberFormat="1" applyFont="1" applyFill="1" applyBorder="1" applyAlignment="1" applyProtection="1">
      <alignment vertical="top"/>
      <protection hidden="1"/>
    </xf>
    <xf numFmtId="0" fontId="38" fillId="31" borderId="7" xfId="0" quotePrefix="1" applyFont="1" applyFill="1" applyBorder="1" applyAlignment="1" applyProtection="1">
      <alignment horizontal="left" vertical="top"/>
      <protection hidden="1"/>
    </xf>
    <xf numFmtId="0" fontId="38" fillId="31" borderId="7" xfId="0" applyFont="1" applyFill="1" applyBorder="1" applyAlignment="1" applyProtection="1">
      <alignment horizontal="left" vertical="top"/>
      <protection hidden="1"/>
    </xf>
    <xf numFmtId="0" fontId="7" fillId="0" borderId="0" xfId="0" applyFont="1" applyFill="1" applyAlignment="1" applyProtection="1">
      <alignment vertical="top" wrapText="1"/>
      <protection hidden="1"/>
    </xf>
    <xf numFmtId="0" fontId="3" fillId="0" borderId="0" xfId="0" applyFont="1" applyFill="1" applyAlignment="1" applyProtection="1">
      <alignment horizontal="right" vertical="top" wrapText="1"/>
      <protection hidden="1"/>
    </xf>
    <xf numFmtId="2" fontId="6" fillId="31" borderId="7" xfId="0" applyNumberFormat="1" applyFont="1" applyFill="1" applyBorder="1" applyAlignment="1" applyProtection="1">
      <alignment vertical="top"/>
      <protection hidden="1"/>
    </xf>
    <xf numFmtId="0" fontId="3" fillId="0" borderId="0" xfId="0" applyFont="1" applyFill="1" applyAlignment="1" applyProtection="1">
      <alignment vertical="top" wrapText="1"/>
      <protection hidden="1"/>
    </xf>
    <xf numFmtId="177" fontId="6" fillId="31" borderId="7" xfId="0" applyNumberFormat="1" applyFont="1" applyFill="1" applyBorder="1" applyAlignment="1" applyProtection="1">
      <alignment vertical="top"/>
      <protection hidden="1"/>
    </xf>
    <xf numFmtId="181" fontId="6" fillId="31" borderId="7" xfId="0" applyNumberFormat="1" applyFont="1" applyFill="1" applyBorder="1" applyAlignment="1" applyProtection="1">
      <alignment vertical="top"/>
      <protection hidden="1"/>
    </xf>
    <xf numFmtId="172" fontId="3" fillId="0" borderId="0" xfId="0" applyNumberFormat="1" applyFont="1" applyAlignment="1" applyProtection="1">
      <alignment vertical="top"/>
      <protection hidden="1"/>
    </xf>
    <xf numFmtId="173" fontId="6" fillId="31" borderId="7" xfId="0" applyNumberFormat="1" applyFont="1" applyFill="1" applyBorder="1" applyAlignment="1" applyProtection="1">
      <alignment vertical="top"/>
      <protection hidden="1"/>
    </xf>
    <xf numFmtId="0" fontId="14" fillId="0" borderId="0" xfId="0" applyFont="1" applyAlignment="1" applyProtection="1">
      <alignment vertical="top"/>
      <protection hidden="1"/>
    </xf>
    <xf numFmtId="179" fontId="6" fillId="0" borderId="7" xfId="0" applyNumberFormat="1" applyFont="1" applyFill="1" applyBorder="1" applyAlignment="1" applyProtection="1">
      <alignment vertical="top"/>
      <protection hidden="1"/>
    </xf>
    <xf numFmtId="0" fontId="6" fillId="0" borderId="7" xfId="0" applyFont="1" applyFill="1" applyBorder="1" applyAlignment="1" applyProtection="1">
      <alignment horizontal="left" vertical="top"/>
      <protection hidden="1"/>
    </xf>
    <xf numFmtId="0" fontId="0" fillId="0" borderId="0" xfId="0" applyProtection="1">
      <protection hidden="1"/>
    </xf>
    <xf numFmtId="0" fontId="62" fillId="0" borderId="0" xfId="0" applyFont="1" applyFill="1" applyAlignment="1" applyProtection="1">
      <alignment vertical="top"/>
      <protection hidden="1"/>
    </xf>
    <xf numFmtId="173" fontId="6" fillId="0" borderId="0" xfId="0" applyNumberFormat="1" applyFont="1" applyFill="1" applyAlignment="1" applyProtection="1">
      <alignment vertical="top"/>
      <protection hidden="1"/>
    </xf>
    <xf numFmtId="0" fontId="7" fillId="37" borderId="7" xfId="0" applyFont="1" applyFill="1" applyBorder="1" applyAlignment="1" applyProtection="1">
      <alignment vertical="top"/>
      <protection hidden="1"/>
    </xf>
    <xf numFmtId="0" fontId="6" fillId="37" borderId="7" xfId="0" applyFont="1" applyFill="1" applyBorder="1" applyAlignment="1" applyProtection="1">
      <alignment vertical="top"/>
      <protection hidden="1"/>
    </xf>
    <xf numFmtId="0" fontId="3" fillId="37" borderId="0" xfId="0" applyFont="1" applyFill="1" applyAlignment="1" applyProtection="1">
      <alignment vertical="top"/>
      <protection hidden="1"/>
    </xf>
    <xf numFmtId="0" fontId="2" fillId="37" borderId="0" xfId="0" applyFont="1" applyFill="1" applyProtection="1">
      <protection hidden="1"/>
    </xf>
    <xf numFmtId="0" fontId="6" fillId="37" borderId="0" xfId="0" applyFont="1" applyFill="1" applyAlignment="1" applyProtection="1">
      <alignment vertical="top"/>
      <protection hidden="1"/>
    </xf>
    <xf numFmtId="172" fontId="6" fillId="37" borderId="0" xfId="0" applyNumberFormat="1" applyFont="1" applyFill="1" applyAlignment="1" applyProtection="1">
      <alignment vertical="top"/>
      <protection hidden="1"/>
    </xf>
    <xf numFmtId="0" fontId="40" fillId="0" borderId="0" xfId="0" applyFont="1" applyFill="1" applyAlignment="1" applyProtection="1">
      <alignment vertical="top"/>
      <protection hidden="1"/>
    </xf>
    <xf numFmtId="0" fontId="38" fillId="0" borderId="0" xfId="0" applyFont="1" applyAlignment="1" applyProtection="1">
      <alignment vertical="top"/>
      <protection hidden="1"/>
    </xf>
    <xf numFmtId="0" fontId="37" fillId="0" borderId="0" xfId="0" applyFont="1" applyAlignment="1" applyProtection="1">
      <alignment vertical="top"/>
      <protection hidden="1"/>
    </xf>
    <xf numFmtId="173" fontId="6" fillId="0" borderId="0" xfId="0" applyNumberFormat="1" applyFont="1" applyAlignment="1" applyProtection="1">
      <alignment vertical="top"/>
      <protection hidden="1"/>
    </xf>
    <xf numFmtId="186" fontId="6" fillId="0" borderId="0" xfId="0" applyNumberFormat="1" applyFont="1" applyAlignment="1" applyProtection="1">
      <alignment vertical="top"/>
      <protection hidden="1"/>
    </xf>
    <xf numFmtId="10" fontId="6" fillId="0" borderId="0" xfId="0" applyNumberFormat="1" applyFont="1" applyAlignment="1" applyProtection="1">
      <alignment vertical="top"/>
      <protection hidden="1"/>
    </xf>
    <xf numFmtId="0" fontId="3" fillId="0" borderId="0" xfId="0" applyFont="1" applyAlignment="1" applyProtection="1">
      <alignment vertical="top" wrapText="1"/>
      <protection hidden="1"/>
    </xf>
    <xf numFmtId="0" fontId="6" fillId="0" borderId="0" xfId="0" applyFont="1" applyAlignment="1" applyProtection="1">
      <alignment vertical="top" wrapText="1"/>
      <protection hidden="1"/>
    </xf>
    <xf numFmtId="0" fontId="8" fillId="40" borderId="28" xfId="0" applyFont="1" applyFill="1" applyBorder="1" applyAlignment="1" applyProtection="1">
      <alignment horizontal="center" vertical="top"/>
    </xf>
    <xf numFmtId="0" fontId="8" fillId="40" borderId="61" xfId="0" applyFont="1" applyFill="1" applyBorder="1" applyAlignment="1" applyProtection="1">
      <alignment horizontal="center" vertical="top"/>
    </xf>
    <xf numFmtId="0" fontId="8" fillId="40" borderId="19" xfId="0" applyFont="1" applyFill="1" applyBorder="1" applyAlignment="1" applyProtection="1">
      <alignment horizontal="center" vertical="top"/>
    </xf>
    <xf numFmtId="172" fontId="8" fillId="39" borderId="62" xfId="0" applyNumberFormat="1" applyFont="1" applyFill="1" applyBorder="1" applyAlignment="1" applyProtection="1">
      <alignment horizontal="left" vertical="top"/>
      <protection locked="0"/>
    </xf>
    <xf numFmtId="172" fontId="8" fillId="39" borderId="63" xfId="0" applyNumberFormat="1" applyFont="1" applyFill="1" applyBorder="1" applyAlignment="1" applyProtection="1">
      <alignment horizontal="left" vertical="top"/>
      <protection locked="0"/>
    </xf>
    <xf numFmtId="172" fontId="8" fillId="39" borderId="64" xfId="0" applyNumberFormat="1" applyFont="1" applyFill="1" applyBorder="1" applyAlignment="1" applyProtection="1">
      <alignment horizontal="left" vertical="top"/>
      <protection locked="0"/>
    </xf>
    <xf numFmtId="0" fontId="8" fillId="24" borderId="62" xfId="0" applyFont="1" applyFill="1" applyBorder="1" applyAlignment="1" applyProtection="1">
      <alignment horizontal="left" vertical="top"/>
    </xf>
    <xf numFmtId="0" fontId="8" fillId="24" borderId="65" xfId="0" applyFont="1" applyFill="1" applyBorder="1" applyAlignment="1" applyProtection="1">
      <alignment horizontal="left" vertical="top"/>
    </xf>
    <xf numFmtId="0" fontId="8" fillId="40" borderId="58" xfId="0" applyFont="1" applyFill="1" applyBorder="1" applyAlignment="1" applyProtection="1">
      <alignment horizontal="center" vertical="top"/>
    </xf>
    <xf numFmtId="0" fontId="8" fillId="40" borderId="59" xfId="0" applyFont="1" applyFill="1" applyBorder="1" applyAlignment="1" applyProtection="1">
      <alignment horizontal="center" vertical="top"/>
    </xf>
    <xf numFmtId="0" fontId="8" fillId="40" borderId="60" xfId="0" applyFont="1" applyFill="1" applyBorder="1" applyAlignment="1" applyProtection="1">
      <alignment horizontal="center" vertical="top"/>
    </xf>
    <xf numFmtId="0" fontId="45" fillId="0" borderId="61" xfId="0" applyFont="1" applyBorder="1" applyAlignment="1" applyProtection="1">
      <alignment horizontal="right" vertical="top"/>
    </xf>
    <xf numFmtId="0" fontId="45" fillId="0" borderId="0" xfId="0" applyFont="1" applyAlignment="1" applyProtection="1">
      <alignment horizontal="right" vertical="top"/>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_ZXLD1370 Buck - Boost office 2003 Alan 100705" xfId="37"/>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17">
    <dxf>
      <font>
        <strike val="0"/>
        <condense val="0"/>
        <extend val="0"/>
        <color indexed="10"/>
      </font>
    </dxf>
    <dxf>
      <font>
        <strike val="0"/>
        <condense val="0"/>
        <extend val="0"/>
        <color indexed="10"/>
      </font>
    </dxf>
    <dxf>
      <font>
        <strike val="0"/>
        <condense val="0"/>
        <extend val="0"/>
        <color indexed="10"/>
      </font>
    </dxf>
    <dxf>
      <font>
        <strike val="0"/>
        <condense val="0"/>
        <extend val="0"/>
        <color indexed="10"/>
      </font>
    </dxf>
    <dxf>
      <font>
        <strike val="0"/>
        <condense val="0"/>
        <extend val="0"/>
        <color indexed="10"/>
      </font>
    </dxf>
    <dxf>
      <font>
        <b/>
        <i val="0"/>
        <color rgb="FFFF0000"/>
      </font>
    </dxf>
    <dxf>
      <font>
        <b/>
        <i val="0"/>
        <strike val="0"/>
        <color rgb="FFFF0000"/>
      </font>
    </dxf>
    <dxf>
      <font>
        <b/>
        <i val="0"/>
        <strike val="0"/>
        <condense val="0"/>
        <extend val="0"/>
        <color indexed="10"/>
      </font>
    </dxf>
    <dxf>
      <font>
        <color theme="0"/>
        <name val="Cambria"/>
        <scheme val="none"/>
      </font>
      <fill>
        <patternFill patternType="none">
          <bgColor indexed="65"/>
        </patternFill>
      </fill>
      <border>
        <left style="thin">
          <color indexed="64"/>
        </left>
        <right/>
        <top/>
        <bottom/>
      </border>
    </dxf>
    <dxf>
      <font>
        <color theme="0"/>
        <name val="Cambria"/>
        <scheme val="none"/>
      </font>
      <fill>
        <patternFill patternType="none">
          <bgColor indexed="65"/>
        </patternFill>
      </fill>
      <border>
        <left style="thin">
          <color indexed="64"/>
        </left>
        <right/>
        <top/>
        <bottom/>
      </border>
    </dxf>
    <dxf>
      <font>
        <color theme="0"/>
        <name val="Cambria"/>
        <scheme val="none"/>
      </font>
      <fill>
        <patternFill patternType="none">
          <bgColor indexed="65"/>
        </patternFill>
      </fill>
      <border>
        <left style="thin">
          <color indexed="64"/>
        </left>
        <right/>
        <top/>
        <bottom/>
      </border>
    </dxf>
    <dxf>
      <font>
        <strike val="0"/>
        <color rgb="FFFF0000"/>
      </font>
    </dxf>
    <dxf>
      <font>
        <b/>
        <i val="0"/>
        <strike val="0"/>
        <color rgb="FFFF0000"/>
      </font>
    </dxf>
    <dxf>
      <font>
        <b/>
        <i val="0"/>
        <strike val="0"/>
        <condense val="0"/>
        <extend val="0"/>
        <color indexed="10"/>
      </font>
    </dxf>
    <dxf>
      <font>
        <b/>
        <i val="0"/>
        <strike val="0"/>
        <condense val="0"/>
        <extend val="0"/>
        <color indexed="10"/>
      </font>
    </dxf>
    <dxf>
      <font>
        <b/>
        <i val="0"/>
        <strike val="0"/>
        <condense val="0"/>
        <extend val="0"/>
        <color indexed="10"/>
      </font>
    </dxf>
    <dxf>
      <font>
        <b/>
        <i val="0"/>
        <strike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Switching Frequency vs Vin</a:t>
            </a:r>
          </a:p>
        </c:rich>
      </c:tx>
      <c:layout>
        <c:manualLayout>
          <c:xMode val="edge"/>
          <c:yMode val="edge"/>
          <c:x val="0.26478964889772166"/>
          <c:y val="3.09734410951935E-2"/>
        </c:manualLayout>
      </c:layout>
      <c:overlay val="0"/>
      <c:spPr>
        <a:noFill/>
        <a:ln w="25400">
          <a:noFill/>
        </a:ln>
      </c:spPr>
    </c:title>
    <c:autoTitleDeleted val="0"/>
    <c:plotArea>
      <c:layout>
        <c:manualLayout>
          <c:layoutTarget val="inner"/>
          <c:xMode val="edge"/>
          <c:yMode val="edge"/>
          <c:x val="0.16176470588235295"/>
          <c:y val="0.17837837837837839"/>
          <c:w val="0.75735294117647056"/>
          <c:h val="0.6216216216216216"/>
        </c:manualLayout>
      </c:layout>
      <c:scatterChart>
        <c:scatterStyle val="lineMarker"/>
        <c:varyColors val="0"/>
        <c:ser>
          <c:idx val="0"/>
          <c:order val="0"/>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Calculator!$AJ$120:$AJ$660</c:f>
              <c:numCache>
                <c:formatCode>0</c:formatCode>
                <c:ptCount val="541"/>
                <c:pt idx="0">
                  <c:v>390</c:v>
                </c:pt>
                <c:pt idx="1">
                  <c:v>390.00000000000006</c:v>
                </c:pt>
                <c:pt idx="2">
                  <c:v>389.99999999999994</c:v>
                </c:pt>
                <c:pt idx="3">
                  <c:v>390.00000000000011</c:v>
                </c:pt>
                <c:pt idx="4">
                  <c:v>390</c:v>
                </c:pt>
                <c:pt idx="5">
                  <c:v>390</c:v>
                </c:pt>
                <c:pt idx="6">
                  <c:v>390.00000000000006</c:v>
                </c:pt>
                <c:pt idx="7">
                  <c:v>390.00000000000006</c:v>
                </c:pt>
                <c:pt idx="8">
                  <c:v>390</c:v>
                </c:pt>
                <c:pt idx="9">
                  <c:v>390.00000000000006</c:v>
                </c:pt>
                <c:pt idx="10">
                  <c:v>390</c:v>
                </c:pt>
                <c:pt idx="11">
                  <c:v>389.99999999999994</c:v>
                </c:pt>
                <c:pt idx="12">
                  <c:v>389.99999999999994</c:v>
                </c:pt>
                <c:pt idx="13">
                  <c:v>390.00000000000006</c:v>
                </c:pt>
                <c:pt idx="14">
                  <c:v>389.99999999999994</c:v>
                </c:pt>
                <c:pt idx="15">
                  <c:v>389.99999999999994</c:v>
                </c:pt>
                <c:pt idx="16">
                  <c:v>390</c:v>
                </c:pt>
                <c:pt idx="17">
                  <c:v>389.99999999999994</c:v>
                </c:pt>
                <c:pt idx="18">
                  <c:v>390</c:v>
                </c:pt>
                <c:pt idx="19">
                  <c:v>390.00000000000006</c:v>
                </c:pt>
                <c:pt idx="20">
                  <c:v>390.00000000000006</c:v>
                </c:pt>
                <c:pt idx="21">
                  <c:v>390</c:v>
                </c:pt>
                <c:pt idx="22">
                  <c:v>389.99999999999994</c:v>
                </c:pt>
                <c:pt idx="23">
                  <c:v>390</c:v>
                </c:pt>
                <c:pt idx="24">
                  <c:v>390.00000000000006</c:v>
                </c:pt>
                <c:pt idx="25">
                  <c:v>389.99999999999994</c:v>
                </c:pt>
                <c:pt idx="26">
                  <c:v>390</c:v>
                </c:pt>
                <c:pt idx="27">
                  <c:v>390</c:v>
                </c:pt>
                <c:pt idx="28">
                  <c:v>390</c:v>
                </c:pt>
                <c:pt idx="29">
                  <c:v>389.99999999999994</c:v>
                </c:pt>
                <c:pt idx="30">
                  <c:v>390</c:v>
                </c:pt>
                <c:pt idx="31">
                  <c:v>390</c:v>
                </c:pt>
                <c:pt idx="32">
                  <c:v>390</c:v>
                </c:pt>
                <c:pt idx="33">
                  <c:v>390</c:v>
                </c:pt>
                <c:pt idx="34">
                  <c:v>389.99999999999994</c:v>
                </c:pt>
                <c:pt idx="35">
                  <c:v>390.00000000000006</c:v>
                </c:pt>
                <c:pt idx="36">
                  <c:v>390.00000000000006</c:v>
                </c:pt>
                <c:pt idx="37">
                  <c:v>390</c:v>
                </c:pt>
                <c:pt idx="38">
                  <c:v>390</c:v>
                </c:pt>
                <c:pt idx="39">
                  <c:v>390</c:v>
                </c:pt>
                <c:pt idx="40">
                  <c:v>390</c:v>
                </c:pt>
                <c:pt idx="41">
                  <c:v>390</c:v>
                </c:pt>
                <c:pt idx="42">
                  <c:v>390.00000000000006</c:v>
                </c:pt>
                <c:pt idx="43">
                  <c:v>390</c:v>
                </c:pt>
                <c:pt idx="44">
                  <c:v>390</c:v>
                </c:pt>
                <c:pt idx="45">
                  <c:v>390</c:v>
                </c:pt>
                <c:pt idx="46">
                  <c:v>390</c:v>
                </c:pt>
                <c:pt idx="47">
                  <c:v>390</c:v>
                </c:pt>
                <c:pt idx="48">
                  <c:v>390</c:v>
                </c:pt>
                <c:pt idx="49">
                  <c:v>390</c:v>
                </c:pt>
                <c:pt idx="50">
                  <c:v>390</c:v>
                </c:pt>
                <c:pt idx="51">
                  <c:v>390</c:v>
                </c:pt>
                <c:pt idx="52">
                  <c:v>390</c:v>
                </c:pt>
                <c:pt idx="53">
                  <c:v>390.00000000000006</c:v>
                </c:pt>
                <c:pt idx="54">
                  <c:v>390.00000000000006</c:v>
                </c:pt>
                <c:pt idx="55">
                  <c:v>390.00000000000006</c:v>
                </c:pt>
                <c:pt idx="56">
                  <c:v>390</c:v>
                </c:pt>
                <c:pt idx="57">
                  <c:v>390.00000000000006</c:v>
                </c:pt>
                <c:pt idx="58">
                  <c:v>390</c:v>
                </c:pt>
                <c:pt idx="59">
                  <c:v>390</c:v>
                </c:pt>
                <c:pt idx="60">
                  <c:v>390</c:v>
                </c:pt>
                <c:pt idx="61">
                  <c:v>390</c:v>
                </c:pt>
                <c:pt idx="62">
                  <c:v>390</c:v>
                </c:pt>
                <c:pt idx="63">
                  <c:v>390</c:v>
                </c:pt>
                <c:pt idx="64">
                  <c:v>390.00000000000006</c:v>
                </c:pt>
                <c:pt idx="65">
                  <c:v>389.99999999999994</c:v>
                </c:pt>
                <c:pt idx="66">
                  <c:v>390</c:v>
                </c:pt>
                <c:pt idx="67">
                  <c:v>390</c:v>
                </c:pt>
                <c:pt idx="68">
                  <c:v>390.00000000000006</c:v>
                </c:pt>
                <c:pt idx="69">
                  <c:v>390</c:v>
                </c:pt>
                <c:pt idx="70">
                  <c:v>390</c:v>
                </c:pt>
                <c:pt idx="71">
                  <c:v>390</c:v>
                </c:pt>
                <c:pt idx="72">
                  <c:v>390.00000000000006</c:v>
                </c:pt>
                <c:pt idx="73">
                  <c:v>390.00000000000011</c:v>
                </c:pt>
                <c:pt idx="74">
                  <c:v>390.00000000000006</c:v>
                </c:pt>
                <c:pt idx="75">
                  <c:v>389.99999999999994</c:v>
                </c:pt>
                <c:pt idx="76">
                  <c:v>389.99999999999994</c:v>
                </c:pt>
                <c:pt idx="77">
                  <c:v>390</c:v>
                </c:pt>
                <c:pt idx="78">
                  <c:v>390</c:v>
                </c:pt>
                <c:pt idx="79">
                  <c:v>390</c:v>
                </c:pt>
                <c:pt idx="80">
                  <c:v>389.99999999999994</c:v>
                </c:pt>
                <c:pt idx="81">
                  <c:v>390</c:v>
                </c:pt>
                <c:pt idx="82">
                  <c:v>390</c:v>
                </c:pt>
                <c:pt idx="83">
                  <c:v>390</c:v>
                </c:pt>
                <c:pt idx="84">
                  <c:v>390</c:v>
                </c:pt>
                <c:pt idx="85">
                  <c:v>389.99999999999994</c:v>
                </c:pt>
                <c:pt idx="86">
                  <c:v>390</c:v>
                </c:pt>
                <c:pt idx="87">
                  <c:v>390</c:v>
                </c:pt>
                <c:pt idx="88">
                  <c:v>390</c:v>
                </c:pt>
                <c:pt idx="89">
                  <c:v>390</c:v>
                </c:pt>
                <c:pt idx="90">
                  <c:v>390</c:v>
                </c:pt>
                <c:pt idx="91">
                  <c:v>390</c:v>
                </c:pt>
                <c:pt idx="92">
                  <c:v>390.00000000000006</c:v>
                </c:pt>
                <c:pt idx="93">
                  <c:v>390.00000000000006</c:v>
                </c:pt>
                <c:pt idx="94">
                  <c:v>390</c:v>
                </c:pt>
                <c:pt idx="95">
                  <c:v>390.00000000000006</c:v>
                </c:pt>
                <c:pt idx="96">
                  <c:v>390</c:v>
                </c:pt>
                <c:pt idx="97">
                  <c:v>390.00000000000006</c:v>
                </c:pt>
                <c:pt idx="98">
                  <c:v>389.99999999999994</c:v>
                </c:pt>
                <c:pt idx="99">
                  <c:v>390</c:v>
                </c:pt>
                <c:pt idx="100">
                  <c:v>390.00000000000006</c:v>
                </c:pt>
                <c:pt idx="101">
                  <c:v>390.00000000000006</c:v>
                </c:pt>
                <c:pt idx="102">
                  <c:v>390.00000000000006</c:v>
                </c:pt>
                <c:pt idx="103">
                  <c:v>390.00000000000006</c:v>
                </c:pt>
                <c:pt idx="104">
                  <c:v>390.00000000000006</c:v>
                </c:pt>
                <c:pt idx="105">
                  <c:v>390.00000000000006</c:v>
                </c:pt>
                <c:pt idx="106">
                  <c:v>390.00000000000006</c:v>
                </c:pt>
                <c:pt idx="107">
                  <c:v>390.00000000000006</c:v>
                </c:pt>
                <c:pt idx="108">
                  <c:v>390.00000000000006</c:v>
                </c:pt>
                <c:pt idx="109">
                  <c:v>390.00000000000006</c:v>
                </c:pt>
                <c:pt idx="110">
                  <c:v>390.00000000000006</c:v>
                </c:pt>
                <c:pt idx="111">
                  <c:v>390.00000000000006</c:v>
                </c:pt>
                <c:pt idx="112">
                  <c:v>390.00000000000006</c:v>
                </c:pt>
                <c:pt idx="113">
                  <c:v>390.00000000000006</c:v>
                </c:pt>
                <c:pt idx="114">
                  <c:v>390.00000000000006</c:v>
                </c:pt>
                <c:pt idx="115">
                  <c:v>390.00000000000006</c:v>
                </c:pt>
                <c:pt idx="116">
                  <c:v>390.00000000000006</c:v>
                </c:pt>
                <c:pt idx="117">
                  <c:v>390.00000000000006</c:v>
                </c:pt>
                <c:pt idx="118">
                  <c:v>390.00000000000006</c:v>
                </c:pt>
                <c:pt idx="119">
                  <c:v>390.00000000000006</c:v>
                </c:pt>
                <c:pt idx="120">
                  <c:v>390.00000000000006</c:v>
                </c:pt>
                <c:pt idx="121">
                  <c:v>390.00000000000006</c:v>
                </c:pt>
                <c:pt idx="122">
                  <c:v>390.00000000000006</c:v>
                </c:pt>
                <c:pt idx="123">
                  <c:v>390.00000000000006</c:v>
                </c:pt>
                <c:pt idx="124">
                  <c:v>390.00000000000006</c:v>
                </c:pt>
                <c:pt idx="125">
                  <c:v>390.00000000000006</c:v>
                </c:pt>
                <c:pt idx="126">
                  <c:v>390.00000000000006</c:v>
                </c:pt>
                <c:pt idx="127">
                  <c:v>390.00000000000006</c:v>
                </c:pt>
                <c:pt idx="128">
                  <c:v>390.00000000000006</c:v>
                </c:pt>
                <c:pt idx="129">
                  <c:v>390.00000000000006</c:v>
                </c:pt>
                <c:pt idx="130">
                  <c:v>390.00000000000006</c:v>
                </c:pt>
                <c:pt idx="131">
                  <c:v>390.00000000000006</c:v>
                </c:pt>
                <c:pt idx="132">
                  <c:v>390.00000000000006</c:v>
                </c:pt>
                <c:pt idx="133">
                  <c:v>390.00000000000006</c:v>
                </c:pt>
                <c:pt idx="134">
                  <c:v>390.00000000000006</c:v>
                </c:pt>
                <c:pt idx="135">
                  <c:v>390.00000000000006</c:v>
                </c:pt>
                <c:pt idx="136">
                  <c:v>390.00000000000006</c:v>
                </c:pt>
                <c:pt idx="137">
                  <c:v>390.00000000000006</c:v>
                </c:pt>
                <c:pt idx="138">
                  <c:v>390.00000000000006</c:v>
                </c:pt>
                <c:pt idx="139">
                  <c:v>390.00000000000006</c:v>
                </c:pt>
                <c:pt idx="140">
                  <c:v>390.00000000000006</c:v>
                </c:pt>
                <c:pt idx="141">
                  <c:v>390.00000000000006</c:v>
                </c:pt>
                <c:pt idx="142">
                  <c:v>390.00000000000006</c:v>
                </c:pt>
                <c:pt idx="143">
                  <c:v>390.00000000000006</c:v>
                </c:pt>
                <c:pt idx="144">
                  <c:v>390.00000000000006</c:v>
                </c:pt>
                <c:pt idx="145">
                  <c:v>390.00000000000006</c:v>
                </c:pt>
                <c:pt idx="146">
                  <c:v>390.00000000000006</c:v>
                </c:pt>
                <c:pt idx="147">
                  <c:v>390.00000000000006</c:v>
                </c:pt>
                <c:pt idx="148">
                  <c:v>390.00000000000006</c:v>
                </c:pt>
                <c:pt idx="149">
                  <c:v>390.00000000000006</c:v>
                </c:pt>
                <c:pt idx="150">
                  <c:v>390.00000000000006</c:v>
                </c:pt>
                <c:pt idx="151">
                  <c:v>390.00000000000006</c:v>
                </c:pt>
                <c:pt idx="152">
                  <c:v>390.00000000000006</c:v>
                </c:pt>
                <c:pt idx="153">
                  <c:v>390.00000000000006</c:v>
                </c:pt>
                <c:pt idx="154">
                  <c:v>390.00000000000006</c:v>
                </c:pt>
                <c:pt idx="155">
                  <c:v>390.00000000000006</c:v>
                </c:pt>
                <c:pt idx="156">
                  <c:v>390.00000000000006</c:v>
                </c:pt>
                <c:pt idx="157">
                  <c:v>390.00000000000006</c:v>
                </c:pt>
                <c:pt idx="158">
                  <c:v>390.00000000000006</c:v>
                </c:pt>
                <c:pt idx="159">
                  <c:v>390.00000000000006</c:v>
                </c:pt>
                <c:pt idx="160">
                  <c:v>390.00000000000006</c:v>
                </c:pt>
                <c:pt idx="161">
                  <c:v>390.00000000000006</c:v>
                </c:pt>
                <c:pt idx="162">
                  <c:v>390.00000000000006</c:v>
                </c:pt>
                <c:pt idx="163">
                  <c:v>390.00000000000006</c:v>
                </c:pt>
                <c:pt idx="164">
                  <c:v>390.00000000000006</c:v>
                </c:pt>
                <c:pt idx="165">
                  <c:v>390.00000000000006</c:v>
                </c:pt>
                <c:pt idx="166">
                  <c:v>390.00000000000006</c:v>
                </c:pt>
                <c:pt idx="167">
                  <c:v>390.00000000000006</c:v>
                </c:pt>
                <c:pt idx="168">
                  <c:v>390.00000000000006</c:v>
                </c:pt>
                <c:pt idx="169">
                  <c:v>390.00000000000006</c:v>
                </c:pt>
                <c:pt idx="170">
                  <c:v>390.00000000000006</c:v>
                </c:pt>
                <c:pt idx="171">
                  <c:v>390.00000000000006</c:v>
                </c:pt>
                <c:pt idx="172">
                  <c:v>390.00000000000006</c:v>
                </c:pt>
                <c:pt idx="173">
                  <c:v>390.00000000000006</c:v>
                </c:pt>
                <c:pt idx="174">
                  <c:v>390.00000000000006</c:v>
                </c:pt>
                <c:pt idx="175">
                  <c:v>390.00000000000006</c:v>
                </c:pt>
                <c:pt idx="176">
                  <c:v>390.00000000000006</c:v>
                </c:pt>
                <c:pt idx="177">
                  <c:v>390.00000000000006</c:v>
                </c:pt>
                <c:pt idx="178">
                  <c:v>390.00000000000006</c:v>
                </c:pt>
                <c:pt idx="179">
                  <c:v>390.00000000000006</c:v>
                </c:pt>
                <c:pt idx="180">
                  <c:v>390.00000000000006</c:v>
                </c:pt>
                <c:pt idx="181">
                  <c:v>390.00000000000006</c:v>
                </c:pt>
                <c:pt idx="182">
                  <c:v>390.00000000000006</c:v>
                </c:pt>
                <c:pt idx="183">
                  <c:v>390.00000000000006</c:v>
                </c:pt>
                <c:pt idx="184">
                  <c:v>390.00000000000006</c:v>
                </c:pt>
                <c:pt idx="185">
                  <c:v>390.00000000000006</c:v>
                </c:pt>
                <c:pt idx="186">
                  <c:v>390.00000000000006</c:v>
                </c:pt>
                <c:pt idx="187">
                  <c:v>390.00000000000006</c:v>
                </c:pt>
                <c:pt idx="188">
                  <c:v>390.00000000000006</c:v>
                </c:pt>
                <c:pt idx="189">
                  <c:v>390.00000000000006</c:v>
                </c:pt>
                <c:pt idx="190">
                  <c:v>390.00000000000006</c:v>
                </c:pt>
                <c:pt idx="191">
                  <c:v>390.00000000000006</c:v>
                </c:pt>
                <c:pt idx="192">
                  <c:v>390.00000000000006</c:v>
                </c:pt>
                <c:pt idx="193">
                  <c:v>390.00000000000006</c:v>
                </c:pt>
                <c:pt idx="194">
                  <c:v>390.00000000000006</c:v>
                </c:pt>
                <c:pt idx="195">
                  <c:v>390.00000000000006</c:v>
                </c:pt>
                <c:pt idx="196">
                  <c:v>390.00000000000006</c:v>
                </c:pt>
                <c:pt idx="197">
                  <c:v>390.00000000000006</c:v>
                </c:pt>
                <c:pt idx="198">
                  <c:v>390.00000000000006</c:v>
                </c:pt>
                <c:pt idx="199">
                  <c:v>390.00000000000006</c:v>
                </c:pt>
                <c:pt idx="200">
                  <c:v>390.00000000000006</c:v>
                </c:pt>
                <c:pt idx="201">
                  <c:v>390.00000000000006</c:v>
                </c:pt>
                <c:pt idx="202">
                  <c:v>390.00000000000006</c:v>
                </c:pt>
                <c:pt idx="203">
                  <c:v>390.00000000000006</c:v>
                </c:pt>
                <c:pt idx="204">
                  <c:v>390.00000000000006</c:v>
                </c:pt>
                <c:pt idx="205">
                  <c:v>390.00000000000006</c:v>
                </c:pt>
                <c:pt idx="206">
                  <c:v>390.00000000000006</c:v>
                </c:pt>
                <c:pt idx="207">
                  <c:v>390.00000000000006</c:v>
                </c:pt>
                <c:pt idx="208">
                  <c:v>390.00000000000006</c:v>
                </c:pt>
                <c:pt idx="209">
                  <c:v>390.00000000000006</c:v>
                </c:pt>
                <c:pt idx="210">
                  <c:v>390.00000000000006</c:v>
                </c:pt>
                <c:pt idx="211">
                  <c:v>390.00000000000006</c:v>
                </c:pt>
                <c:pt idx="212">
                  <c:v>390.00000000000006</c:v>
                </c:pt>
                <c:pt idx="213">
                  <c:v>390.00000000000006</c:v>
                </c:pt>
                <c:pt idx="214">
                  <c:v>390.00000000000006</c:v>
                </c:pt>
                <c:pt idx="215">
                  <c:v>390.00000000000006</c:v>
                </c:pt>
                <c:pt idx="216">
                  <c:v>390.00000000000006</c:v>
                </c:pt>
                <c:pt idx="217">
                  <c:v>390.00000000000006</c:v>
                </c:pt>
                <c:pt idx="218">
                  <c:v>390.00000000000006</c:v>
                </c:pt>
                <c:pt idx="219">
                  <c:v>390.00000000000006</c:v>
                </c:pt>
                <c:pt idx="220">
                  <c:v>390.00000000000006</c:v>
                </c:pt>
                <c:pt idx="221">
                  <c:v>390.00000000000006</c:v>
                </c:pt>
                <c:pt idx="222">
                  <c:v>390.00000000000006</c:v>
                </c:pt>
                <c:pt idx="223">
                  <c:v>390.00000000000006</c:v>
                </c:pt>
                <c:pt idx="224">
                  <c:v>390.00000000000006</c:v>
                </c:pt>
                <c:pt idx="225">
                  <c:v>390.00000000000006</c:v>
                </c:pt>
                <c:pt idx="226">
                  <c:v>390.00000000000006</c:v>
                </c:pt>
                <c:pt idx="227">
                  <c:v>390.00000000000006</c:v>
                </c:pt>
                <c:pt idx="228">
                  <c:v>390.00000000000006</c:v>
                </c:pt>
                <c:pt idx="229">
                  <c:v>390.00000000000006</c:v>
                </c:pt>
                <c:pt idx="230">
                  <c:v>390.00000000000006</c:v>
                </c:pt>
                <c:pt idx="231">
                  <c:v>390.00000000000006</c:v>
                </c:pt>
                <c:pt idx="232">
                  <c:v>390.00000000000006</c:v>
                </c:pt>
                <c:pt idx="233">
                  <c:v>390.00000000000006</c:v>
                </c:pt>
                <c:pt idx="234">
                  <c:v>390.00000000000006</c:v>
                </c:pt>
                <c:pt idx="235">
                  <c:v>390.00000000000006</c:v>
                </c:pt>
                <c:pt idx="236">
                  <c:v>390.00000000000006</c:v>
                </c:pt>
                <c:pt idx="237">
                  <c:v>390.00000000000006</c:v>
                </c:pt>
                <c:pt idx="238">
                  <c:v>390.00000000000006</c:v>
                </c:pt>
                <c:pt idx="239">
                  <c:v>390.00000000000006</c:v>
                </c:pt>
                <c:pt idx="240">
                  <c:v>390.00000000000006</c:v>
                </c:pt>
                <c:pt idx="241">
                  <c:v>390.00000000000006</c:v>
                </c:pt>
                <c:pt idx="242">
                  <c:v>390.00000000000006</c:v>
                </c:pt>
                <c:pt idx="243">
                  <c:v>390.00000000000006</c:v>
                </c:pt>
                <c:pt idx="244">
                  <c:v>390.00000000000006</c:v>
                </c:pt>
                <c:pt idx="245">
                  <c:v>390.00000000000006</c:v>
                </c:pt>
                <c:pt idx="246">
                  <c:v>390.00000000000006</c:v>
                </c:pt>
                <c:pt idx="247">
                  <c:v>390.00000000000006</c:v>
                </c:pt>
                <c:pt idx="248">
                  <c:v>390.00000000000006</c:v>
                </c:pt>
                <c:pt idx="249">
                  <c:v>390.00000000000006</c:v>
                </c:pt>
                <c:pt idx="250">
                  <c:v>390.00000000000006</c:v>
                </c:pt>
                <c:pt idx="251">
                  <c:v>390.00000000000006</c:v>
                </c:pt>
                <c:pt idx="252">
                  <c:v>390.00000000000006</c:v>
                </c:pt>
                <c:pt idx="253">
                  <c:v>390.00000000000006</c:v>
                </c:pt>
                <c:pt idx="254">
                  <c:v>390.00000000000006</c:v>
                </c:pt>
                <c:pt idx="255">
                  <c:v>390.00000000000006</c:v>
                </c:pt>
                <c:pt idx="256">
                  <c:v>390.00000000000006</c:v>
                </c:pt>
                <c:pt idx="257">
                  <c:v>390.00000000000006</c:v>
                </c:pt>
                <c:pt idx="258">
                  <c:v>390.00000000000006</c:v>
                </c:pt>
                <c:pt idx="259">
                  <c:v>390.00000000000006</c:v>
                </c:pt>
                <c:pt idx="260">
                  <c:v>390.00000000000006</c:v>
                </c:pt>
                <c:pt idx="261">
                  <c:v>390.00000000000006</c:v>
                </c:pt>
                <c:pt idx="262">
                  <c:v>390.00000000000006</c:v>
                </c:pt>
                <c:pt idx="263">
                  <c:v>390.00000000000006</c:v>
                </c:pt>
                <c:pt idx="264">
                  <c:v>390.00000000000006</c:v>
                </c:pt>
                <c:pt idx="265">
                  <c:v>390.00000000000006</c:v>
                </c:pt>
                <c:pt idx="266">
                  <c:v>390.00000000000006</c:v>
                </c:pt>
                <c:pt idx="267">
                  <c:v>390.00000000000006</c:v>
                </c:pt>
                <c:pt idx="268">
                  <c:v>390.00000000000006</c:v>
                </c:pt>
                <c:pt idx="269">
                  <c:v>390.00000000000006</c:v>
                </c:pt>
                <c:pt idx="270">
                  <c:v>390.00000000000006</c:v>
                </c:pt>
                <c:pt idx="271">
                  <c:v>390.00000000000006</c:v>
                </c:pt>
                <c:pt idx="272">
                  <c:v>390.00000000000006</c:v>
                </c:pt>
                <c:pt idx="273">
                  <c:v>390.00000000000006</c:v>
                </c:pt>
                <c:pt idx="274">
                  <c:v>390.00000000000006</c:v>
                </c:pt>
                <c:pt idx="275">
                  <c:v>390.00000000000006</c:v>
                </c:pt>
                <c:pt idx="276">
                  <c:v>390.00000000000006</c:v>
                </c:pt>
                <c:pt idx="277">
                  <c:v>390.00000000000006</c:v>
                </c:pt>
                <c:pt idx="278">
                  <c:v>390.00000000000006</c:v>
                </c:pt>
                <c:pt idx="279">
                  <c:v>390.00000000000006</c:v>
                </c:pt>
                <c:pt idx="280">
                  <c:v>390.00000000000006</c:v>
                </c:pt>
                <c:pt idx="281">
                  <c:v>390.00000000000006</c:v>
                </c:pt>
                <c:pt idx="282">
                  <c:v>390.00000000000006</c:v>
                </c:pt>
                <c:pt idx="283">
                  <c:v>390.00000000000006</c:v>
                </c:pt>
                <c:pt idx="284">
                  <c:v>390.00000000000006</c:v>
                </c:pt>
                <c:pt idx="285">
                  <c:v>390.00000000000006</c:v>
                </c:pt>
                <c:pt idx="286">
                  <c:v>390.00000000000006</c:v>
                </c:pt>
                <c:pt idx="287">
                  <c:v>390.00000000000006</c:v>
                </c:pt>
                <c:pt idx="288">
                  <c:v>390.00000000000006</c:v>
                </c:pt>
                <c:pt idx="289">
                  <c:v>390.00000000000006</c:v>
                </c:pt>
                <c:pt idx="290">
                  <c:v>390.00000000000006</c:v>
                </c:pt>
                <c:pt idx="291">
                  <c:v>390.00000000000006</c:v>
                </c:pt>
                <c:pt idx="292">
                  <c:v>390.00000000000006</c:v>
                </c:pt>
                <c:pt idx="293">
                  <c:v>390.00000000000006</c:v>
                </c:pt>
                <c:pt idx="294">
                  <c:v>390.00000000000006</c:v>
                </c:pt>
                <c:pt idx="295">
                  <c:v>390.00000000000006</c:v>
                </c:pt>
                <c:pt idx="296">
                  <c:v>390.00000000000006</c:v>
                </c:pt>
                <c:pt idx="297">
                  <c:v>390.00000000000006</c:v>
                </c:pt>
                <c:pt idx="298">
                  <c:v>390.00000000000006</c:v>
                </c:pt>
                <c:pt idx="299">
                  <c:v>390.00000000000006</c:v>
                </c:pt>
                <c:pt idx="300">
                  <c:v>390.00000000000006</c:v>
                </c:pt>
                <c:pt idx="301">
                  <c:v>390.00000000000006</c:v>
                </c:pt>
                <c:pt idx="302">
                  <c:v>390.00000000000006</c:v>
                </c:pt>
                <c:pt idx="303">
                  <c:v>390.00000000000006</c:v>
                </c:pt>
                <c:pt idx="304">
                  <c:v>390.00000000000006</c:v>
                </c:pt>
                <c:pt idx="305">
                  <c:v>390.00000000000006</c:v>
                </c:pt>
                <c:pt idx="306">
                  <c:v>390.00000000000006</c:v>
                </c:pt>
                <c:pt idx="307">
                  <c:v>390.00000000000006</c:v>
                </c:pt>
                <c:pt idx="308">
                  <c:v>390.00000000000006</c:v>
                </c:pt>
                <c:pt idx="309">
                  <c:v>390.00000000000006</c:v>
                </c:pt>
                <c:pt idx="310">
                  <c:v>390.00000000000006</c:v>
                </c:pt>
                <c:pt idx="311">
                  <c:v>390.00000000000006</c:v>
                </c:pt>
                <c:pt idx="312">
                  <c:v>390.00000000000006</c:v>
                </c:pt>
                <c:pt idx="313">
                  <c:v>390.00000000000006</c:v>
                </c:pt>
                <c:pt idx="314">
                  <c:v>390.00000000000006</c:v>
                </c:pt>
                <c:pt idx="315">
                  <c:v>390.00000000000006</c:v>
                </c:pt>
                <c:pt idx="316">
                  <c:v>390.00000000000006</c:v>
                </c:pt>
                <c:pt idx="317">
                  <c:v>390.00000000000006</c:v>
                </c:pt>
                <c:pt idx="318">
                  <c:v>390.00000000000006</c:v>
                </c:pt>
                <c:pt idx="319">
                  <c:v>390.00000000000006</c:v>
                </c:pt>
                <c:pt idx="320">
                  <c:v>390.00000000000006</c:v>
                </c:pt>
                <c:pt idx="321">
                  <c:v>390.00000000000006</c:v>
                </c:pt>
                <c:pt idx="322">
                  <c:v>390.00000000000006</c:v>
                </c:pt>
                <c:pt idx="323">
                  <c:v>390.00000000000006</c:v>
                </c:pt>
                <c:pt idx="324">
                  <c:v>390.00000000000006</c:v>
                </c:pt>
                <c:pt idx="325">
                  <c:v>390.00000000000006</c:v>
                </c:pt>
                <c:pt idx="326">
                  <c:v>390.00000000000006</c:v>
                </c:pt>
                <c:pt idx="327">
                  <c:v>390.00000000000006</c:v>
                </c:pt>
                <c:pt idx="328">
                  <c:v>390.00000000000006</c:v>
                </c:pt>
                <c:pt idx="329">
                  <c:v>390.00000000000006</c:v>
                </c:pt>
                <c:pt idx="330">
                  <c:v>390.00000000000006</c:v>
                </c:pt>
                <c:pt idx="331">
                  <c:v>390.00000000000006</c:v>
                </c:pt>
                <c:pt idx="332">
                  <c:v>390.00000000000006</c:v>
                </c:pt>
                <c:pt idx="333">
                  <c:v>390.00000000000006</c:v>
                </c:pt>
                <c:pt idx="334">
                  <c:v>390.00000000000006</c:v>
                </c:pt>
                <c:pt idx="335">
                  <c:v>390.00000000000006</c:v>
                </c:pt>
                <c:pt idx="336">
                  <c:v>390.00000000000006</c:v>
                </c:pt>
                <c:pt idx="337">
                  <c:v>390.00000000000006</c:v>
                </c:pt>
                <c:pt idx="338">
                  <c:v>390.00000000000006</c:v>
                </c:pt>
                <c:pt idx="339">
                  <c:v>390.00000000000006</c:v>
                </c:pt>
                <c:pt idx="340">
                  <c:v>390.00000000000006</c:v>
                </c:pt>
                <c:pt idx="341">
                  <c:v>390.00000000000006</c:v>
                </c:pt>
                <c:pt idx="342">
                  <c:v>390.00000000000006</c:v>
                </c:pt>
                <c:pt idx="343">
                  <c:v>390.00000000000006</c:v>
                </c:pt>
                <c:pt idx="344">
                  <c:v>390.00000000000006</c:v>
                </c:pt>
                <c:pt idx="345">
                  <c:v>390.00000000000006</c:v>
                </c:pt>
                <c:pt idx="346">
                  <c:v>390.00000000000006</c:v>
                </c:pt>
                <c:pt idx="347">
                  <c:v>390.00000000000006</c:v>
                </c:pt>
                <c:pt idx="348">
                  <c:v>390.00000000000006</c:v>
                </c:pt>
                <c:pt idx="349">
                  <c:v>390.00000000000006</c:v>
                </c:pt>
                <c:pt idx="350">
                  <c:v>390.00000000000006</c:v>
                </c:pt>
                <c:pt idx="351">
                  <c:v>390.00000000000006</c:v>
                </c:pt>
                <c:pt idx="352">
                  <c:v>390.00000000000006</c:v>
                </c:pt>
                <c:pt idx="353">
                  <c:v>390.00000000000006</c:v>
                </c:pt>
                <c:pt idx="354">
                  <c:v>390.00000000000006</c:v>
                </c:pt>
                <c:pt idx="355">
                  <c:v>390.00000000000006</c:v>
                </c:pt>
                <c:pt idx="356">
                  <c:v>390.00000000000006</c:v>
                </c:pt>
                <c:pt idx="357">
                  <c:v>390.00000000000006</c:v>
                </c:pt>
                <c:pt idx="358">
                  <c:v>390.00000000000006</c:v>
                </c:pt>
                <c:pt idx="359">
                  <c:v>390.00000000000006</c:v>
                </c:pt>
                <c:pt idx="360">
                  <c:v>390.00000000000006</c:v>
                </c:pt>
                <c:pt idx="361">
                  <c:v>390.00000000000006</c:v>
                </c:pt>
                <c:pt idx="362">
                  <c:v>390.00000000000006</c:v>
                </c:pt>
                <c:pt idx="363">
                  <c:v>390.00000000000006</c:v>
                </c:pt>
                <c:pt idx="364">
                  <c:v>390.00000000000006</c:v>
                </c:pt>
                <c:pt idx="365">
                  <c:v>390.00000000000006</c:v>
                </c:pt>
                <c:pt idx="366">
                  <c:v>390.00000000000006</c:v>
                </c:pt>
                <c:pt idx="367">
                  <c:v>390.00000000000006</c:v>
                </c:pt>
                <c:pt idx="368">
                  <c:v>390.00000000000006</c:v>
                </c:pt>
                <c:pt idx="369">
                  <c:v>390.00000000000006</c:v>
                </c:pt>
                <c:pt idx="370">
                  <c:v>390.00000000000006</c:v>
                </c:pt>
                <c:pt idx="371">
                  <c:v>390.00000000000006</c:v>
                </c:pt>
                <c:pt idx="372">
                  <c:v>390.00000000000006</c:v>
                </c:pt>
                <c:pt idx="373">
                  <c:v>390.00000000000006</c:v>
                </c:pt>
                <c:pt idx="374">
                  <c:v>390.00000000000006</c:v>
                </c:pt>
                <c:pt idx="375">
                  <c:v>390.00000000000006</c:v>
                </c:pt>
                <c:pt idx="376">
                  <c:v>390.00000000000006</c:v>
                </c:pt>
                <c:pt idx="377">
                  <c:v>390.00000000000006</c:v>
                </c:pt>
                <c:pt idx="378">
                  <c:v>390.00000000000006</c:v>
                </c:pt>
                <c:pt idx="379">
                  <c:v>390.00000000000006</c:v>
                </c:pt>
                <c:pt idx="380">
                  <c:v>390.00000000000006</c:v>
                </c:pt>
                <c:pt idx="381">
                  <c:v>390.00000000000006</c:v>
                </c:pt>
                <c:pt idx="382">
                  <c:v>390.00000000000006</c:v>
                </c:pt>
                <c:pt idx="383">
                  <c:v>390.00000000000006</c:v>
                </c:pt>
                <c:pt idx="384">
                  <c:v>390.00000000000006</c:v>
                </c:pt>
                <c:pt idx="385">
                  <c:v>390.00000000000006</c:v>
                </c:pt>
                <c:pt idx="386">
                  <c:v>390.00000000000006</c:v>
                </c:pt>
                <c:pt idx="387">
                  <c:v>390.00000000000006</c:v>
                </c:pt>
                <c:pt idx="388">
                  <c:v>390.00000000000006</c:v>
                </c:pt>
                <c:pt idx="389">
                  <c:v>390.00000000000006</c:v>
                </c:pt>
                <c:pt idx="390">
                  <c:v>390.00000000000006</c:v>
                </c:pt>
                <c:pt idx="391">
                  <c:v>390.00000000000006</c:v>
                </c:pt>
                <c:pt idx="392">
                  <c:v>390.00000000000006</c:v>
                </c:pt>
                <c:pt idx="393">
                  <c:v>390.00000000000006</c:v>
                </c:pt>
                <c:pt idx="394">
                  <c:v>390.00000000000006</c:v>
                </c:pt>
                <c:pt idx="395">
                  <c:v>390.00000000000006</c:v>
                </c:pt>
                <c:pt idx="396">
                  <c:v>390.00000000000006</c:v>
                </c:pt>
                <c:pt idx="397">
                  <c:v>390.00000000000006</c:v>
                </c:pt>
                <c:pt idx="398">
                  <c:v>390.00000000000006</c:v>
                </c:pt>
                <c:pt idx="399">
                  <c:v>390.00000000000006</c:v>
                </c:pt>
                <c:pt idx="400">
                  <c:v>390.00000000000006</c:v>
                </c:pt>
                <c:pt idx="401">
                  <c:v>390.00000000000006</c:v>
                </c:pt>
                <c:pt idx="402">
                  <c:v>390.00000000000006</c:v>
                </c:pt>
                <c:pt idx="403">
                  <c:v>390.00000000000006</c:v>
                </c:pt>
                <c:pt idx="404">
                  <c:v>390.00000000000006</c:v>
                </c:pt>
                <c:pt idx="405">
                  <c:v>390.00000000000006</c:v>
                </c:pt>
                <c:pt idx="406">
                  <c:v>390.00000000000006</c:v>
                </c:pt>
                <c:pt idx="407">
                  <c:v>390.00000000000006</c:v>
                </c:pt>
                <c:pt idx="408">
                  <c:v>390.00000000000006</c:v>
                </c:pt>
                <c:pt idx="409">
                  <c:v>390.00000000000006</c:v>
                </c:pt>
                <c:pt idx="410">
                  <c:v>390.00000000000006</c:v>
                </c:pt>
                <c:pt idx="411">
                  <c:v>390.00000000000006</c:v>
                </c:pt>
                <c:pt idx="412">
                  <c:v>390.00000000000006</c:v>
                </c:pt>
                <c:pt idx="413">
                  <c:v>390.00000000000006</c:v>
                </c:pt>
                <c:pt idx="414">
                  <c:v>390.00000000000006</c:v>
                </c:pt>
                <c:pt idx="415">
                  <c:v>390.00000000000006</c:v>
                </c:pt>
                <c:pt idx="416">
                  <c:v>390.00000000000006</c:v>
                </c:pt>
                <c:pt idx="417">
                  <c:v>390.00000000000006</c:v>
                </c:pt>
                <c:pt idx="418">
                  <c:v>390.00000000000006</c:v>
                </c:pt>
                <c:pt idx="419">
                  <c:v>390.00000000000006</c:v>
                </c:pt>
                <c:pt idx="420">
                  <c:v>390.00000000000006</c:v>
                </c:pt>
                <c:pt idx="421">
                  <c:v>390.00000000000006</c:v>
                </c:pt>
                <c:pt idx="422">
                  <c:v>390.00000000000006</c:v>
                </c:pt>
                <c:pt idx="423">
                  <c:v>390.00000000000006</c:v>
                </c:pt>
                <c:pt idx="424">
                  <c:v>390.00000000000006</c:v>
                </c:pt>
                <c:pt idx="425">
                  <c:v>390.00000000000006</c:v>
                </c:pt>
                <c:pt idx="426">
                  <c:v>390.00000000000006</c:v>
                </c:pt>
                <c:pt idx="427">
                  <c:v>390.00000000000006</c:v>
                </c:pt>
                <c:pt idx="428">
                  <c:v>390.00000000000006</c:v>
                </c:pt>
                <c:pt idx="429">
                  <c:v>390.00000000000006</c:v>
                </c:pt>
                <c:pt idx="430">
                  <c:v>390.00000000000006</c:v>
                </c:pt>
                <c:pt idx="431">
                  <c:v>390.00000000000006</c:v>
                </c:pt>
                <c:pt idx="432">
                  <c:v>390.00000000000006</c:v>
                </c:pt>
                <c:pt idx="433">
                  <c:v>390.00000000000006</c:v>
                </c:pt>
                <c:pt idx="434">
                  <c:v>390.00000000000006</c:v>
                </c:pt>
                <c:pt idx="435">
                  <c:v>390.00000000000006</c:v>
                </c:pt>
                <c:pt idx="436">
                  <c:v>390.00000000000006</c:v>
                </c:pt>
                <c:pt idx="437">
                  <c:v>390.00000000000006</c:v>
                </c:pt>
                <c:pt idx="438">
                  <c:v>390.00000000000006</c:v>
                </c:pt>
                <c:pt idx="439">
                  <c:v>390.00000000000006</c:v>
                </c:pt>
                <c:pt idx="440">
                  <c:v>390.00000000000006</c:v>
                </c:pt>
                <c:pt idx="441">
                  <c:v>390.00000000000006</c:v>
                </c:pt>
                <c:pt idx="442">
                  <c:v>390.00000000000006</c:v>
                </c:pt>
                <c:pt idx="443">
                  <c:v>390.00000000000006</c:v>
                </c:pt>
                <c:pt idx="444">
                  <c:v>390.00000000000006</c:v>
                </c:pt>
                <c:pt idx="445">
                  <c:v>390.00000000000006</c:v>
                </c:pt>
                <c:pt idx="446">
                  <c:v>390.00000000000006</c:v>
                </c:pt>
                <c:pt idx="447">
                  <c:v>390.00000000000006</c:v>
                </c:pt>
                <c:pt idx="448">
                  <c:v>390.00000000000006</c:v>
                </c:pt>
                <c:pt idx="449">
                  <c:v>390.00000000000006</c:v>
                </c:pt>
                <c:pt idx="450">
                  <c:v>390.00000000000006</c:v>
                </c:pt>
                <c:pt idx="451">
                  <c:v>390.00000000000006</c:v>
                </c:pt>
                <c:pt idx="452">
                  <c:v>390.00000000000006</c:v>
                </c:pt>
                <c:pt idx="453">
                  <c:v>390.00000000000006</c:v>
                </c:pt>
                <c:pt idx="454">
                  <c:v>390.00000000000006</c:v>
                </c:pt>
                <c:pt idx="455">
                  <c:v>390.00000000000006</c:v>
                </c:pt>
                <c:pt idx="456">
                  <c:v>390.00000000000006</c:v>
                </c:pt>
                <c:pt idx="457">
                  <c:v>390.00000000000006</c:v>
                </c:pt>
                <c:pt idx="458">
                  <c:v>390.00000000000006</c:v>
                </c:pt>
                <c:pt idx="459">
                  <c:v>390.00000000000006</c:v>
                </c:pt>
                <c:pt idx="460">
                  <c:v>390.00000000000006</c:v>
                </c:pt>
                <c:pt idx="461">
                  <c:v>390.00000000000006</c:v>
                </c:pt>
                <c:pt idx="462">
                  <c:v>390.00000000000006</c:v>
                </c:pt>
                <c:pt idx="463">
                  <c:v>390.00000000000006</c:v>
                </c:pt>
                <c:pt idx="464">
                  <c:v>390.00000000000006</c:v>
                </c:pt>
                <c:pt idx="465">
                  <c:v>390.00000000000006</c:v>
                </c:pt>
                <c:pt idx="466">
                  <c:v>390.00000000000006</c:v>
                </c:pt>
                <c:pt idx="467">
                  <c:v>390.00000000000006</c:v>
                </c:pt>
                <c:pt idx="468">
                  <c:v>390.00000000000006</c:v>
                </c:pt>
                <c:pt idx="469">
                  <c:v>390.00000000000006</c:v>
                </c:pt>
                <c:pt idx="470">
                  <c:v>390.00000000000006</c:v>
                </c:pt>
                <c:pt idx="471">
                  <c:v>390.00000000000006</c:v>
                </c:pt>
                <c:pt idx="472">
                  <c:v>390.00000000000006</c:v>
                </c:pt>
                <c:pt idx="473">
                  <c:v>390.00000000000006</c:v>
                </c:pt>
                <c:pt idx="474">
                  <c:v>390.00000000000006</c:v>
                </c:pt>
                <c:pt idx="475">
                  <c:v>390.00000000000006</c:v>
                </c:pt>
                <c:pt idx="476">
                  <c:v>390.00000000000006</c:v>
                </c:pt>
                <c:pt idx="477">
                  <c:v>390.00000000000006</c:v>
                </c:pt>
                <c:pt idx="478">
                  <c:v>390.00000000000006</c:v>
                </c:pt>
                <c:pt idx="479">
                  <c:v>390.00000000000006</c:v>
                </c:pt>
                <c:pt idx="480">
                  <c:v>390.00000000000006</c:v>
                </c:pt>
                <c:pt idx="481">
                  <c:v>390.00000000000006</c:v>
                </c:pt>
                <c:pt idx="482">
                  <c:v>390.00000000000006</c:v>
                </c:pt>
                <c:pt idx="483">
                  <c:v>390.00000000000006</c:v>
                </c:pt>
                <c:pt idx="484">
                  <c:v>390.00000000000006</c:v>
                </c:pt>
                <c:pt idx="485">
                  <c:v>390.00000000000006</c:v>
                </c:pt>
                <c:pt idx="486">
                  <c:v>390.00000000000006</c:v>
                </c:pt>
                <c:pt idx="487">
                  <c:v>390.00000000000006</c:v>
                </c:pt>
                <c:pt idx="488">
                  <c:v>390.00000000000006</c:v>
                </c:pt>
                <c:pt idx="489">
                  <c:v>390.00000000000006</c:v>
                </c:pt>
                <c:pt idx="490">
                  <c:v>390.00000000000006</c:v>
                </c:pt>
                <c:pt idx="491">
                  <c:v>390.00000000000006</c:v>
                </c:pt>
                <c:pt idx="492">
                  <c:v>390.00000000000006</c:v>
                </c:pt>
                <c:pt idx="493">
                  <c:v>390.00000000000006</c:v>
                </c:pt>
                <c:pt idx="494">
                  <c:v>390.00000000000006</c:v>
                </c:pt>
                <c:pt idx="495">
                  <c:v>390.00000000000006</c:v>
                </c:pt>
                <c:pt idx="496">
                  <c:v>390.00000000000006</c:v>
                </c:pt>
                <c:pt idx="497">
                  <c:v>390.00000000000006</c:v>
                </c:pt>
                <c:pt idx="498">
                  <c:v>390.00000000000006</c:v>
                </c:pt>
                <c:pt idx="499">
                  <c:v>390.00000000000006</c:v>
                </c:pt>
                <c:pt idx="500">
                  <c:v>390.00000000000006</c:v>
                </c:pt>
                <c:pt idx="501">
                  <c:v>390.00000000000006</c:v>
                </c:pt>
                <c:pt idx="502">
                  <c:v>390.00000000000006</c:v>
                </c:pt>
                <c:pt idx="503">
                  <c:v>390.00000000000006</c:v>
                </c:pt>
                <c:pt idx="504">
                  <c:v>390.00000000000006</c:v>
                </c:pt>
                <c:pt idx="505">
                  <c:v>390.00000000000006</c:v>
                </c:pt>
                <c:pt idx="506">
                  <c:v>390.00000000000006</c:v>
                </c:pt>
                <c:pt idx="507">
                  <c:v>390.00000000000006</c:v>
                </c:pt>
                <c:pt idx="508">
                  <c:v>390.00000000000006</c:v>
                </c:pt>
                <c:pt idx="509">
                  <c:v>390.00000000000006</c:v>
                </c:pt>
                <c:pt idx="510">
                  <c:v>390.00000000000006</c:v>
                </c:pt>
                <c:pt idx="511">
                  <c:v>390.00000000000006</c:v>
                </c:pt>
                <c:pt idx="512">
                  <c:v>390.00000000000006</c:v>
                </c:pt>
                <c:pt idx="513">
                  <c:v>390.00000000000006</c:v>
                </c:pt>
                <c:pt idx="514">
                  <c:v>390.00000000000006</c:v>
                </c:pt>
                <c:pt idx="515">
                  <c:v>390.00000000000006</c:v>
                </c:pt>
                <c:pt idx="516">
                  <c:v>390.00000000000006</c:v>
                </c:pt>
                <c:pt idx="517">
                  <c:v>390.00000000000006</c:v>
                </c:pt>
                <c:pt idx="518">
                  <c:v>390.00000000000006</c:v>
                </c:pt>
                <c:pt idx="519">
                  <c:v>390.00000000000006</c:v>
                </c:pt>
                <c:pt idx="520">
                  <c:v>390.00000000000006</c:v>
                </c:pt>
                <c:pt idx="521">
                  <c:v>390.00000000000006</c:v>
                </c:pt>
                <c:pt idx="522">
                  <c:v>390.00000000000006</c:v>
                </c:pt>
                <c:pt idx="523">
                  <c:v>390.00000000000006</c:v>
                </c:pt>
                <c:pt idx="524">
                  <c:v>390.00000000000006</c:v>
                </c:pt>
                <c:pt idx="525">
                  <c:v>390.00000000000006</c:v>
                </c:pt>
                <c:pt idx="526">
                  <c:v>390.00000000000006</c:v>
                </c:pt>
                <c:pt idx="527">
                  <c:v>390.00000000000006</c:v>
                </c:pt>
                <c:pt idx="528">
                  <c:v>390.00000000000006</c:v>
                </c:pt>
                <c:pt idx="529">
                  <c:v>390.00000000000006</c:v>
                </c:pt>
                <c:pt idx="530">
                  <c:v>390.00000000000006</c:v>
                </c:pt>
                <c:pt idx="531">
                  <c:v>390.00000000000006</c:v>
                </c:pt>
                <c:pt idx="532">
                  <c:v>390.00000000000006</c:v>
                </c:pt>
                <c:pt idx="533">
                  <c:v>390.00000000000006</c:v>
                </c:pt>
                <c:pt idx="534">
                  <c:v>390.00000000000006</c:v>
                </c:pt>
                <c:pt idx="535">
                  <c:v>390.00000000000006</c:v>
                </c:pt>
                <c:pt idx="536">
                  <c:v>390.00000000000006</c:v>
                </c:pt>
                <c:pt idx="537">
                  <c:v>390.00000000000006</c:v>
                </c:pt>
                <c:pt idx="538">
                  <c:v>390.00000000000006</c:v>
                </c:pt>
                <c:pt idx="539">
                  <c:v>390.00000000000006</c:v>
                </c:pt>
                <c:pt idx="540">
                  <c:v>390.00000000000006</c:v>
                </c:pt>
              </c:numCache>
            </c:numRef>
          </c:yVal>
          <c:smooth val="0"/>
        </c:ser>
        <c:dLbls>
          <c:showLegendKey val="0"/>
          <c:showVal val="0"/>
          <c:showCatName val="0"/>
          <c:showSerName val="0"/>
          <c:showPercent val="0"/>
          <c:showBubbleSize val="0"/>
        </c:dLbls>
        <c:axId val="173344256"/>
        <c:axId val="173346176"/>
      </c:scatterChart>
      <c:valAx>
        <c:axId val="173344256"/>
        <c:scaling>
          <c:orientation val="minMax"/>
        </c:scaling>
        <c:delete val="0"/>
        <c:axPos val="b"/>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V</a:t>
                </a:r>
              </a:p>
            </c:rich>
          </c:tx>
          <c:layout>
            <c:manualLayout>
              <c:xMode val="edge"/>
              <c:yMode val="edge"/>
              <c:x val="0.94443611481472167"/>
              <c:y val="0.8672586631516875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346176"/>
        <c:crosses val="autoZero"/>
        <c:crossBetween val="midCat"/>
      </c:valAx>
      <c:valAx>
        <c:axId val="173346176"/>
        <c:scaling>
          <c:orientation val="minMax"/>
          <c:max val="1100"/>
          <c:min val="100"/>
        </c:scaling>
        <c:delete val="0"/>
        <c:axPos val="l"/>
        <c:majorGridlines>
          <c:spPr>
            <a:ln w="3175">
              <a:solidFill>
                <a:srgbClr val="969696"/>
              </a:solidFill>
              <a:prstDash val="solid"/>
            </a:ln>
          </c:spPr>
        </c:majorGridlines>
        <c:title>
          <c:tx>
            <c:rich>
              <a:bodyPr rot="0" vert="horz"/>
              <a:lstStyle/>
              <a:p>
                <a:pPr algn="ctr">
                  <a:defRPr sz="800" b="1" i="0" u="none" strike="noStrike" baseline="0">
                    <a:solidFill>
                      <a:srgbClr val="000000"/>
                    </a:solidFill>
                    <a:latin typeface="Arial"/>
                    <a:ea typeface="Arial"/>
                    <a:cs typeface="Arial"/>
                  </a:defRPr>
                </a:pPr>
                <a:r>
                  <a:rPr lang="en-US"/>
                  <a:t>kHz</a:t>
                </a:r>
              </a:p>
            </c:rich>
          </c:tx>
          <c:layout>
            <c:manualLayout>
              <c:xMode val="edge"/>
              <c:yMode val="edge"/>
              <c:x val="2.7189253100550928E-3"/>
              <c:y val="0.351875310740342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3344256"/>
        <c:crosses val="autoZero"/>
        <c:crossBetween val="midCat"/>
        <c:majorUnit val="100"/>
        <c:minorUnit val="10"/>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0"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MOSFET Duty Cycle vs Vin</a:t>
            </a:r>
          </a:p>
        </c:rich>
      </c:tx>
      <c:layout>
        <c:manualLayout>
          <c:xMode val="edge"/>
          <c:yMode val="edge"/>
          <c:x val="0.25839794064203514"/>
          <c:y val="3.2558045628911771E-2"/>
        </c:manualLayout>
      </c:layout>
      <c:overlay val="0"/>
      <c:spPr>
        <a:noFill/>
        <a:ln w="25400">
          <a:noFill/>
        </a:ln>
      </c:spPr>
    </c:title>
    <c:autoTitleDeleted val="0"/>
    <c:plotArea>
      <c:layout>
        <c:manualLayout>
          <c:layoutTarget val="inner"/>
          <c:xMode val="edge"/>
          <c:yMode val="edge"/>
          <c:x val="0.12820558681600136"/>
          <c:y val="0.17368465687874404"/>
          <c:w val="0.78022257119452265"/>
          <c:h val="0.64737008472986413"/>
        </c:manualLayout>
      </c:layout>
      <c:scatterChart>
        <c:scatterStyle val="lineMarker"/>
        <c:varyColors val="0"/>
        <c:ser>
          <c:idx val="0"/>
          <c:order val="0"/>
          <c:tx>
            <c:strRef>
              <c:f>Calculator!$AA$119</c:f>
              <c:strCache>
                <c:ptCount val="1"/>
                <c:pt idx="0">
                  <c:v>Duty cycle, final</c:v>
                </c:pt>
              </c:strCache>
            </c:strRef>
          </c:tx>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Calculator!$AA$120:$AA$660</c:f>
              <c:numCache>
                <c:formatCode>0.0%</c:formatCode>
                <c:ptCount val="541"/>
                <c:pt idx="0">
                  <c:v>0.6386558933958173</c:v>
                </c:pt>
                <c:pt idx="1">
                  <c:v>0.63395091184700691</c:v>
                </c:pt>
                <c:pt idx="2">
                  <c:v>0.62924823770556348</c:v>
                </c:pt>
                <c:pt idx="3">
                  <c:v>0.62454778753488494</c:v>
                </c:pt>
                <c:pt idx="4">
                  <c:v>0.61984948187325117</c:v>
                </c:pt>
                <c:pt idx="5">
                  <c:v>0.61515324499990787</c:v>
                </c:pt>
                <c:pt idx="6">
                  <c:v>0.61045900471747705</c:v>
                </c:pt>
                <c:pt idx="7">
                  <c:v>0.60576669214938039</c:v>
                </c:pt>
                <c:pt idx="8">
                  <c:v>0.6010762415510793</c:v>
                </c:pt>
                <c:pt idx="9">
                  <c:v>0.59638759013404685</c:v>
                </c:pt>
                <c:pt idx="10">
                  <c:v>0.59170067790147796</c:v>
                </c:pt>
                <c:pt idx="11">
                  <c:v>0.58701544749483792</c:v>
                </c:pt>
                <c:pt idx="12">
                  <c:v>0.58233184405042182</c:v>
                </c:pt>
                <c:pt idx="13">
                  <c:v>0.57764981506517121</c:v>
                </c:pt>
                <c:pt idx="14">
                  <c:v>0.5729693102710598</c:v>
                </c:pt>
                <c:pt idx="15">
                  <c:v>0.56829028151741534</c:v>
                </c:pt>
                <c:pt idx="16">
                  <c:v>0.56361268266059938</c:v>
                </c:pt>
                <c:pt idx="17">
                  <c:v>0.55893646946051312</c:v>
                </c:pt>
                <c:pt idx="18">
                  <c:v>0.55426159948344267</c:v>
                </c:pt>
                <c:pt idx="19">
                  <c:v>0.54958803201079354</c:v>
                </c:pt>
                <c:pt idx="20">
                  <c:v>0.5449157279533039</c:v>
                </c:pt>
                <c:pt idx="21">
                  <c:v>0.5402446497703558</c:v>
                </c:pt>
                <c:pt idx="22">
                  <c:v>0.53557476139403437</c:v>
                </c:pt>
                <c:pt idx="23">
                  <c:v>0.53090602815761201</c:v>
                </c:pt>
                <c:pt idx="24">
                  <c:v>0.52623841672816063</c:v>
                </c:pt>
                <c:pt idx="25">
                  <c:v>0.52157189504301493</c:v>
                </c:pt>
                <c:pt idx="26">
                  <c:v>0.51690643224983457</c:v>
                </c:pt>
                <c:pt idx="27">
                  <c:v>0.51224199865002717</c:v>
                </c:pt>
                <c:pt idx="28">
                  <c:v>0.50757856564531656</c:v>
                </c:pt>
                <c:pt idx="29">
                  <c:v>0.50291610568725276</c:v>
                </c:pt>
                <c:pt idx="30">
                  <c:v>0.49825459222947699</c:v>
                </c:pt>
                <c:pt idx="31">
                  <c:v>0.4935939996825674</c:v>
                </c:pt>
                <c:pt idx="32">
                  <c:v>0.48893430337130522</c:v>
                </c:pt>
                <c:pt idx="33">
                  <c:v>0.4842754794942104</c:v>
                </c:pt>
                <c:pt idx="34">
                  <c:v>0.47961750508520712</c:v>
                </c:pt>
                <c:pt idx="35">
                  <c:v>0.47496035797729091</c:v>
                </c:pt>
                <c:pt idx="36">
                  <c:v>0.47030401676807504</c:v>
                </c:pt>
                <c:pt idx="37">
                  <c:v>0.46564846078710442</c:v>
                </c:pt>
                <c:pt idx="38">
                  <c:v>0.460993670064832</c:v>
                </c:pt>
                <c:pt idx="39">
                  <c:v>0.45633962530315997</c:v>
                </c:pt>
                <c:pt idx="40">
                  <c:v>0.45168630784745428</c:v>
                </c:pt>
                <c:pt idx="41">
                  <c:v>0.44703369965994733</c:v>
                </c:pt>
                <c:pt idx="42">
                  <c:v>0.44238178329444883</c:v>
                </c:pt>
                <c:pt idx="43">
                  <c:v>0.43773054187229127</c:v>
                </c:pt>
                <c:pt idx="44">
                  <c:v>0.43307995905943891</c:v>
                </c:pt>
                <c:pt idx="45">
                  <c:v>0.4284300190446963</c:v>
                </c:pt>
                <c:pt idx="46">
                  <c:v>0.423780706518955</c:v>
                </c:pt>
                <c:pt idx="47">
                  <c:v>0.41913200665542011</c:v>
                </c:pt>
                <c:pt idx="48">
                  <c:v>0.41448390509076527</c:v>
                </c:pt>
                <c:pt idx="49">
                  <c:v>0.40983638790716304</c:v>
                </c:pt>
                <c:pt idx="50">
                  <c:v>0.40518944161514642</c:v>
                </c:pt>
                <c:pt idx="51">
                  <c:v>0.40054305313725386</c:v>
                </c:pt>
                <c:pt idx="52">
                  <c:v>0.39589720979241921</c:v>
                </c:pt>
                <c:pt idx="53">
                  <c:v>0.39125189928106524</c:v>
                </c:pt>
                <c:pt idx="54">
                  <c:v>0.38660710967086576</c:v>
                </c:pt>
                <c:pt idx="55">
                  <c:v>0.38196282938313914</c:v>
                </c:pt>
                <c:pt idx="56">
                  <c:v>0.37731904717984416</c:v>
                </c:pt>
                <c:pt idx="57">
                  <c:v>0.37267575215114407</c:v>
                </c:pt>
                <c:pt idx="58">
                  <c:v>0.36803293370351203</c:v>
                </c:pt>
                <c:pt idx="59">
                  <c:v>0.36339058154835024</c:v>
                </c:pt>
                <c:pt idx="60">
                  <c:v>0.35874868569109686</c:v>
                </c:pt>
                <c:pt idx="61">
                  <c:v>0.35410723642079617</c:v>
                </c:pt>
                <c:pt idx="62">
                  <c:v>0.34946622430011048</c:v>
                </c:pt>
                <c:pt idx="63">
                  <c:v>0.34482564015575001</c:v>
                </c:pt>
                <c:pt idx="64">
                  <c:v>0.34018547506930275</c:v>
                </c:pt>
                <c:pt idx="65">
                  <c:v>0.3355457203684431</c:v>
                </c:pt>
                <c:pt idx="66">
                  <c:v>0.33090636761850234</c:v>
                </c:pt>
                <c:pt idx="67">
                  <c:v>0.32626740861438297</c:v>
                </c:pt>
                <c:pt idx="68">
                  <c:v>0.3216288353728009</c:v>
                </c:pt>
                <c:pt idx="69">
                  <c:v>0.31699064012484074</c:v>
                </c:pt>
                <c:pt idx="70">
                  <c:v>0.31235281530880765</c:v>
                </c:pt>
                <c:pt idx="71">
                  <c:v>0.30771535356336499</c:v>
                </c:pt>
                <c:pt idx="72">
                  <c:v>0.30307824772094133</c:v>
                </c:pt>
                <c:pt idx="73">
                  <c:v>0.29844149080139704</c:v>
                </c:pt>
                <c:pt idx="74">
                  <c:v>0.29380507600593747</c:v>
                </c:pt>
                <c:pt idx="75">
                  <c:v>0.28916899671126151</c:v>
                </c:pt>
                <c:pt idx="76">
                  <c:v>0.2845332464639358</c:v>
                </c:pt>
                <c:pt idx="77">
                  <c:v>0.2798978189749835</c:v>
                </c:pt>
                <c:pt idx="78">
                  <c:v>0.27526270811467868</c:v>
                </c:pt>
                <c:pt idx="79">
                  <c:v>0.27062790790753755</c:v>
                </c:pt>
                <c:pt idx="80">
                  <c:v>0.26599341252749709</c:v>
                </c:pt>
                <c:pt idx="81">
                  <c:v>0.26135921629327369</c:v>
                </c:pt>
                <c:pt idx="82">
                  <c:v>0.25672531366389373</c:v>
                </c:pt>
                <c:pt idx="83">
                  <c:v>0.25209169923438851</c:v>
                </c:pt>
                <c:pt idx="84">
                  <c:v>0.24745836773164695</c:v>
                </c:pt>
                <c:pt idx="85">
                  <c:v>0.24282531401041885</c:v>
                </c:pt>
                <c:pt idx="86">
                  <c:v>0.23819253304946311</c:v>
                </c:pt>
                <c:pt idx="87">
                  <c:v>0.23356001994783382</c:v>
                </c:pt>
                <c:pt idx="88">
                  <c:v>0.22892776992129929</c:v>
                </c:pt>
                <c:pt idx="89">
                  <c:v>0.22429577829888853</c:v>
                </c:pt>
                <c:pt idx="90">
                  <c:v>0.21966404051955893</c:v>
                </c:pt>
                <c:pt idx="91">
                  <c:v>0.21503255212898154</c:v>
                </c:pt>
                <c:pt idx="92">
                  <c:v>0.21040130877643823</c:v>
                </c:pt>
                <c:pt idx="93">
                  <c:v>0.20577030621182657</c:v>
                </c:pt>
                <c:pt idx="94">
                  <c:v>0.2011395402827679</c:v>
                </c:pt>
                <c:pt idx="95">
                  <c:v>0.19650900693181469</c:v>
                </c:pt>
                <c:pt idx="96">
                  <c:v>0.19187870219375311</c:v>
                </c:pt>
                <c:pt idx="97">
                  <c:v>0.18724862219299684</c:v>
                </c:pt>
                <c:pt idx="98">
                  <c:v>0.18261876314106928</c:v>
                </c:pt>
                <c:pt idx="99">
                  <c:v>0.17798912133416944</c:v>
                </c:pt>
                <c:pt idx="100">
                  <c:v>0.17335969315081967</c:v>
                </c:pt>
                <c:pt idx="101">
                  <c:v>0.17335969315081967</c:v>
                </c:pt>
                <c:pt idx="102">
                  <c:v>0.17335969315081967</c:v>
                </c:pt>
                <c:pt idx="103">
                  <c:v>0.17335969315081967</c:v>
                </c:pt>
                <c:pt idx="104">
                  <c:v>0.17335969315081967</c:v>
                </c:pt>
                <c:pt idx="105">
                  <c:v>0.17335969315081967</c:v>
                </c:pt>
                <c:pt idx="106">
                  <c:v>0.17335969315081967</c:v>
                </c:pt>
                <c:pt idx="107">
                  <c:v>0.17335969315081967</c:v>
                </c:pt>
                <c:pt idx="108">
                  <c:v>0.17335969315081967</c:v>
                </c:pt>
                <c:pt idx="109">
                  <c:v>0.17335969315081967</c:v>
                </c:pt>
                <c:pt idx="110">
                  <c:v>0.17335969315081967</c:v>
                </c:pt>
                <c:pt idx="111">
                  <c:v>0.17335969315081967</c:v>
                </c:pt>
                <c:pt idx="112">
                  <c:v>0.17335969315081967</c:v>
                </c:pt>
                <c:pt idx="113">
                  <c:v>0.17335969315081967</c:v>
                </c:pt>
                <c:pt idx="114">
                  <c:v>0.17335969315081967</c:v>
                </c:pt>
                <c:pt idx="115">
                  <c:v>0.17335969315081967</c:v>
                </c:pt>
                <c:pt idx="116">
                  <c:v>0.17335969315081967</c:v>
                </c:pt>
                <c:pt idx="117">
                  <c:v>0.17335969315081967</c:v>
                </c:pt>
                <c:pt idx="118">
                  <c:v>0.17335969315081967</c:v>
                </c:pt>
                <c:pt idx="119">
                  <c:v>0.17335969315081967</c:v>
                </c:pt>
                <c:pt idx="120">
                  <c:v>0.17335969315081967</c:v>
                </c:pt>
                <c:pt idx="121">
                  <c:v>0.17335969315081967</c:v>
                </c:pt>
                <c:pt idx="122">
                  <c:v>0.17335969315081967</c:v>
                </c:pt>
                <c:pt idx="123">
                  <c:v>0.17335969315081967</c:v>
                </c:pt>
                <c:pt idx="124">
                  <c:v>0.17335969315081967</c:v>
                </c:pt>
                <c:pt idx="125">
                  <c:v>0.17335969315081967</c:v>
                </c:pt>
                <c:pt idx="126">
                  <c:v>0.17335969315081967</c:v>
                </c:pt>
                <c:pt idx="127">
                  <c:v>0.17335969315081967</c:v>
                </c:pt>
                <c:pt idx="128">
                  <c:v>0.17335969315081967</c:v>
                </c:pt>
                <c:pt idx="129">
                  <c:v>0.17335969315081967</c:v>
                </c:pt>
                <c:pt idx="130">
                  <c:v>0.17335969315081967</c:v>
                </c:pt>
                <c:pt idx="131">
                  <c:v>0.17335969315081967</c:v>
                </c:pt>
                <c:pt idx="132">
                  <c:v>0.17335969315081967</c:v>
                </c:pt>
                <c:pt idx="133">
                  <c:v>0.17335969315081967</c:v>
                </c:pt>
                <c:pt idx="134">
                  <c:v>0.17335969315081967</c:v>
                </c:pt>
                <c:pt idx="135">
                  <c:v>0.17335969315081967</c:v>
                </c:pt>
                <c:pt idx="136">
                  <c:v>0.17335969315081967</c:v>
                </c:pt>
                <c:pt idx="137">
                  <c:v>0.17335969315081967</c:v>
                </c:pt>
                <c:pt idx="138">
                  <c:v>0.17335969315081967</c:v>
                </c:pt>
                <c:pt idx="139">
                  <c:v>0.17335969315081967</c:v>
                </c:pt>
                <c:pt idx="140">
                  <c:v>0.17335969315081967</c:v>
                </c:pt>
                <c:pt idx="141">
                  <c:v>0.17335969315081967</c:v>
                </c:pt>
                <c:pt idx="142">
                  <c:v>0.17335969315081967</c:v>
                </c:pt>
                <c:pt idx="143">
                  <c:v>0.17335969315081967</c:v>
                </c:pt>
                <c:pt idx="144">
                  <c:v>0.17335969315081967</c:v>
                </c:pt>
                <c:pt idx="145">
                  <c:v>0.17335969315081967</c:v>
                </c:pt>
                <c:pt idx="146">
                  <c:v>0.17335969315081967</c:v>
                </c:pt>
                <c:pt idx="147">
                  <c:v>0.17335969315081967</c:v>
                </c:pt>
                <c:pt idx="148">
                  <c:v>0.17335969315081967</c:v>
                </c:pt>
                <c:pt idx="149">
                  <c:v>0.17335969315081967</c:v>
                </c:pt>
                <c:pt idx="150">
                  <c:v>0.17335969315081967</c:v>
                </c:pt>
                <c:pt idx="151">
                  <c:v>0.17335969315081967</c:v>
                </c:pt>
                <c:pt idx="152">
                  <c:v>0.17335969315081967</c:v>
                </c:pt>
                <c:pt idx="153">
                  <c:v>0.17335969315081967</c:v>
                </c:pt>
                <c:pt idx="154">
                  <c:v>0.17335969315081967</c:v>
                </c:pt>
                <c:pt idx="155">
                  <c:v>0.17335969315081967</c:v>
                </c:pt>
                <c:pt idx="156">
                  <c:v>0.17335969315081967</c:v>
                </c:pt>
                <c:pt idx="157">
                  <c:v>0.17335969315081967</c:v>
                </c:pt>
                <c:pt idx="158">
                  <c:v>0.17335969315081967</c:v>
                </c:pt>
                <c:pt idx="159">
                  <c:v>0.17335969315081967</c:v>
                </c:pt>
                <c:pt idx="160">
                  <c:v>0.17335969315081967</c:v>
                </c:pt>
                <c:pt idx="161">
                  <c:v>0.17335969315081967</c:v>
                </c:pt>
                <c:pt idx="162">
                  <c:v>0.17335969315081967</c:v>
                </c:pt>
                <c:pt idx="163">
                  <c:v>0.17335969315081967</c:v>
                </c:pt>
                <c:pt idx="164">
                  <c:v>0.17335969315081967</c:v>
                </c:pt>
                <c:pt idx="165">
                  <c:v>0.17335969315081967</c:v>
                </c:pt>
                <c:pt idx="166">
                  <c:v>0.17335969315081967</c:v>
                </c:pt>
                <c:pt idx="167">
                  <c:v>0.17335969315081967</c:v>
                </c:pt>
                <c:pt idx="168">
                  <c:v>0.17335969315081967</c:v>
                </c:pt>
                <c:pt idx="169">
                  <c:v>0.17335969315081967</c:v>
                </c:pt>
                <c:pt idx="170">
                  <c:v>0.17335969315081967</c:v>
                </c:pt>
                <c:pt idx="171">
                  <c:v>0.17335969315081967</c:v>
                </c:pt>
                <c:pt idx="172">
                  <c:v>0.17335969315081967</c:v>
                </c:pt>
                <c:pt idx="173">
                  <c:v>0.17335969315081967</c:v>
                </c:pt>
                <c:pt idx="174">
                  <c:v>0.17335969315081967</c:v>
                </c:pt>
                <c:pt idx="175">
                  <c:v>0.17335969315081967</c:v>
                </c:pt>
                <c:pt idx="176">
                  <c:v>0.17335969315081967</c:v>
                </c:pt>
                <c:pt idx="177">
                  <c:v>0.17335969315081967</c:v>
                </c:pt>
                <c:pt idx="178">
                  <c:v>0.17335969315081967</c:v>
                </c:pt>
                <c:pt idx="179">
                  <c:v>0.17335969315081967</c:v>
                </c:pt>
                <c:pt idx="180">
                  <c:v>0.17335969315081967</c:v>
                </c:pt>
                <c:pt idx="181">
                  <c:v>0.17335969315081967</c:v>
                </c:pt>
                <c:pt idx="182">
                  <c:v>0.17335969315081967</c:v>
                </c:pt>
                <c:pt idx="183">
                  <c:v>0.17335969315081967</c:v>
                </c:pt>
                <c:pt idx="184">
                  <c:v>0.17335969315081967</c:v>
                </c:pt>
                <c:pt idx="185">
                  <c:v>0.17335969315081967</c:v>
                </c:pt>
                <c:pt idx="186">
                  <c:v>0.17335969315081967</c:v>
                </c:pt>
                <c:pt idx="187">
                  <c:v>0.17335969315081967</c:v>
                </c:pt>
                <c:pt idx="188">
                  <c:v>0.17335969315081967</c:v>
                </c:pt>
                <c:pt idx="189">
                  <c:v>0.17335969315081967</c:v>
                </c:pt>
                <c:pt idx="190">
                  <c:v>0.17335969315081967</c:v>
                </c:pt>
                <c:pt idx="191">
                  <c:v>0.17335969315081967</c:v>
                </c:pt>
                <c:pt idx="192">
                  <c:v>0.17335969315081967</c:v>
                </c:pt>
                <c:pt idx="193">
                  <c:v>0.17335969315081967</c:v>
                </c:pt>
                <c:pt idx="194">
                  <c:v>0.17335969315081967</c:v>
                </c:pt>
                <c:pt idx="195">
                  <c:v>0.17335969315081967</c:v>
                </c:pt>
                <c:pt idx="196">
                  <c:v>0.17335969315081967</c:v>
                </c:pt>
                <c:pt idx="197">
                  <c:v>0.17335969315081967</c:v>
                </c:pt>
                <c:pt idx="198">
                  <c:v>0.17335969315081967</c:v>
                </c:pt>
                <c:pt idx="199">
                  <c:v>0.17335969315081967</c:v>
                </c:pt>
                <c:pt idx="200">
                  <c:v>0.17335969315081967</c:v>
                </c:pt>
                <c:pt idx="201">
                  <c:v>0.17335969315081967</c:v>
                </c:pt>
                <c:pt idx="202">
                  <c:v>0.17335969315081967</c:v>
                </c:pt>
                <c:pt idx="203">
                  <c:v>0.17335969315081967</c:v>
                </c:pt>
                <c:pt idx="204">
                  <c:v>0.17335969315081967</c:v>
                </c:pt>
                <c:pt idx="205">
                  <c:v>0.17335969315081967</c:v>
                </c:pt>
                <c:pt idx="206">
                  <c:v>0.17335969315081967</c:v>
                </c:pt>
                <c:pt idx="207">
                  <c:v>0.17335969315081967</c:v>
                </c:pt>
                <c:pt idx="208">
                  <c:v>0.17335969315081967</c:v>
                </c:pt>
                <c:pt idx="209">
                  <c:v>0.17335969315081967</c:v>
                </c:pt>
                <c:pt idx="210">
                  <c:v>0.17335969315081967</c:v>
                </c:pt>
                <c:pt idx="211">
                  <c:v>0.17335969315081967</c:v>
                </c:pt>
                <c:pt idx="212">
                  <c:v>0.17335969315081967</c:v>
                </c:pt>
                <c:pt idx="213">
                  <c:v>0.17335969315081967</c:v>
                </c:pt>
                <c:pt idx="214">
                  <c:v>0.17335969315081967</c:v>
                </c:pt>
                <c:pt idx="215">
                  <c:v>0.17335969315081967</c:v>
                </c:pt>
                <c:pt idx="216">
                  <c:v>0.17335969315081967</c:v>
                </c:pt>
                <c:pt idx="217">
                  <c:v>0.17335969315081967</c:v>
                </c:pt>
                <c:pt idx="218">
                  <c:v>0.17335969315081967</c:v>
                </c:pt>
                <c:pt idx="219">
                  <c:v>0.17335969315081967</c:v>
                </c:pt>
                <c:pt idx="220">
                  <c:v>0.17335969315081967</c:v>
                </c:pt>
                <c:pt idx="221">
                  <c:v>0.17335969315081967</c:v>
                </c:pt>
                <c:pt idx="222">
                  <c:v>0.17335969315081967</c:v>
                </c:pt>
                <c:pt idx="223">
                  <c:v>0.17335969315081967</c:v>
                </c:pt>
                <c:pt idx="224">
                  <c:v>0.17335969315081967</c:v>
                </c:pt>
                <c:pt idx="225">
                  <c:v>0.17335969315081967</c:v>
                </c:pt>
                <c:pt idx="226">
                  <c:v>0.17335969315081967</c:v>
                </c:pt>
                <c:pt idx="227">
                  <c:v>0.17335969315081967</c:v>
                </c:pt>
                <c:pt idx="228">
                  <c:v>0.17335969315081967</c:v>
                </c:pt>
                <c:pt idx="229">
                  <c:v>0.17335969315081967</c:v>
                </c:pt>
                <c:pt idx="230">
                  <c:v>0.17335969315081967</c:v>
                </c:pt>
                <c:pt idx="231">
                  <c:v>0.17335969315081967</c:v>
                </c:pt>
                <c:pt idx="232">
                  <c:v>0.17335969315081967</c:v>
                </c:pt>
                <c:pt idx="233">
                  <c:v>0.17335969315081967</c:v>
                </c:pt>
                <c:pt idx="234">
                  <c:v>0.17335969315081967</c:v>
                </c:pt>
                <c:pt idx="235">
                  <c:v>0.17335969315081967</c:v>
                </c:pt>
                <c:pt idx="236">
                  <c:v>0.17335969315081967</c:v>
                </c:pt>
                <c:pt idx="237">
                  <c:v>0.17335969315081967</c:v>
                </c:pt>
                <c:pt idx="238">
                  <c:v>0.17335969315081967</c:v>
                </c:pt>
                <c:pt idx="239">
                  <c:v>0.17335969315081967</c:v>
                </c:pt>
                <c:pt idx="240">
                  <c:v>0.17335969315081967</c:v>
                </c:pt>
                <c:pt idx="241">
                  <c:v>0.17335969315081967</c:v>
                </c:pt>
                <c:pt idx="242">
                  <c:v>0.17335969315081967</c:v>
                </c:pt>
                <c:pt idx="243">
                  <c:v>0.17335969315081967</c:v>
                </c:pt>
                <c:pt idx="244">
                  <c:v>0.17335969315081967</c:v>
                </c:pt>
                <c:pt idx="245">
                  <c:v>0.17335969315081967</c:v>
                </c:pt>
                <c:pt idx="246">
                  <c:v>0.17335969315081967</c:v>
                </c:pt>
                <c:pt idx="247">
                  <c:v>0.17335969315081967</c:v>
                </c:pt>
                <c:pt idx="248">
                  <c:v>0.17335969315081967</c:v>
                </c:pt>
                <c:pt idx="249">
                  <c:v>0.17335969315081967</c:v>
                </c:pt>
                <c:pt idx="250">
                  <c:v>0.17335969315081967</c:v>
                </c:pt>
                <c:pt idx="251">
                  <c:v>0.17335969315081967</c:v>
                </c:pt>
                <c:pt idx="252">
                  <c:v>0.17335969315081967</c:v>
                </c:pt>
                <c:pt idx="253">
                  <c:v>0.17335969315081967</c:v>
                </c:pt>
                <c:pt idx="254">
                  <c:v>0.17335969315081967</c:v>
                </c:pt>
                <c:pt idx="255">
                  <c:v>0.17335969315081967</c:v>
                </c:pt>
                <c:pt idx="256">
                  <c:v>0.17335969315081967</c:v>
                </c:pt>
                <c:pt idx="257">
                  <c:v>0.17335969315081967</c:v>
                </c:pt>
                <c:pt idx="258">
                  <c:v>0.17335969315081967</c:v>
                </c:pt>
                <c:pt idx="259">
                  <c:v>0.17335969315081967</c:v>
                </c:pt>
                <c:pt idx="260">
                  <c:v>0.17335969315081967</c:v>
                </c:pt>
                <c:pt idx="261">
                  <c:v>0.17335969315081967</c:v>
                </c:pt>
                <c:pt idx="262">
                  <c:v>0.17335969315081967</c:v>
                </c:pt>
                <c:pt idx="263">
                  <c:v>0.17335969315081967</c:v>
                </c:pt>
                <c:pt idx="264">
                  <c:v>0.17335969315081967</c:v>
                </c:pt>
                <c:pt idx="265">
                  <c:v>0.17335969315081967</c:v>
                </c:pt>
                <c:pt idx="266">
                  <c:v>0.17335969315081967</c:v>
                </c:pt>
                <c:pt idx="267">
                  <c:v>0.17335969315081967</c:v>
                </c:pt>
                <c:pt idx="268">
                  <c:v>0.17335969315081967</c:v>
                </c:pt>
                <c:pt idx="269">
                  <c:v>0.17335969315081967</c:v>
                </c:pt>
                <c:pt idx="270">
                  <c:v>0.17335969315081967</c:v>
                </c:pt>
                <c:pt idx="271">
                  <c:v>0.17335969315081967</c:v>
                </c:pt>
                <c:pt idx="272">
                  <c:v>0.17335969315081967</c:v>
                </c:pt>
                <c:pt idx="273">
                  <c:v>0.17335969315081967</c:v>
                </c:pt>
                <c:pt idx="274">
                  <c:v>0.17335969315081967</c:v>
                </c:pt>
                <c:pt idx="275">
                  <c:v>0.17335969315081967</c:v>
                </c:pt>
                <c:pt idx="276">
                  <c:v>0.17335969315081967</c:v>
                </c:pt>
                <c:pt idx="277">
                  <c:v>0.17335969315081967</c:v>
                </c:pt>
                <c:pt idx="278">
                  <c:v>0.17335969315081967</c:v>
                </c:pt>
                <c:pt idx="279">
                  <c:v>0.17335969315081967</c:v>
                </c:pt>
                <c:pt idx="280">
                  <c:v>0.17335969315081967</c:v>
                </c:pt>
                <c:pt idx="281">
                  <c:v>0.17335969315081967</c:v>
                </c:pt>
                <c:pt idx="282">
                  <c:v>0.17335969315081967</c:v>
                </c:pt>
                <c:pt idx="283">
                  <c:v>0.17335969315081967</c:v>
                </c:pt>
                <c:pt idx="284">
                  <c:v>0.17335969315081967</c:v>
                </c:pt>
                <c:pt idx="285">
                  <c:v>0.17335969315081967</c:v>
                </c:pt>
                <c:pt idx="286">
                  <c:v>0.17335969315081967</c:v>
                </c:pt>
                <c:pt idx="287">
                  <c:v>0.17335969315081967</c:v>
                </c:pt>
                <c:pt idx="288">
                  <c:v>0.17335969315081967</c:v>
                </c:pt>
                <c:pt idx="289">
                  <c:v>0.17335969315081967</c:v>
                </c:pt>
                <c:pt idx="290">
                  <c:v>0.17335969315081967</c:v>
                </c:pt>
                <c:pt idx="291">
                  <c:v>0.17335969315081967</c:v>
                </c:pt>
                <c:pt idx="292">
                  <c:v>0.17335969315081967</c:v>
                </c:pt>
                <c:pt idx="293">
                  <c:v>0.17335969315081967</c:v>
                </c:pt>
                <c:pt idx="294">
                  <c:v>0.17335969315081967</c:v>
                </c:pt>
                <c:pt idx="295">
                  <c:v>0.17335969315081967</c:v>
                </c:pt>
                <c:pt idx="296">
                  <c:v>0.17335969315081967</c:v>
                </c:pt>
                <c:pt idx="297">
                  <c:v>0.17335969315081967</c:v>
                </c:pt>
                <c:pt idx="298">
                  <c:v>0.17335969315081967</c:v>
                </c:pt>
                <c:pt idx="299">
                  <c:v>0.17335969315081967</c:v>
                </c:pt>
                <c:pt idx="300">
                  <c:v>0.17335969315081967</c:v>
                </c:pt>
                <c:pt idx="301">
                  <c:v>0.17335969315081967</c:v>
                </c:pt>
                <c:pt idx="302">
                  <c:v>0.17335969315081967</c:v>
                </c:pt>
                <c:pt idx="303">
                  <c:v>0.17335969315081967</c:v>
                </c:pt>
                <c:pt idx="304">
                  <c:v>0.17335969315081967</c:v>
                </c:pt>
                <c:pt idx="305">
                  <c:v>0.17335969315081967</c:v>
                </c:pt>
                <c:pt idx="306">
                  <c:v>0.17335969315081967</c:v>
                </c:pt>
                <c:pt idx="307">
                  <c:v>0.17335969315081967</c:v>
                </c:pt>
                <c:pt idx="308">
                  <c:v>0.17335969315081967</c:v>
                </c:pt>
                <c:pt idx="309">
                  <c:v>0.17335969315081967</c:v>
                </c:pt>
                <c:pt idx="310">
                  <c:v>0.17335969315081967</c:v>
                </c:pt>
                <c:pt idx="311">
                  <c:v>0.17335969315081967</c:v>
                </c:pt>
                <c:pt idx="312">
                  <c:v>0.17335969315081967</c:v>
                </c:pt>
                <c:pt idx="313">
                  <c:v>0.17335969315081967</c:v>
                </c:pt>
                <c:pt idx="314">
                  <c:v>0.17335969315081967</c:v>
                </c:pt>
                <c:pt idx="315">
                  <c:v>0.17335969315081967</c:v>
                </c:pt>
                <c:pt idx="316">
                  <c:v>0.17335969315081967</c:v>
                </c:pt>
                <c:pt idx="317">
                  <c:v>0.17335969315081967</c:v>
                </c:pt>
                <c:pt idx="318">
                  <c:v>0.17335969315081967</c:v>
                </c:pt>
                <c:pt idx="319">
                  <c:v>0.17335969315081967</c:v>
                </c:pt>
                <c:pt idx="320">
                  <c:v>0.17335969315081967</c:v>
                </c:pt>
                <c:pt idx="321">
                  <c:v>0.17335969315081967</c:v>
                </c:pt>
                <c:pt idx="322">
                  <c:v>0.17335969315081967</c:v>
                </c:pt>
                <c:pt idx="323">
                  <c:v>0.17335969315081967</c:v>
                </c:pt>
                <c:pt idx="324">
                  <c:v>0.17335969315081967</c:v>
                </c:pt>
                <c:pt idx="325">
                  <c:v>0.17335969315081967</c:v>
                </c:pt>
                <c:pt idx="326">
                  <c:v>0.17335969315081967</c:v>
                </c:pt>
                <c:pt idx="327">
                  <c:v>0.17335969315081967</c:v>
                </c:pt>
                <c:pt idx="328">
                  <c:v>0.17335969315081967</c:v>
                </c:pt>
                <c:pt idx="329">
                  <c:v>0.17335969315081967</c:v>
                </c:pt>
                <c:pt idx="330">
                  <c:v>0.17335969315081967</c:v>
                </c:pt>
                <c:pt idx="331">
                  <c:v>0.17335969315081967</c:v>
                </c:pt>
                <c:pt idx="332">
                  <c:v>0.17335969315081967</c:v>
                </c:pt>
                <c:pt idx="333">
                  <c:v>0.17335969315081967</c:v>
                </c:pt>
                <c:pt idx="334">
                  <c:v>0.17335969315081967</c:v>
                </c:pt>
                <c:pt idx="335">
                  <c:v>0.17335969315081967</c:v>
                </c:pt>
                <c:pt idx="336">
                  <c:v>0.17335969315081967</c:v>
                </c:pt>
                <c:pt idx="337">
                  <c:v>0.17335969315081967</c:v>
                </c:pt>
                <c:pt idx="338">
                  <c:v>0.17335969315081967</c:v>
                </c:pt>
                <c:pt idx="339">
                  <c:v>0.17335969315081967</c:v>
                </c:pt>
                <c:pt idx="340">
                  <c:v>0.17335969315081967</c:v>
                </c:pt>
                <c:pt idx="341">
                  <c:v>0.17335969315081967</c:v>
                </c:pt>
                <c:pt idx="342">
                  <c:v>0.17335969315081967</c:v>
                </c:pt>
                <c:pt idx="343">
                  <c:v>0.17335969315081967</c:v>
                </c:pt>
                <c:pt idx="344">
                  <c:v>0.17335969315081967</c:v>
                </c:pt>
                <c:pt idx="345">
                  <c:v>0.17335969315081967</c:v>
                </c:pt>
                <c:pt idx="346">
                  <c:v>0.17335969315081967</c:v>
                </c:pt>
                <c:pt idx="347">
                  <c:v>0.17335969315081967</c:v>
                </c:pt>
                <c:pt idx="348">
                  <c:v>0.17335969315081967</c:v>
                </c:pt>
                <c:pt idx="349">
                  <c:v>0.17335969315081967</c:v>
                </c:pt>
                <c:pt idx="350">
                  <c:v>0.17335969315081967</c:v>
                </c:pt>
                <c:pt idx="351">
                  <c:v>0.17335969315081967</c:v>
                </c:pt>
                <c:pt idx="352">
                  <c:v>0.17335969315081967</c:v>
                </c:pt>
                <c:pt idx="353">
                  <c:v>0.17335969315081967</c:v>
                </c:pt>
                <c:pt idx="354">
                  <c:v>0.17335969315081967</c:v>
                </c:pt>
                <c:pt idx="355">
                  <c:v>0.17335969315081967</c:v>
                </c:pt>
                <c:pt idx="356">
                  <c:v>0.17335969315081967</c:v>
                </c:pt>
                <c:pt idx="357">
                  <c:v>0.17335969315081967</c:v>
                </c:pt>
                <c:pt idx="358">
                  <c:v>0.17335969315081967</c:v>
                </c:pt>
                <c:pt idx="359">
                  <c:v>0.17335969315081967</c:v>
                </c:pt>
                <c:pt idx="360">
                  <c:v>0.17335969315081967</c:v>
                </c:pt>
                <c:pt idx="361">
                  <c:v>0.17335969315081967</c:v>
                </c:pt>
                <c:pt idx="362">
                  <c:v>0.17335969315081967</c:v>
                </c:pt>
                <c:pt idx="363">
                  <c:v>0.17335969315081967</c:v>
                </c:pt>
                <c:pt idx="364">
                  <c:v>0.17335969315081967</c:v>
                </c:pt>
                <c:pt idx="365">
                  <c:v>0.17335969315081967</c:v>
                </c:pt>
                <c:pt idx="366">
                  <c:v>0.17335969315081967</c:v>
                </c:pt>
                <c:pt idx="367">
                  <c:v>0.17335969315081967</c:v>
                </c:pt>
                <c:pt idx="368">
                  <c:v>0.17335969315081967</c:v>
                </c:pt>
                <c:pt idx="369">
                  <c:v>0.17335969315081967</c:v>
                </c:pt>
                <c:pt idx="370">
                  <c:v>0.17335969315081967</c:v>
                </c:pt>
                <c:pt idx="371">
                  <c:v>0.17335969315081967</c:v>
                </c:pt>
                <c:pt idx="372">
                  <c:v>0.17335969315081967</c:v>
                </c:pt>
                <c:pt idx="373">
                  <c:v>0.17335969315081967</c:v>
                </c:pt>
                <c:pt idx="374">
                  <c:v>0.17335969315081967</c:v>
                </c:pt>
                <c:pt idx="375">
                  <c:v>0.17335969315081967</c:v>
                </c:pt>
                <c:pt idx="376">
                  <c:v>0.17335969315081967</c:v>
                </c:pt>
                <c:pt idx="377">
                  <c:v>0.17335969315081967</c:v>
                </c:pt>
                <c:pt idx="378">
                  <c:v>0.17335969315081967</c:v>
                </c:pt>
                <c:pt idx="379">
                  <c:v>0.17335969315081967</c:v>
                </c:pt>
                <c:pt idx="380">
                  <c:v>0.17335969315081967</c:v>
                </c:pt>
                <c:pt idx="381">
                  <c:v>0.17335969315081967</c:v>
                </c:pt>
                <c:pt idx="382">
                  <c:v>0.17335969315081967</c:v>
                </c:pt>
                <c:pt idx="383">
                  <c:v>0.17335969315081967</c:v>
                </c:pt>
                <c:pt idx="384">
                  <c:v>0.17335969315081967</c:v>
                </c:pt>
                <c:pt idx="385">
                  <c:v>0.17335969315081967</c:v>
                </c:pt>
                <c:pt idx="386">
                  <c:v>0.17335969315081967</c:v>
                </c:pt>
                <c:pt idx="387">
                  <c:v>0.17335969315081967</c:v>
                </c:pt>
                <c:pt idx="388">
                  <c:v>0.17335969315081967</c:v>
                </c:pt>
                <c:pt idx="389">
                  <c:v>0.17335969315081967</c:v>
                </c:pt>
                <c:pt idx="390">
                  <c:v>0.17335969315081967</c:v>
                </c:pt>
                <c:pt idx="391">
                  <c:v>0.17335969315081967</c:v>
                </c:pt>
                <c:pt idx="392">
                  <c:v>0.17335969315081967</c:v>
                </c:pt>
                <c:pt idx="393">
                  <c:v>0.17335969315081967</c:v>
                </c:pt>
                <c:pt idx="394">
                  <c:v>0.17335969315081967</c:v>
                </c:pt>
                <c:pt idx="395">
                  <c:v>0.17335969315081967</c:v>
                </c:pt>
                <c:pt idx="396">
                  <c:v>0.17335969315081967</c:v>
                </c:pt>
                <c:pt idx="397">
                  <c:v>0.17335969315081967</c:v>
                </c:pt>
                <c:pt idx="398">
                  <c:v>0.17335969315081967</c:v>
                </c:pt>
                <c:pt idx="399">
                  <c:v>0.17335969315081967</c:v>
                </c:pt>
                <c:pt idx="400">
                  <c:v>0.17335969315081967</c:v>
                </c:pt>
                <c:pt idx="401">
                  <c:v>0.17335969315081967</c:v>
                </c:pt>
                <c:pt idx="402">
                  <c:v>0.17335969315081967</c:v>
                </c:pt>
                <c:pt idx="403">
                  <c:v>0.17335969315081967</c:v>
                </c:pt>
                <c:pt idx="404">
                  <c:v>0.17335969315081967</c:v>
                </c:pt>
                <c:pt idx="405">
                  <c:v>0.17335969315081967</c:v>
                </c:pt>
                <c:pt idx="406">
                  <c:v>0.17335969315081967</c:v>
                </c:pt>
                <c:pt idx="407">
                  <c:v>0.17335969315081967</c:v>
                </c:pt>
                <c:pt idx="408">
                  <c:v>0.17335969315081967</c:v>
                </c:pt>
                <c:pt idx="409">
                  <c:v>0.17335969315081967</c:v>
                </c:pt>
                <c:pt idx="410">
                  <c:v>0.17335969315081967</c:v>
                </c:pt>
                <c:pt idx="411">
                  <c:v>0.17335969315081967</c:v>
                </c:pt>
                <c:pt idx="412">
                  <c:v>0.17335969315081967</c:v>
                </c:pt>
                <c:pt idx="413">
                  <c:v>0.17335969315081967</c:v>
                </c:pt>
                <c:pt idx="414">
                  <c:v>0.17335969315081967</c:v>
                </c:pt>
                <c:pt idx="415">
                  <c:v>0.17335969315081967</c:v>
                </c:pt>
                <c:pt idx="416">
                  <c:v>0.17335969315081967</c:v>
                </c:pt>
                <c:pt idx="417">
                  <c:v>0.17335969315081967</c:v>
                </c:pt>
                <c:pt idx="418">
                  <c:v>0.17335969315081967</c:v>
                </c:pt>
                <c:pt idx="419">
                  <c:v>0.17335969315081967</c:v>
                </c:pt>
                <c:pt idx="420">
                  <c:v>0.17335969315081967</c:v>
                </c:pt>
                <c:pt idx="421">
                  <c:v>0.17335969315081967</c:v>
                </c:pt>
                <c:pt idx="422">
                  <c:v>0.17335969315081967</c:v>
                </c:pt>
                <c:pt idx="423">
                  <c:v>0.17335969315081967</c:v>
                </c:pt>
                <c:pt idx="424">
                  <c:v>0.17335969315081967</c:v>
                </c:pt>
                <c:pt idx="425">
                  <c:v>0.17335969315081967</c:v>
                </c:pt>
                <c:pt idx="426">
                  <c:v>0.17335969315081967</c:v>
                </c:pt>
                <c:pt idx="427">
                  <c:v>0.17335969315081967</c:v>
                </c:pt>
                <c:pt idx="428">
                  <c:v>0.17335969315081967</c:v>
                </c:pt>
                <c:pt idx="429">
                  <c:v>0.17335969315081967</c:v>
                </c:pt>
                <c:pt idx="430">
                  <c:v>0.17335969315081967</c:v>
                </c:pt>
                <c:pt idx="431">
                  <c:v>0.17335969315081967</c:v>
                </c:pt>
                <c:pt idx="432">
                  <c:v>0.17335969315081967</c:v>
                </c:pt>
                <c:pt idx="433">
                  <c:v>0.17335969315081967</c:v>
                </c:pt>
                <c:pt idx="434">
                  <c:v>0.17335969315081967</c:v>
                </c:pt>
                <c:pt idx="435">
                  <c:v>0.17335969315081967</c:v>
                </c:pt>
                <c:pt idx="436">
                  <c:v>0.17335969315081967</c:v>
                </c:pt>
                <c:pt idx="437">
                  <c:v>0.17335969315081967</c:v>
                </c:pt>
                <c:pt idx="438">
                  <c:v>0.17335969315081967</c:v>
                </c:pt>
                <c:pt idx="439">
                  <c:v>0.17335969315081967</c:v>
                </c:pt>
                <c:pt idx="440">
                  <c:v>0.17335969315081967</c:v>
                </c:pt>
                <c:pt idx="441">
                  <c:v>0.17335969315081967</c:v>
                </c:pt>
                <c:pt idx="442">
                  <c:v>0.17335969315081967</c:v>
                </c:pt>
                <c:pt idx="443">
                  <c:v>0.17335969315081967</c:v>
                </c:pt>
                <c:pt idx="444">
                  <c:v>0.17335969315081967</c:v>
                </c:pt>
                <c:pt idx="445">
                  <c:v>0.17335969315081967</c:v>
                </c:pt>
                <c:pt idx="446">
                  <c:v>0.17335969315081967</c:v>
                </c:pt>
                <c:pt idx="447">
                  <c:v>0.17335969315081967</c:v>
                </c:pt>
                <c:pt idx="448">
                  <c:v>0.17335969315081967</c:v>
                </c:pt>
                <c:pt idx="449">
                  <c:v>0.17335969315081967</c:v>
                </c:pt>
                <c:pt idx="450">
                  <c:v>0.17335969315081967</c:v>
                </c:pt>
                <c:pt idx="451">
                  <c:v>0.17335969315081967</c:v>
                </c:pt>
                <c:pt idx="452">
                  <c:v>0.17335969315081967</c:v>
                </c:pt>
                <c:pt idx="453">
                  <c:v>0.17335969315081967</c:v>
                </c:pt>
                <c:pt idx="454">
                  <c:v>0.17335969315081967</c:v>
                </c:pt>
                <c:pt idx="455">
                  <c:v>0.17335969315081967</c:v>
                </c:pt>
                <c:pt idx="456">
                  <c:v>0.17335969315081967</c:v>
                </c:pt>
                <c:pt idx="457">
                  <c:v>0.17335969315081967</c:v>
                </c:pt>
                <c:pt idx="458">
                  <c:v>0.17335969315081967</c:v>
                </c:pt>
                <c:pt idx="459">
                  <c:v>0.17335969315081967</c:v>
                </c:pt>
                <c:pt idx="460">
                  <c:v>0.17335969315081967</c:v>
                </c:pt>
                <c:pt idx="461">
                  <c:v>0.17335969315081967</c:v>
                </c:pt>
                <c:pt idx="462">
                  <c:v>0.17335969315081967</c:v>
                </c:pt>
                <c:pt idx="463">
                  <c:v>0.17335969315081967</c:v>
                </c:pt>
                <c:pt idx="464">
                  <c:v>0.17335969315081967</c:v>
                </c:pt>
                <c:pt idx="465">
                  <c:v>0.17335969315081967</c:v>
                </c:pt>
                <c:pt idx="466">
                  <c:v>0.17335969315081967</c:v>
                </c:pt>
                <c:pt idx="467">
                  <c:v>0.17335969315081967</c:v>
                </c:pt>
                <c:pt idx="468">
                  <c:v>0.17335969315081967</c:v>
                </c:pt>
                <c:pt idx="469">
                  <c:v>0.17335969315081967</c:v>
                </c:pt>
                <c:pt idx="470">
                  <c:v>0.17335969315081967</c:v>
                </c:pt>
                <c:pt idx="471">
                  <c:v>0.17335969315081967</c:v>
                </c:pt>
                <c:pt idx="472">
                  <c:v>0.17335969315081967</c:v>
                </c:pt>
                <c:pt idx="473">
                  <c:v>0.17335969315081967</c:v>
                </c:pt>
                <c:pt idx="474">
                  <c:v>0.17335969315081967</c:v>
                </c:pt>
                <c:pt idx="475">
                  <c:v>0.17335969315081967</c:v>
                </c:pt>
                <c:pt idx="476">
                  <c:v>0.17335969315081967</c:v>
                </c:pt>
                <c:pt idx="477">
                  <c:v>0.17335969315081967</c:v>
                </c:pt>
                <c:pt idx="478">
                  <c:v>0.17335969315081967</c:v>
                </c:pt>
                <c:pt idx="479">
                  <c:v>0.17335969315081967</c:v>
                </c:pt>
                <c:pt idx="480">
                  <c:v>0.17335969315081967</c:v>
                </c:pt>
                <c:pt idx="481">
                  <c:v>0.17335969315081967</c:v>
                </c:pt>
                <c:pt idx="482">
                  <c:v>0.17335969315081967</c:v>
                </c:pt>
                <c:pt idx="483">
                  <c:v>0.17335969315081967</c:v>
                </c:pt>
                <c:pt idx="484">
                  <c:v>0.17335969315081967</c:v>
                </c:pt>
                <c:pt idx="485">
                  <c:v>0.17335969315081967</c:v>
                </c:pt>
                <c:pt idx="486">
                  <c:v>0.17335969315081967</c:v>
                </c:pt>
                <c:pt idx="487">
                  <c:v>0.17335969315081967</c:v>
                </c:pt>
                <c:pt idx="488">
                  <c:v>0.17335969315081967</c:v>
                </c:pt>
                <c:pt idx="489">
                  <c:v>0.17335969315081967</c:v>
                </c:pt>
                <c:pt idx="490">
                  <c:v>0.17335969315081967</c:v>
                </c:pt>
                <c:pt idx="491">
                  <c:v>0.17335969315081967</c:v>
                </c:pt>
                <c:pt idx="492">
                  <c:v>0.17335969315081967</c:v>
                </c:pt>
                <c:pt idx="493">
                  <c:v>0.17335969315081967</c:v>
                </c:pt>
                <c:pt idx="494">
                  <c:v>0.17335969315081967</c:v>
                </c:pt>
                <c:pt idx="495">
                  <c:v>0.17335969315081967</c:v>
                </c:pt>
                <c:pt idx="496">
                  <c:v>0.17335969315081967</c:v>
                </c:pt>
                <c:pt idx="497">
                  <c:v>0.17335969315081967</c:v>
                </c:pt>
                <c:pt idx="498">
                  <c:v>0.17335969315081967</c:v>
                </c:pt>
                <c:pt idx="499">
                  <c:v>0.17335969315081967</c:v>
                </c:pt>
                <c:pt idx="500">
                  <c:v>0.17335969315081967</c:v>
                </c:pt>
                <c:pt idx="501">
                  <c:v>0.17335969315081967</c:v>
                </c:pt>
                <c:pt idx="502">
                  <c:v>0.17335969315081967</c:v>
                </c:pt>
                <c:pt idx="503">
                  <c:v>0.17335969315081967</c:v>
                </c:pt>
                <c:pt idx="504">
                  <c:v>0.17335969315081967</c:v>
                </c:pt>
                <c:pt idx="505">
                  <c:v>0.17335969315081967</c:v>
                </c:pt>
                <c:pt idx="506">
                  <c:v>0.17335969315081967</c:v>
                </c:pt>
                <c:pt idx="507">
                  <c:v>0.17335969315081967</c:v>
                </c:pt>
                <c:pt idx="508">
                  <c:v>0.17335969315081967</c:v>
                </c:pt>
                <c:pt idx="509">
                  <c:v>0.17335969315081967</c:v>
                </c:pt>
                <c:pt idx="510">
                  <c:v>0.17335969315081967</c:v>
                </c:pt>
                <c:pt idx="511">
                  <c:v>0.17335969315081967</c:v>
                </c:pt>
                <c:pt idx="512">
                  <c:v>0.17335969315081967</c:v>
                </c:pt>
                <c:pt idx="513">
                  <c:v>0.17335969315081967</c:v>
                </c:pt>
                <c:pt idx="514">
                  <c:v>0.17335969315081967</c:v>
                </c:pt>
                <c:pt idx="515">
                  <c:v>0.17335969315081967</c:v>
                </c:pt>
                <c:pt idx="516">
                  <c:v>0.17335969315081967</c:v>
                </c:pt>
                <c:pt idx="517">
                  <c:v>0.17335969315081967</c:v>
                </c:pt>
                <c:pt idx="518">
                  <c:v>0.17335969315081967</c:v>
                </c:pt>
                <c:pt idx="519">
                  <c:v>0.17335969315081967</c:v>
                </c:pt>
                <c:pt idx="520">
                  <c:v>0.17335969315081967</c:v>
                </c:pt>
                <c:pt idx="521">
                  <c:v>0.17335969315081967</c:v>
                </c:pt>
                <c:pt idx="522">
                  <c:v>0.17335969315081967</c:v>
                </c:pt>
                <c:pt idx="523">
                  <c:v>0.17335969315081967</c:v>
                </c:pt>
                <c:pt idx="524">
                  <c:v>0.17335969315081967</c:v>
                </c:pt>
                <c:pt idx="525">
                  <c:v>0.17335969315081967</c:v>
                </c:pt>
                <c:pt idx="526">
                  <c:v>0.17335969315081967</c:v>
                </c:pt>
                <c:pt idx="527">
                  <c:v>0.17335969315081967</c:v>
                </c:pt>
                <c:pt idx="528">
                  <c:v>0.17335969315081967</c:v>
                </c:pt>
                <c:pt idx="529">
                  <c:v>0.17335969315081967</c:v>
                </c:pt>
                <c:pt idx="530">
                  <c:v>0.17335969315081967</c:v>
                </c:pt>
                <c:pt idx="531">
                  <c:v>0.17335969315081967</c:v>
                </c:pt>
                <c:pt idx="532">
                  <c:v>0.17335969315081967</c:v>
                </c:pt>
                <c:pt idx="533">
                  <c:v>0.17335969315081967</c:v>
                </c:pt>
                <c:pt idx="534">
                  <c:v>0.17335969315081967</c:v>
                </c:pt>
                <c:pt idx="535">
                  <c:v>0.17335969315081967</c:v>
                </c:pt>
                <c:pt idx="536">
                  <c:v>0.17335969315081967</c:v>
                </c:pt>
                <c:pt idx="537">
                  <c:v>0.17335969315081967</c:v>
                </c:pt>
                <c:pt idx="538">
                  <c:v>0.17335969315081967</c:v>
                </c:pt>
                <c:pt idx="539">
                  <c:v>0.17335969315081967</c:v>
                </c:pt>
                <c:pt idx="540">
                  <c:v>0.17335969315081967</c:v>
                </c:pt>
              </c:numCache>
            </c:numRef>
          </c:yVal>
          <c:smooth val="0"/>
        </c:ser>
        <c:dLbls>
          <c:showLegendKey val="0"/>
          <c:showVal val="0"/>
          <c:showCatName val="0"/>
          <c:showSerName val="0"/>
          <c:showPercent val="0"/>
          <c:showBubbleSize val="0"/>
        </c:dLbls>
        <c:axId val="173354368"/>
        <c:axId val="173364736"/>
      </c:scatterChart>
      <c:valAx>
        <c:axId val="173354368"/>
        <c:scaling>
          <c:orientation val="minMax"/>
        </c:scaling>
        <c:delete val="0"/>
        <c:axPos val="b"/>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V</a:t>
                </a:r>
              </a:p>
            </c:rich>
          </c:tx>
          <c:layout>
            <c:manualLayout>
              <c:xMode val="edge"/>
              <c:yMode val="edge"/>
              <c:x val="0.94459956928460875"/>
              <c:y val="0.865122372523947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364736"/>
        <c:crosses val="autoZero"/>
        <c:crossBetween val="midCat"/>
      </c:valAx>
      <c:valAx>
        <c:axId val="173364736"/>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3354368"/>
        <c:crosses val="autoZero"/>
        <c:crossBetween val="midCat"/>
        <c:minorUnit val="0.1"/>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GB" sz="800" b="1"/>
              <a:t>Efficiency vs Vin</a:t>
            </a:r>
          </a:p>
        </c:rich>
      </c:tx>
      <c:layout>
        <c:manualLayout>
          <c:xMode val="edge"/>
          <c:yMode val="edge"/>
          <c:x val="0.33050104313883838"/>
          <c:y val="3.8518298420244637E-2"/>
        </c:manualLayout>
      </c:layout>
      <c:overlay val="0"/>
      <c:spPr>
        <a:noFill/>
        <a:ln w="25400">
          <a:noFill/>
        </a:ln>
      </c:spPr>
    </c:title>
    <c:autoTitleDeleted val="0"/>
    <c:plotArea>
      <c:layout>
        <c:manualLayout>
          <c:layoutTarget val="inner"/>
          <c:xMode val="edge"/>
          <c:yMode val="edge"/>
          <c:x val="0.15272727272727274"/>
          <c:y val="0.19230769230769232"/>
          <c:w val="0.76727272727272722"/>
          <c:h val="0.6648351648351648"/>
        </c:manualLayout>
      </c:layout>
      <c:scatterChart>
        <c:scatterStyle val="lineMarker"/>
        <c:varyColors val="0"/>
        <c:ser>
          <c:idx val="0"/>
          <c:order val="0"/>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Calculator!$BK$120:$BK$660</c:f>
              <c:numCache>
                <c:formatCode>0.00%</c:formatCode>
                <c:ptCount val="541"/>
                <c:pt idx="0">
                  <c:v>0.88820624326127018</c:v>
                </c:pt>
                <c:pt idx="1">
                  <c:v>0.88950994356347923</c:v>
                </c:pt>
                <c:pt idx="2">
                  <c:v>0.8907700127823216</c:v>
                </c:pt>
                <c:pt idx="3">
                  <c:v>0.89198840939499791</c:v>
                </c:pt>
                <c:pt idx="4">
                  <c:v>0.89316698228792901</c:v>
                </c:pt>
                <c:pt idx="5">
                  <c:v>0.89430747805883903</c:v>
                </c:pt>
                <c:pt idx="6">
                  <c:v>0.89541154775723353</c:v>
                </c:pt>
                <c:pt idx="7">
                  <c:v>0.89648075311199049</c:v>
                </c:pt>
                <c:pt idx="8">
                  <c:v>0.89751657229009718</c:v>
                </c:pt>
                <c:pt idx="9">
                  <c:v>0.89852040522637533</c:v>
                </c:pt>
                <c:pt idx="10">
                  <c:v>0.89949357856028012</c:v>
                </c:pt>
                <c:pt idx="11">
                  <c:v>0.90043735021248716</c:v>
                </c:pt>
                <c:pt idx="12">
                  <c:v>0.90135291363096526</c:v>
                </c:pt>
                <c:pt idx="13">
                  <c:v>0.90224140173350376</c:v>
                </c:pt>
                <c:pt idx="14">
                  <c:v>0.90310389057122831</c:v>
                </c:pt>
                <c:pt idx="15">
                  <c:v>0.90394140273542878</c:v>
                </c:pt>
                <c:pt idx="16">
                  <c:v>0.90475491052804125</c:v>
                </c:pt>
                <c:pt idx="17">
                  <c:v>0.90554533891433198</c:v>
                </c:pt>
                <c:pt idx="18">
                  <c:v>0.9063135682747151</c:v>
                </c:pt>
                <c:pt idx="19">
                  <c:v>0.90706043697116623</c:v>
                </c:pt>
                <c:pt idx="20">
                  <c:v>0.90778674374237855</c:v>
                </c:pt>
                <c:pt idx="21">
                  <c:v>0.90849324994059544</c:v>
                </c:pt>
                <c:pt idx="22">
                  <c:v>0.9091806816219784</c:v>
                </c:pt>
                <c:pt idx="23">
                  <c:v>0.90984973150136839</c:v>
                </c:pt>
                <c:pt idx="24">
                  <c:v>0.9105010607814138</c:v>
                </c:pt>
                <c:pt idx="25">
                  <c:v>0.91113530086520966</c:v>
                </c:pt>
                <c:pt idx="26">
                  <c:v>0.91175305496086156</c:v>
                </c:pt>
                <c:pt idx="27">
                  <c:v>0.91235489958570282</c:v>
                </c:pt>
                <c:pt idx="28">
                  <c:v>0.91294138597728192</c:v>
                </c:pt>
                <c:pt idx="29">
                  <c:v>0.9135130414176742</c:v>
                </c:pt>
                <c:pt idx="30">
                  <c:v>0.91407037047715456</c:v>
                </c:pt>
                <c:pt idx="31">
                  <c:v>0.91461385618280433</c:v>
                </c:pt>
                <c:pt idx="32">
                  <c:v>0.91514396111719121</c:v>
                </c:pt>
                <c:pt idx="33">
                  <c:v>0.91566112845187253</c:v>
                </c:pt>
                <c:pt idx="34">
                  <c:v>0.91616578292010853</c:v>
                </c:pt>
                <c:pt idx="35">
                  <c:v>0.9166583317328465</c:v>
                </c:pt>
                <c:pt idx="36">
                  <c:v>0.91713916544173046</c:v>
                </c:pt>
                <c:pt idx="37">
                  <c:v>0.91760865875261621</c:v>
                </c:pt>
                <c:pt idx="38">
                  <c:v>0.91806717129281579</c:v>
                </c:pt>
                <c:pt idx="39">
                  <c:v>0.91851504833505915</c:v>
                </c:pt>
                <c:pt idx="40">
                  <c:v>0.91895262148094936</c:v>
                </c:pt>
                <c:pt idx="41">
                  <c:v>0.91938020930648312</c:v>
                </c:pt>
                <c:pt idx="42">
                  <c:v>0.91979811797203237</c:v>
                </c:pt>
                <c:pt idx="43">
                  <c:v>0.9202066417990088</c:v>
                </c:pt>
                <c:pt idx="44">
                  <c:v>0.92060606381527865</c:v>
                </c:pt>
                <c:pt idx="45">
                  <c:v>0.92099665627125649</c:v>
                </c:pt>
                <c:pt idx="46">
                  <c:v>0.92137868112846566</c:v>
                </c:pt>
                <c:pt idx="47">
                  <c:v>0.92175239052223845</c:v>
                </c:pt>
                <c:pt idx="48">
                  <c:v>0.92211802720011204</c:v>
                </c:pt>
                <c:pt idx="49">
                  <c:v>0.92247582493737135</c:v>
                </c:pt>
                <c:pt idx="50">
                  <c:v>0.92282600893109445</c:v>
                </c:pt>
                <c:pt idx="51">
                  <c:v>0.92316879617396608</c:v>
                </c:pt>
                <c:pt idx="52">
                  <c:v>0.92350439580903976</c:v>
                </c:pt>
                <c:pt idx="53">
                  <c:v>0.923833009466555</c:v>
                </c:pt>
                <c:pt idx="54">
                  <c:v>0.92415483158384149</c:v>
                </c:pt>
                <c:pt idx="55">
                  <c:v>0.92447004970927626</c:v>
                </c:pt>
                <c:pt idx="56">
                  <c:v>0.92477884479120076</c:v>
                </c:pt>
                <c:pt idx="57">
                  <c:v>0.92508139145264212</c:v>
                </c:pt>
                <c:pt idx="58">
                  <c:v>0.92537785825263552</c:v>
                </c:pt>
                <c:pt idx="59">
                  <c:v>0.92566840793488958</c:v>
                </c:pt>
                <c:pt idx="60">
                  <c:v>0.92595319766449369</c:v>
                </c:pt>
                <c:pt idx="61">
                  <c:v>0.92623237925332258</c:v>
                </c:pt>
                <c:pt idx="62">
                  <c:v>0.92650609937475148</c:v>
                </c:pt>
                <c:pt idx="63">
                  <c:v>0.92677449976826121</c:v>
                </c:pt>
                <c:pt idx="64">
                  <c:v>0.92703771743447316</c:v>
                </c:pt>
                <c:pt idx="65">
                  <c:v>0.92729588482112613</c:v>
                </c:pt>
                <c:pt idx="66">
                  <c:v>0.92754913000047345</c:v>
                </c:pt>
                <c:pt idx="67">
                  <c:v>0.9277975768385518</c:v>
                </c:pt>
                <c:pt idx="68">
                  <c:v>0.92804134515674419</c:v>
                </c:pt>
                <c:pt idx="69">
                  <c:v>0.92828055088604144</c:v>
                </c:pt>
                <c:pt idx="70">
                  <c:v>0.92851530621437284</c:v>
                </c:pt>
                <c:pt idx="71">
                  <c:v>0.92874571972736464</c:v>
                </c:pt>
                <c:pt idx="72">
                  <c:v>0.92897189654285961</c:v>
                </c:pt>
                <c:pt idx="73">
                  <c:v>0.92919393843951226</c:v>
                </c:pt>
                <c:pt idx="74">
                  <c:v>0.92941194397975813</c:v>
                </c:pt>
                <c:pt idx="75">
                  <c:v>0.92962600862743716</c:v>
                </c:pt>
                <c:pt idx="76">
                  <c:v>0.92983622486033701</c:v>
                </c:pt>
                <c:pt idx="77">
                  <c:v>0.93004268227790543</c:v>
                </c:pt>
                <c:pt idx="78">
                  <c:v>0.93024546770436911</c:v>
                </c:pt>
                <c:pt idx="79">
                  <c:v>0.93044466528748182</c:v>
                </c:pt>
                <c:pt idx="80">
                  <c:v>0.93064035659311484</c:v>
                </c:pt>
                <c:pt idx="81">
                  <c:v>0.93083262069588624</c:v>
                </c:pt>
                <c:pt idx="82">
                  <c:v>0.93102153426602108</c:v>
                </c:pt>
                <c:pt idx="83">
                  <c:v>0.93120717165262146</c:v>
                </c:pt>
                <c:pt idx="84">
                  <c:v>0.93138960496351286</c:v>
                </c:pt>
                <c:pt idx="85">
                  <c:v>0.93156890414183136</c:v>
                </c:pt>
                <c:pt idx="86">
                  <c:v>0.93174513703949979</c:v>
                </c:pt>
                <c:pt idx="87">
                  <c:v>0.93191836948774043</c:v>
                </c:pt>
                <c:pt idx="88">
                  <c:v>0.93208866536475898</c:v>
                </c:pt>
                <c:pt idx="89">
                  <c:v>0.93225608666072812</c:v>
                </c:pt>
                <c:pt idx="90">
                  <c:v>0.93242069354019741</c:v>
                </c:pt>
                <c:pt idx="91">
                  <c:v>0.93258254440204202</c:v>
                </c:pt>
                <c:pt idx="92">
                  <c:v>0.93274169593706369</c:v>
                </c:pt>
                <c:pt idx="93">
                  <c:v>0.93289820318334749</c:v>
                </c:pt>
                <c:pt idx="94">
                  <c:v>0.93305211957947587</c:v>
                </c:pt>
                <c:pt idx="95">
                  <c:v>0.93320349701569227</c:v>
                </c:pt>
                <c:pt idx="96">
                  <c:v>0.93335238588310709</c:v>
                </c:pt>
                <c:pt idx="97">
                  <c:v>0.93349883512103071</c:v>
                </c:pt>
                <c:pt idx="98">
                  <c:v>0.93364289226251407</c:v>
                </c:pt>
                <c:pt idx="99">
                  <c:v>0.93378460347817616</c:v>
                </c:pt>
                <c:pt idx="100">
                  <c:v>0.93392401361838984</c:v>
                </c:pt>
                <c:pt idx="101">
                  <c:v>0.93392401361838984</c:v>
                </c:pt>
                <c:pt idx="102">
                  <c:v>0.93392401361838984</c:v>
                </c:pt>
                <c:pt idx="103">
                  <c:v>0.93392401361838984</c:v>
                </c:pt>
                <c:pt idx="104">
                  <c:v>0.93392401361838984</c:v>
                </c:pt>
                <c:pt idx="105">
                  <c:v>0.93392401361838984</c:v>
                </c:pt>
                <c:pt idx="106">
                  <c:v>0.93392401361838984</c:v>
                </c:pt>
                <c:pt idx="107">
                  <c:v>0.93392401361838984</c:v>
                </c:pt>
                <c:pt idx="108">
                  <c:v>0.93392401361838984</c:v>
                </c:pt>
                <c:pt idx="109">
                  <c:v>0.93392401361838984</c:v>
                </c:pt>
                <c:pt idx="110">
                  <c:v>0.93392401361838984</c:v>
                </c:pt>
                <c:pt idx="111">
                  <c:v>0.93392401361838984</c:v>
                </c:pt>
                <c:pt idx="112">
                  <c:v>0.93392401361838984</c:v>
                </c:pt>
                <c:pt idx="113">
                  <c:v>0.93392401361838984</c:v>
                </c:pt>
                <c:pt idx="114">
                  <c:v>0.93392401361838984</c:v>
                </c:pt>
                <c:pt idx="115">
                  <c:v>0.93392401361838984</c:v>
                </c:pt>
                <c:pt idx="116">
                  <c:v>0.93392401361838984</c:v>
                </c:pt>
                <c:pt idx="117">
                  <c:v>0.93392401361838984</c:v>
                </c:pt>
                <c:pt idx="118">
                  <c:v>0.93392401361838984</c:v>
                </c:pt>
                <c:pt idx="119">
                  <c:v>0.93392401361838984</c:v>
                </c:pt>
                <c:pt idx="120">
                  <c:v>0.93392401361838984</c:v>
                </c:pt>
                <c:pt idx="121">
                  <c:v>0.93392401361838984</c:v>
                </c:pt>
                <c:pt idx="122">
                  <c:v>0.93392401361838984</c:v>
                </c:pt>
                <c:pt idx="123">
                  <c:v>0.93392401361838984</c:v>
                </c:pt>
                <c:pt idx="124">
                  <c:v>0.93392401361838984</c:v>
                </c:pt>
                <c:pt idx="125">
                  <c:v>0.93392401361838984</c:v>
                </c:pt>
                <c:pt idx="126">
                  <c:v>0.93392401361838984</c:v>
                </c:pt>
                <c:pt idx="127">
                  <c:v>0.93392401361838984</c:v>
                </c:pt>
                <c:pt idx="128">
                  <c:v>0.93392401361838984</c:v>
                </c:pt>
                <c:pt idx="129">
                  <c:v>0.93392401361838984</c:v>
                </c:pt>
                <c:pt idx="130">
                  <c:v>0.93392401361838984</c:v>
                </c:pt>
                <c:pt idx="131">
                  <c:v>0.93392401361838984</c:v>
                </c:pt>
                <c:pt idx="132">
                  <c:v>0.93392401361838984</c:v>
                </c:pt>
                <c:pt idx="133">
                  <c:v>0.93392401361838984</c:v>
                </c:pt>
                <c:pt idx="134">
                  <c:v>0.93392401361838984</c:v>
                </c:pt>
                <c:pt idx="135">
                  <c:v>0.93392401361838984</c:v>
                </c:pt>
                <c:pt idx="136">
                  <c:v>0.93392401361838984</c:v>
                </c:pt>
                <c:pt idx="137">
                  <c:v>0.93392401361838984</c:v>
                </c:pt>
                <c:pt idx="138">
                  <c:v>0.93392401361838984</c:v>
                </c:pt>
                <c:pt idx="139">
                  <c:v>0.93392401361838984</c:v>
                </c:pt>
                <c:pt idx="140">
                  <c:v>0.93392401361838984</c:v>
                </c:pt>
                <c:pt idx="141">
                  <c:v>0.93392401361838984</c:v>
                </c:pt>
                <c:pt idx="142">
                  <c:v>0.93392401361838984</c:v>
                </c:pt>
                <c:pt idx="143">
                  <c:v>0.93392401361838984</c:v>
                </c:pt>
                <c:pt idx="144">
                  <c:v>0.93392401361838984</c:v>
                </c:pt>
                <c:pt idx="145">
                  <c:v>0.93392401361838984</c:v>
                </c:pt>
                <c:pt idx="146">
                  <c:v>0.93392401361838984</c:v>
                </c:pt>
                <c:pt idx="147">
                  <c:v>0.93392401361838984</c:v>
                </c:pt>
                <c:pt idx="148">
                  <c:v>0.93392401361838984</c:v>
                </c:pt>
                <c:pt idx="149">
                  <c:v>0.93392401361838984</c:v>
                </c:pt>
                <c:pt idx="150">
                  <c:v>0.93392401361838984</c:v>
                </c:pt>
                <c:pt idx="151">
                  <c:v>0.93392401361838984</c:v>
                </c:pt>
                <c:pt idx="152">
                  <c:v>0.93392401361838984</c:v>
                </c:pt>
                <c:pt idx="153">
                  <c:v>0.93392401361838984</c:v>
                </c:pt>
                <c:pt idx="154">
                  <c:v>0.93392401361838984</c:v>
                </c:pt>
                <c:pt idx="155">
                  <c:v>0.93392401361838984</c:v>
                </c:pt>
                <c:pt idx="156">
                  <c:v>0.93392401361838984</c:v>
                </c:pt>
                <c:pt idx="157">
                  <c:v>0.93392401361838984</c:v>
                </c:pt>
                <c:pt idx="158">
                  <c:v>0.93392401361838984</c:v>
                </c:pt>
                <c:pt idx="159">
                  <c:v>0.93392401361838984</c:v>
                </c:pt>
                <c:pt idx="160">
                  <c:v>0.93392401361838984</c:v>
                </c:pt>
                <c:pt idx="161">
                  <c:v>0.93392401361838984</c:v>
                </c:pt>
                <c:pt idx="162">
                  <c:v>0.93392401361838984</c:v>
                </c:pt>
                <c:pt idx="163">
                  <c:v>0.93392401361838984</c:v>
                </c:pt>
                <c:pt idx="164">
                  <c:v>0.93392401361838984</c:v>
                </c:pt>
                <c:pt idx="165">
                  <c:v>0.93392401361838984</c:v>
                </c:pt>
                <c:pt idx="166">
                  <c:v>0.93392401361838984</c:v>
                </c:pt>
                <c:pt idx="167">
                  <c:v>0.93392401361838984</c:v>
                </c:pt>
                <c:pt idx="168">
                  <c:v>0.93392401361838984</c:v>
                </c:pt>
                <c:pt idx="169">
                  <c:v>0.93392401361838984</c:v>
                </c:pt>
                <c:pt idx="170">
                  <c:v>0.93392401361838984</c:v>
                </c:pt>
                <c:pt idx="171">
                  <c:v>0.93392401361838984</c:v>
                </c:pt>
                <c:pt idx="172">
                  <c:v>0.93392401361838984</c:v>
                </c:pt>
                <c:pt idx="173">
                  <c:v>0.93392401361838984</c:v>
                </c:pt>
                <c:pt idx="174">
                  <c:v>0.93392401361838984</c:v>
                </c:pt>
                <c:pt idx="175">
                  <c:v>0.93392401361838984</c:v>
                </c:pt>
                <c:pt idx="176">
                  <c:v>0.93392401361838984</c:v>
                </c:pt>
                <c:pt idx="177">
                  <c:v>0.93392401361838984</c:v>
                </c:pt>
                <c:pt idx="178">
                  <c:v>0.93392401361838984</c:v>
                </c:pt>
                <c:pt idx="179">
                  <c:v>0.93392401361838984</c:v>
                </c:pt>
                <c:pt idx="180">
                  <c:v>0.93392401361838984</c:v>
                </c:pt>
                <c:pt idx="181">
                  <c:v>0.93392401361838984</c:v>
                </c:pt>
                <c:pt idx="182">
                  <c:v>0.93392401361838984</c:v>
                </c:pt>
                <c:pt idx="183">
                  <c:v>0.93392401361838984</c:v>
                </c:pt>
                <c:pt idx="184">
                  <c:v>0.93392401361838984</c:v>
                </c:pt>
                <c:pt idx="185">
                  <c:v>0.93392401361838984</c:v>
                </c:pt>
                <c:pt idx="186">
                  <c:v>0.93392401361838984</c:v>
                </c:pt>
                <c:pt idx="187">
                  <c:v>0.93392401361838984</c:v>
                </c:pt>
                <c:pt idx="188">
                  <c:v>0.93392401361838984</c:v>
                </c:pt>
                <c:pt idx="189">
                  <c:v>0.93392401361838984</c:v>
                </c:pt>
                <c:pt idx="190">
                  <c:v>0.93392401361838984</c:v>
                </c:pt>
                <c:pt idx="191">
                  <c:v>0.93392401361838984</c:v>
                </c:pt>
                <c:pt idx="192">
                  <c:v>0.93392401361838984</c:v>
                </c:pt>
                <c:pt idx="193">
                  <c:v>0.93392401361838984</c:v>
                </c:pt>
                <c:pt idx="194">
                  <c:v>0.93392401361838984</c:v>
                </c:pt>
                <c:pt idx="195">
                  <c:v>0.93392401361838984</c:v>
                </c:pt>
                <c:pt idx="196">
                  <c:v>0.93392401361838984</c:v>
                </c:pt>
                <c:pt idx="197">
                  <c:v>0.93392401361838984</c:v>
                </c:pt>
                <c:pt idx="198">
                  <c:v>0.93392401361838984</c:v>
                </c:pt>
                <c:pt idx="199">
                  <c:v>0.93392401361838984</c:v>
                </c:pt>
                <c:pt idx="200">
                  <c:v>0.93392401361838984</c:v>
                </c:pt>
                <c:pt idx="201">
                  <c:v>0.93392401361838984</c:v>
                </c:pt>
                <c:pt idx="202">
                  <c:v>0.93392401361838984</c:v>
                </c:pt>
                <c:pt idx="203">
                  <c:v>0.93392401361838984</c:v>
                </c:pt>
                <c:pt idx="204">
                  <c:v>0.93392401361838984</c:v>
                </c:pt>
                <c:pt idx="205">
                  <c:v>0.93392401361838984</c:v>
                </c:pt>
                <c:pt idx="206">
                  <c:v>0.93392401361838984</c:v>
                </c:pt>
                <c:pt idx="207">
                  <c:v>0.93392401361838984</c:v>
                </c:pt>
                <c:pt idx="208">
                  <c:v>0.93392401361838984</c:v>
                </c:pt>
                <c:pt idx="209">
                  <c:v>0.93392401361838984</c:v>
                </c:pt>
                <c:pt idx="210">
                  <c:v>0.93392401361838984</c:v>
                </c:pt>
                <c:pt idx="211">
                  <c:v>0.93392401361838984</c:v>
                </c:pt>
                <c:pt idx="212">
                  <c:v>0.93392401361838984</c:v>
                </c:pt>
                <c:pt idx="213">
                  <c:v>0.93392401361838984</c:v>
                </c:pt>
                <c:pt idx="214">
                  <c:v>0.93392401361838984</c:v>
                </c:pt>
                <c:pt idx="215">
                  <c:v>0.93392401361838984</c:v>
                </c:pt>
                <c:pt idx="216">
                  <c:v>0.93392401361838984</c:v>
                </c:pt>
                <c:pt idx="217">
                  <c:v>0.93392401361838984</c:v>
                </c:pt>
                <c:pt idx="218">
                  <c:v>0.93392401361838984</c:v>
                </c:pt>
                <c:pt idx="219">
                  <c:v>0.93392401361838984</c:v>
                </c:pt>
                <c:pt idx="220">
                  <c:v>0.93392401361838984</c:v>
                </c:pt>
                <c:pt idx="221">
                  <c:v>0.93392401361838984</c:v>
                </c:pt>
                <c:pt idx="222">
                  <c:v>0.93392401361838984</c:v>
                </c:pt>
                <c:pt idx="223">
                  <c:v>0.93392401361838984</c:v>
                </c:pt>
                <c:pt idx="224">
                  <c:v>0.93392401361838984</c:v>
                </c:pt>
                <c:pt idx="225">
                  <c:v>0.93392401361838984</c:v>
                </c:pt>
                <c:pt idx="226">
                  <c:v>0.93392401361838984</c:v>
                </c:pt>
                <c:pt idx="227">
                  <c:v>0.93392401361838984</c:v>
                </c:pt>
                <c:pt idx="228">
                  <c:v>0.93392401361838984</c:v>
                </c:pt>
                <c:pt idx="229">
                  <c:v>0.93392401361838984</c:v>
                </c:pt>
                <c:pt idx="230">
                  <c:v>0.93392401361838984</c:v>
                </c:pt>
                <c:pt idx="231">
                  <c:v>0.93392401361838984</c:v>
                </c:pt>
                <c:pt idx="232">
                  <c:v>0.93392401361838984</c:v>
                </c:pt>
                <c:pt idx="233">
                  <c:v>0.93392401361838984</c:v>
                </c:pt>
                <c:pt idx="234">
                  <c:v>0.93392401361838984</c:v>
                </c:pt>
                <c:pt idx="235">
                  <c:v>0.93392401361838984</c:v>
                </c:pt>
                <c:pt idx="236">
                  <c:v>0.93392401361838984</c:v>
                </c:pt>
                <c:pt idx="237">
                  <c:v>0.93392401361838984</c:v>
                </c:pt>
                <c:pt idx="238">
                  <c:v>0.93392401361838984</c:v>
                </c:pt>
                <c:pt idx="239">
                  <c:v>0.93392401361838984</c:v>
                </c:pt>
                <c:pt idx="240">
                  <c:v>0.93392401361838984</c:v>
                </c:pt>
                <c:pt idx="241">
                  <c:v>0.93392401361838984</c:v>
                </c:pt>
                <c:pt idx="242">
                  <c:v>0.93392401361838984</c:v>
                </c:pt>
                <c:pt idx="243">
                  <c:v>0.93392401361838984</c:v>
                </c:pt>
                <c:pt idx="244">
                  <c:v>0.93392401361838984</c:v>
                </c:pt>
                <c:pt idx="245">
                  <c:v>0.93392401361838984</c:v>
                </c:pt>
                <c:pt idx="246">
                  <c:v>0.93392401361838984</c:v>
                </c:pt>
                <c:pt idx="247">
                  <c:v>0.93392401361838984</c:v>
                </c:pt>
                <c:pt idx="248">
                  <c:v>0.93392401361838984</c:v>
                </c:pt>
                <c:pt idx="249">
                  <c:v>0.93392401361838984</c:v>
                </c:pt>
                <c:pt idx="250">
                  <c:v>0.93392401361838984</c:v>
                </c:pt>
                <c:pt idx="251">
                  <c:v>0.93392401361838984</c:v>
                </c:pt>
                <c:pt idx="252">
                  <c:v>0.93392401361838984</c:v>
                </c:pt>
                <c:pt idx="253">
                  <c:v>0.93392401361838984</c:v>
                </c:pt>
                <c:pt idx="254">
                  <c:v>0.93392401361838984</c:v>
                </c:pt>
                <c:pt idx="255">
                  <c:v>0.93392401361838984</c:v>
                </c:pt>
                <c:pt idx="256">
                  <c:v>0.93392401361838984</c:v>
                </c:pt>
                <c:pt idx="257">
                  <c:v>0.93392401361838984</c:v>
                </c:pt>
                <c:pt idx="258">
                  <c:v>0.93392401361838984</c:v>
                </c:pt>
                <c:pt idx="259">
                  <c:v>0.93392401361838984</c:v>
                </c:pt>
                <c:pt idx="260">
                  <c:v>0.93392401361838984</c:v>
                </c:pt>
                <c:pt idx="261">
                  <c:v>0.93392401361838984</c:v>
                </c:pt>
                <c:pt idx="262">
                  <c:v>0.93392401361838984</c:v>
                </c:pt>
                <c:pt idx="263">
                  <c:v>0.93392401361838984</c:v>
                </c:pt>
                <c:pt idx="264">
                  <c:v>0.93392401361838984</c:v>
                </c:pt>
                <c:pt idx="265">
                  <c:v>0.93392401361838984</c:v>
                </c:pt>
                <c:pt idx="266">
                  <c:v>0.93392401361838984</c:v>
                </c:pt>
                <c:pt idx="267">
                  <c:v>0.93392401361838984</c:v>
                </c:pt>
                <c:pt idx="268">
                  <c:v>0.93392401361838984</c:v>
                </c:pt>
                <c:pt idx="269">
                  <c:v>0.93392401361838984</c:v>
                </c:pt>
                <c:pt idx="270">
                  <c:v>0.93392401361838984</c:v>
                </c:pt>
                <c:pt idx="271">
                  <c:v>0.93392401361838984</c:v>
                </c:pt>
                <c:pt idx="272">
                  <c:v>0.93392401361838984</c:v>
                </c:pt>
                <c:pt idx="273">
                  <c:v>0.93392401361838984</c:v>
                </c:pt>
                <c:pt idx="274">
                  <c:v>0.93392401361838984</c:v>
                </c:pt>
                <c:pt idx="275">
                  <c:v>0.93392401361838984</c:v>
                </c:pt>
                <c:pt idx="276">
                  <c:v>0.93392401361838984</c:v>
                </c:pt>
                <c:pt idx="277">
                  <c:v>0.93392401361838984</c:v>
                </c:pt>
                <c:pt idx="278">
                  <c:v>0.93392401361838984</c:v>
                </c:pt>
                <c:pt idx="279">
                  <c:v>0.93392401361838984</c:v>
                </c:pt>
                <c:pt idx="280">
                  <c:v>0.93392401361838984</c:v>
                </c:pt>
                <c:pt idx="281">
                  <c:v>0.93392401361838984</c:v>
                </c:pt>
                <c:pt idx="282">
                  <c:v>0.93392401361838984</c:v>
                </c:pt>
                <c:pt idx="283">
                  <c:v>0.93392401361838984</c:v>
                </c:pt>
                <c:pt idx="284">
                  <c:v>0.93392401361838984</c:v>
                </c:pt>
                <c:pt idx="285">
                  <c:v>0.93392401361838984</c:v>
                </c:pt>
                <c:pt idx="286">
                  <c:v>0.93392401361838984</c:v>
                </c:pt>
                <c:pt idx="287">
                  <c:v>0.93392401361838984</c:v>
                </c:pt>
                <c:pt idx="288">
                  <c:v>0.93392401361838984</c:v>
                </c:pt>
                <c:pt idx="289">
                  <c:v>0.93392401361838984</c:v>
                </c:pt>
                <c:pt idx="290">
                  <c:v>0.93392401361838984</c:v>
                </c:pt>
                <c:pt idx="291">
                  <c:v>0.93392401361838984</c:v>
                </c:pt>
                <c:pt idx="292">
                  <c:v>0.93392401361838984</c:v>
                </c:pt>
                <c:pt idx="293">
                  <c:v>0.93392401361838984</c:v>
                </c:pt>
                <c:pt idx="294">
                  <c:v>0.93392401361838984</c:v>
                </c:pt>
                <c:pt idx="295">
                  <c:v>0.93392401361838984</c:v>
                </c:pt>
                <c:pt idx="296">
                  <c:v>0.93392401361838984</c:v>
                </c:pt>
                <c:pt idx="297">
                  <c:v>0.93392401361838984</c:v>
                </c:pt>
                <c:pt idx="298">
                  <c:v>0.93392401361838984</c:v>
                </c:pt>
                <c:pt idx="299">
                  <c:v>0.93392401361838984</c:v>
                </c:pt>
                <c:pt idx="300">
                  <c:v>0.93392401361838984</c:v>
                </c:pt>
                <c:pt idx="301">
                  <c:v>0.93392401361838984</c:v>
                </c:pt>
                <c:pt idx="302">
                  <c:v>0.93392401361838984</c:v>
                </c:pt>
                <c:pt idx="303">
                  <c:v>0.93392401361838984</c:v>
                </c:pt>
                <c:pt idx="304">
                  <c:v>0.93392401361838984</c:v>
                </c:pt>
                <c:pt idx="305">
                  <c:v>0.93392401361838984</c:v>
                </c:pt>
                <c:pt idx="306">
                  <c:v>0.93392401361838984</c:v>
                </c:pt>
                <c:pt idx="307">
                  <c:v>0.93392401361838984</c:v>
                </c:pt>
                <c:pt idx="308">
                  <c:v>0.93392401361838984</c:v>
                </c:pt>
                <c:pt idx="309">
                  <c:v>0.93392401361838984</c:v>
                </c:pt>
                <c:pt idx="310">
                  <c:v>0.93392401361838984</c:v>
                </c:pt>
                <c:pt idx="311">
                  <c:v>0.93392401361838984</c:v>
                </c:pt>
                <c:pt idx="312">
                  <c:v>0.93392401361838984</c:v>
                </c:pt>
                <c:pt idx="313">
                  <c:v>0.93392401361838984</c:v>
                </c:pt>
                <c:pt idx="314">
                  <c:v>0.93392401361838984</c:v>
                </c:pt>
                <c:pt idx="315">
                  <c:v>0.93392401361838984</c:v>
                </c:pt>
                <c:pt idx="316">
                  <c:v>0.93392401361838984</c:v>
                </c:pt>
                <c:pt idx="317">
                  <c:v>0.93392401361838984</c:v>
                </c:pt>
                <c:pt idx="318">
                  <c:v>0.93392401361838984</c:v>
                </c:pt>
                <c:pt idx="319">
                  <c:v>0.93392401361838984</c:v>
                </c:pt>
                <c:pt idx="320">
                  <c:v>0.93392401361838984</c:v>
                </c:pt>
                <c:pt idx="321">
                  <c:v>0.93392401361838984</c:v>
                </c:pt>
                <c:pt idx="322">
                  <c:v>0.93392401361838984</c:v>
                </c:pt>
                <c:pt idx="323">
                  <c:v>0.93392401361838984</c:v>
                </c:pt>
                <c:pt idx="324">
                  <c:v>0.93392401361838984</c:v>
                </c:pt>
                <c:pt idx="325">
                  <c:v>0.93392401361838984</c:v>
                </c:pt>
                <c:pt idx="326">
                  <c:v>0.93392401361838984</c:v>
                </c:pt>
                <c:pt idx="327">
                  <c:v>0.93392401361838984</c:v>
                </c:pt>
                <c:pt idx="328">
                  <c:v>0.93392401361838984</c:v>
                </c:pt>
                <c:pt idx="329">
                  <c:v>0.93392401361838984</c:v>
                </c:pt>
                <c:pt idx="330">
                  <c:v>0.93392401361838984</c:v>
                </c:pt>
                <c:pt idx="331">
                  <c:v>0.93392401361838984</c:v>
                </c:pt>
                <c:pt idx="332">
                  <c:v>0.93392401361838984</c:v>
                </c:pt>
                <c:pt idx="333">
                  <c:v>0.93392401361838984</c:v>
                </c:pt>
                <c:pt idx="334">
                  <c:v>0.93392401361838984</c:v>
                </c:pt>
                <c:pt idx="335">
                  <c:v>0.93392401361838984</c:v>
                </c:pt>
                <c:pt idx="336">
                  <c:v>0.93392401361838984</c:v>
                </c:pt>
                <c:pt idx="337">
                  <c:v>0.93392401361838984</c:v>
                </c:pt>
                <c:pt idx="338">
                  <c:v>0.93392401361838984</c:v>
                </c:pt>
                <c:pt idx="339">
                  <c:v>0.93392401361838984</c:v>
                </c:pt>
                <c:pt idx="340">
                  <c:v>0.93392401361838984</c:v>
                </c:pt>
                <c:pt idx="341">
                  <c:v>0.93392401361838984</c:v>
                </c:pt>
                <c:pt idx="342">
                  <c:v>0.93392401361838984</c:v>
                </c:pt>
                <c:pt idx="343">
                  <c:v>0.93392401361838984</c:v>
                </c:pt>
                <c:pt idx="344">
                  <c:v>0.93392401361838984</c:v>
                </c:pt>
                <c:pt idx="345">
                  <c:v>0.93392401361838984</c:v>
                </c:pt>
                <c:pt idx="346">
                  <c:v>0.93392401361838984</c:v>
                </c:pt>
                <c:pt idx="347">
                  <c:v>0.93392401361838984</c:v>
                </c:pt>
                <c:pt idx="348">
                  <c:v>0.93392401361838984</c:v>
                </c:pt>
                <c:pt idx="349">
                  <c:v>0.93392401361838984</c:v>
                </c:pt>
                <c:pt idx="350">
                  <c:v>0.93392401361838984</c:v>
                </c:pt>
                <c:pt idx="351">
                  <c:v>0.93392401361838984</c:v>
                </c:pt>
                <c:pt idx="352">
                  <c:v>0.93392401361838984</c:v>
                </c:pt>
                <c:pt idx="353">
                  <c:v>0.93392401361838984</c:v>
                </c:pt>
                <c:pt idx="354">
                  <c:v>0.93392401361838984</c:v>
                </c:pt>
                <c:pt idx="355">
                  <c:v>0.93392401361838984</c:v>
                </c:pt>
                <c:pt idx="356">
                  <c:v>0.93392401361838984</c:v>
                </c:pt>
                <c:pt idx="357">
                  <c:v>0.93392401361838984</c:v>
                </c:pt>
                <c:pt idx="358">
                  <c:v>0.93392401361838984</c:v>
                </c:pt>
                <c:pt idx="359">
                  <c:v>0.93392401361838984</c:v>
                </c:pt>
                <c:pt idx="360">
                  <c:v>0.93392401361838984</c:v>
                </c:pt>
                <c:pt idx="361">
                  <c:v>0.93392401361838984</c:v>
                </c:pt>
                <c:pt idx="362">
                  <c:v>0.93392401361838984</c:v>
                </c:pt>
                <c:pt idx="363">
                  <c:v>0.93392401361838984</c:v>
                </c:pt>
                <c:pt idx="364">
                  <c:v>0.93392401361838984</c:v>
                </c:pt>
                <c:pt idx="365">
                  <c:v>0.93392401361838984</c:v>
                </c:pt>
                <c:pt idx="366">
                  <c:v>0.93392401361838984</c:v>
                </c:pt>
                <c:pt idx="367">
                  <c:v>0.93392401361838984</c:v>
                </c:pt>
                <c:pt idx="368">
                  <c:v>0.93392401361838984</c:v>
                </c:pt>
                <c:pt idx="369">
                  <c:v>0.93392401361838984</c:v>
                </c:pt>
                <c:pt idx="370">
                  <c:v>0.93392401361838984</c:v>
                </c:pt>
                <c:pt idx="371">
                  <c:v>0.93392401361838984</c:v>
                </c:pt>
                <c:pt idx="372">
                  <c:v>0.93392401361838984</c:v>
                </c:pt>
                <c:pt idx="373">
                  <c:v>0.93392401361838984</c:v>
                </c:pt>
                <c:pt idx="374">
                  <c:v>0.93392401361838984</c:v>
                </c:pt>
                <c:pt idx="375">
                  <c:v>0.93392401361838984</c:v>
                </c:pt>
                <c:pt idx="376">
                  <c:v>0.93392401361838984</c:v>
                </c:pt>
                <c:pt idx="377">
                  <c:v>0.93392401361838984</c:v>
                </c:pt>
                <c:pt idx="378">
                  <c:v>0.93392401361838984</c:v>
                </c:pt>
                <c:pt idx="379">
                  <c:v>0.93392401361838984</c:v>
                </c:pt>
                <c:pt idx="380">
                  <c:v>0.93392401361838984</c:v>
                </c:pt>
                <c:pt idx="381">
                  <c:v>0.93392401361838984</c:v>
                </c:pt>
                <c:pt idx="382">
                  <c:v>0.93392401361838984</c:v>
                </c:pt>
                <c:pt idx="383">
                  <c:v>0.93392401361838984</c:v>
                </c:pt>
                <c:pt idx="384">
                  <c:v>0.93392401361838984</c:v>
                </c:pt>
                <c:pt idx="385">
                  <c:v>0.93392401361838984</c:v>
                </c:pt>
                <c:pt idx="386">
                  <c:v>0.93392401361838984</c:v>
                </c:pt>
                <c:pt idx="387">
                  <c:v>0.93392401361838984</c:v>
                </c:pt>
                <c:pt idx="388">
                  <c:v>0.93392401361838984</c:v>
                </c:pt>
                <c:pt idx="389">
                  <c:v>0.93392401361838984</c:v>
                </c:pt>
                <c:pt idx="390">
                  <c:v>0.93392401361838984</c:v>
                </c:pt>
                <c:pt idx="391">
                  <c:v>0.93392401361838984</c:v>
                </c:pt>
                <c:pt idx="392">
                  <c:v>0.93392401361838984</c:v>
                </c:pt>
                <c:pt idx="393">
                  <c:v>0.93392401361838984</c:v>
                </c:pt>
                <c:pt idx="394">
                  <c:v>0.93392401361838984</c:v>
                </c:pt>
                <c:pt idx="395">
                  <c:v>0.93392401361838984</c:v>
                </c:pt>
                <c:pt idx="396">
                  <c:v>0.93392401361838984</c:v>
                </c:pt>
                <c:pt idx="397">
                  <c:v>0.93392401361838984</c:v>
                </c:pt>
                <c:pt idx="398">
                  <c:v>0.93392401361838984</c:v>
                </c:pt>
                <c:pt idx="399">
                  <c:v>0.93392401361838984</c:v>
                </c:pt>
                <c:pt idx="400">
                  <c:v>0.93392401361838984</c:v>
                </c:pt>
                <c:pt idx="401">
                  <c:v>0.93392401361838984</c:v>
                </c:pt>
                <c:pt idx="402">
                  <c:v>0.93392401361838984</c:v>
                </c:pt>
                <c:pt idx="403">
                  <c:v>0.93392401361838984</c:v>
                </c:pt>
                <c:pt idx="404">
                  <c:v>0.93392401361838984</c:v>
                </c:pt>
                <c:pt idx="405">
                  <c:v>0.93392401361838984</c:v>
                </c:pt>
                <c:pt idx="406">
                  <c:v>0.93392401361838984</c:v>
                </c:pt>
                <c:pt idx="407">
                  <c:v>0.93392401361838984</c:v>
                </c:pt>
                <c:pt idx="408">
                  <c:v>0.93392401361838984</c:v>
                </c:pt>
                <c:pt idx="409">
                  <c:v>0.93392401361838984</c:v>
                </c:pt>
                <c:pt idx="410">
                  <c:v>0.93392401361838984</c:v>
                </c:pt>
                <c:pt idx="411">
                  <c:v>0.93392401361838984</c:v>
                </c:pt>
                <c:pt idx="412">
                  <c:v>0.93392401361838984</c:v>
                </c:pt>
                <c:pt idx="413">
                  <c:v>0.93392401361838984</c:v>
                </c:pt>
                <c:pt idx="414">
                  <c:v>0.93392401361838984</c:v>
                </c:pt>
                <c:pt idx="415">
                  <c:v>0.93392401361838984</c:v>
                </c:pt>
                <c:pt idx="416">
                  <c:v>0.93392401361838984</c:v>
                </c:pt>
                <c:pt idx="417">
                  <c:v>0.93392401361838984</c:v>
                </c:pt>
                <c:pt idx="418">
                  <c:v>0.93392401361838984</c:v>
                </c:pt>
                <c:pt idx="419">
                  <c:v>0.93392401361838984</c:v>
                </c:pt>
                <c:pt idx="420">
                  <c:v>0.93392401361838984</c:v>
                </c:pt>
                <c:pt idx="421">
                  <c:v>0.93392401361838984</c:v>
                </c:pt>
                <c:pt idx="422">
                  <c:v>0.93392401361838984</c:v>
                </c:pt>
                <c:pt idx="423">
                  <c:v>0.93392401361838984</c:v>
                </c:pt>
                <c:pt idx="424">
                  <c:v>0.93392401361838984</c:v>
                </c:pt>
                <c:pt idx="425">
                  <c:v>0.93392401361838984</c:v>
                </c:pt>
                <c:pt idx="426">
                  <c:v>0.93392401361838984</c:v>
                </c:pt>
                <c:pt idx="427">
                  <c:v>0.93392401361838984</c:v>
                </c:pt>
                <c:pt idx="428">
                  <c:v>0.93392401361838984</c:v>
                </c:pt>
                <c:pt idx="429">
                  <c:v>0.93392401361838984</c:v>
                </c:pt>
                <c:pt idx="430">
                  <c:v>0.93392401361838984</c:v>
                </c:pt>
                <c:pt idx="431">
                  <c:v>0.93392401361838984</c:v>
                </c:pt>
                <c:pt idx="432">
                  <c:v>0.93392401361838984</c:v>
                </c:pt>
                <c:pt idx="433">
                  <c:v>0.93392401361838984</c:v>
                </c:pt>
                <c:pt idx="434">
                  <c:v>0.93392401361838984</c:v>
                </c:pt>
                <c:pt idx="435">
                  <c:v>0.93392401361838984</c:v>
                </c:pt>
                <c:pt idx="436">
                  <c:v>0.93392401361838984</c:v>
                </c:pt>
                <c:pt idx="437">
                  <c:v>0.93392401361838984</c:v>
                </c:pt>
                <c:pt idx="438">
                  <c:v>0.93392401361838984</c:v>
                </c:pt>
                <c:pt idx="439">
                  <c:v>0.93392401361838984</c:v>
                </c:pt>
                <c:pt idx="440">
                  <c:v>0.93392401361838984</c:v>
                </c:pt>
                <c:pt idx="441">
                  <c:v>0.93392401361838984</c:v>
                </c:pt>
                <c:pt idx="442">
                  <c:v>0.93392401361838984</c:v>
                </c:pt>
                <c:pt idx="443">
                  <c:v>0.93392401361838984</c:v>
                </c:pt>
                <c:pt idx="444">
                  <c:v>0.93392401361838984</c:v>
                </c:pt>
                <c:pt idx="445">
                  <c:v>0.93392401361838984</c:v>
                </c:pt>
                <c:pt idx="446">
                  <c:v>0.93392401361838984</c:v>
                </c:pt>
                <c:pt idx="447">
                  <c:v>0.93392401361838984</c:v>
                </c:pt>
                <c:pt idx="448">
                  <c:v>0.93392401361838984</c:v>
                </c:pt>
                <c:pt idx="449">
                  <c:v>0.93392401361838984</c:v>
                </c:pt>
                <c:pt idx="450">
                  <c:v>0.93392401361838984</c:v>
                </c:pt>
                <c:pt idx="451">
                  <c:v>0.93392401361838984</c:v>
                </c:pt>
                <c:pt idx="452">
                  <c:v>0.93392401361838984</c:v>
                </c:pt>
                <c:pt idx="453">
                  <c:v>0.93392401361838984</c:v>
                </c:pt>
                <c:pt idx="454">
                  <c:v>0.93392401361838984</c:v>
                </c:pt>
                <c:pt idx="455">
                  <c:v>0.93392401361838984</c:v>
                </c:pt>
                <c:pt idx="456">
                  <c:v>0.93392401361838984</c:v>
                </c:pt>
                <c:pt idx="457">
                  <c:v>0.93392401361838984</c:v>
                </c:pt>
                <c:pt idx="458">
                  <c:v>0.93392401361838984</c:v>
                </c:pt>
                <c:pt idx="459">
                  <c:v>0.93392401361838984</c:v>
                </c:pt>
                <c:pt idx="460">
                  <c:v>0.93392401361838984</c:v>
                </c:pt>
                <c:pt idx="461">
                  <c:v>0.93392401361838984</c:v>
                </c:pt>
                <c:pt idx="462">
                  <c:v>0.93392401361838984</c:v>
                </c:pt>
                <c:pt idx="463">
                  <c:v>0.93392401361838984</c:v>
                </c:pt>
                <c:pt idx="464">
                  <c:v>0.93392401361838984</c:v>
                </c:pt>
                <c:pt idx="465">
                  <c:v>0.93392401361838984</c:v>
                </c:pt>
                <c:pt idx="466">
                  <c:v>0.93392401361838984</c:v>
                </c:pt>
                <c:pt idx="467">
                  <c:v>0.93392401361838984</c:v>
                </c:pt>
                <c:pt idx="468">
                  <c:v>0.93392401361838984</c:v>
                </c:pt>
                <c:pt idx="469">
                  <c:v>0.93392401361838984</c:v>
                </c:pt>
                <c:pt idx="470">
                  <c:v>0.93392401361838984</c:v>
                </c:pt>
                <c:pt idx="471">
                  <c:v>0.93392401361838984</c:v>
                </c:pt>
                <c:pt idx="472">
                  <c:v>0.93392401361838984</c:v>
                </c:pt>
                <c:pt idx="473">
                  <c:v>0.93392401361838984</c:v>
                </c:pt>
                <c:pt idx="474">
                  <c:v>0.93392401361838984</c:v>
                </c:pt>
                <c:pt idx="475">
                  <c:v>0.93392401361838984</c:v>
                </c:pt>
                <c:pt idx="476">
                  <c:v>0.93392401361838984</c:v>
                </c:pt>
                <c:pt idx="477">
                  <c:v>0.93392401361838984</c:v>
                </c:pt>
                <c:pt idx="478">
                  <c:v>0.93392401361838984</c:v>
                </c:pt>
                <c:pt idx="479">
                  <c:v>0.93392401361838984</c:v>
                </c:pt>
                <c:pt idx="480">
                  <c:v>0.93392401361838984</c:v>
                </c:pt>
                <c:pt idx="481">
                  <c:v>0.93392401361838984</c:v>
                </c:pt>
                <c:pt idx="482">
                  <c:v>0.93392401361838984</c:v>
                </c:pt>
                <c:pt idx="483">
                  <c:v>0.93392401361838984</c:v>
                </c:pt>
                <c:pt idx="484">
                  <c:v>0.93392401361838984</c:v>
                </c:pt>
                <c:pt idx="485">
                  <c:v>0.93392401361838984</c:v>
                </c:pt>
                <c:pt idx="486">
                  <c:v>0.93392401361838984</c:v>
                </c:pt>
                <c:pt idx="487">
                  <c:v>0.93392401361838984</c:v>
                </c:pt>
                <c:pt idx="488">
                  <c:v>0.93392401361838984</c:v>
                </c:pt>
                <c:pt idx="489">
                  <c:v>0.93392401361838984</c:v>
                </c:pt>
                <c:pt idx="490">
                  <c:v>0.93392401361838984</c:v>
                </c:pt>
                <c:pt idx="491">
                  <c:v>0.93392401361838984</c:v>
                </c:pt>
                <c:pt idx="492">
                  <c:v>0.93392401361838984</c:v>
                </c:pt>
                <c:pt idx="493">
                  <c:v>0.93392401361838984</c:v>
                </c:pt>
                <c:pt idx="494">
                  <c:v>0.93392401361838984</c:v>
                </c:pt>
                <c:pt idx="495">
                  <c:v>0.93392401361838984</c:v>
                </c:pt>
                <c:pt idx="496">
                  <c:v>0.93392401361838984</c:v>
                </c:pt>
                <c:pt idx="497">
                  <c:v>0.93392401361838984</c:v>
                </c:pt>
                <c:pt idx="498">
                  <c:v>0.93392401361838984</c:v>
                </c:pt>
                <c:pt idx="499">
                  <c:v>0.93392401361838984</c:v>
                </c:pt>
                <c:pt idx="500">
                  <c:v>0.93392401361838984</c:v>
                </c:pt>
                <c:pt idx="501">
                  <c:v>0.93392401361838984</c:v>
                </c:pt>
                <c:pt idx="502">
                  <c:v>0.93392401361838984</c:v>
                </c:pt>
                <c:pt idx="503">
                  <c:v>0.93392401361838984</c:v>
                </c:pt>
                <c:pt idx="504">
                  <c:v>0.93392401361838984</c:v>
                </c:pt>
                <c:pt idx="505">
                  <c:v>0.93392401361838984</c:v>
                </c:pt>
                <c:pt idx="506">
                  <c:v>0.93392401361838984</c:v>
                </c:pt>
                <c:pt idx="507">
                  <c:v>0.93392401361838984</c:v>
                </c:pt>
                <c:pt idx="508">
                  <c:v>0.93392401361838984</c:v>
                </c:pt>
                <c:pt idx="509">
                  <c:v>0.93392401361838984</c:v>
                </c:pt>
                <c:pt idx="510">
                  <c:v>0.93392401361838984</c:v>
                </c:pt>
                <c:pt idx="511">
                  <c:v>0.93392401361838984</c:v>
                </c:pt>
                <c:pt idx="512">
                  <c:v>0.93392401361838984</c:v>
                </c:pt>
                <c:pt idx="513">
                  <c:v>0.93392401361838984</c:v>
                </c:pt>
                <c:pt idx="514">
                  <c:v>0.93392401361838984</c:v>
                </c:pt>
                <c:pt idx="515">
                  <c:v>0.93392401361838984</c:v>
                </c:pt>
                <c:pt idx="516">
                  <c:v>0.93392401361838984</c:v>
                </c:pt>
                <c:pt idx="517">
                  <c:v>0.93392401361838984</c:v>
                </c:pt>
                <c:pt idx="518">
                  <c:v>0.93392401361838984</c:v>
                </c:pt>
                <c:pt idx="519">
                  <c:v>0.93392401361838984</c:v>
                </c:pt>
                <c:pt idx="520">
                  <c:v>0.93392401361838984</c:v>
                </c:pt>
                <c:pt idx="521">
                  <c:v>0.93392401361838984</c:v>
                </c:pt>
                <c:pt idx="522">
                  <c:v>0.93392401361838984</c:v>
                </c:pt>
                <c:pt idx="523">
                  <c:v>0.93392401361838984</c:v>
                </c:pt>
                <c:pt idx="524">
                  <c:v>0.93392401361838984</c:v>
                </c:pt>
                <c:pt idx="525">
                  <c:v>0.93392401361838984</c:v>
                </c:pt>
                <c:pt idx="526">
                  <c:v>0.93392401361838984</c:v>
                </c:pt>
                <c:pt idx="527">
                  <c:v>0.93392401361838984</c:v>
                </c:pt>
                <c:pt idx="528">
                  <c:v>0.93392401361838984</c:v>
                </c:pt>
                <c:pt idx="529">
                  <c:v>0.93392401361838984</c:v>
                </c:pt>
                <c:pt idx="530">
                  <c:v>0.93392401361838984</c:v>
                </c:pt>
                <c:pt idx="531">
                  <c:v>0.93392401361838984</c:v>
                </c:pt>
                <c:pt idx="532">
                  <c:v>0.93392401361838984</c:v>
                </c:pt>
                <c:pt idx="533">
                  <c:v>0.93392401361838984</c:v>
                </c:pt>
                <c:pt idx="534">
                  <c:v>0.93392401361838984</c:v>
                </c:pt>
                <c:pt idx="535">
                  <c:v>0.93392401361838984</c:v>
                </c:pt>
                <c:pt idx="536">
                  <c:v>0.93392401361838984</c:v>
                </c:pt>
                <c:pt idx="537">
                  <c:v>0.93392401361838984</c:v>
                </c:pt>
                <c:pt idx="538">
                  <c:v>0.93392401361838984</c:v>
                </c:pt>
                <c:pt idx="539">
                  <c:v>0.93392401361838984</c:v>
                </c:pt>
                <c:pt idx="540">
                  <c:v>0.93392401361838984</c:v>
                </c:pt>
              </c:numCache>
            </c:numRef>
          </c:yVal>
          <c:smooth val="0"/>
        </c:ser>
        <c:dLbls>
          <c:showLegendKey val="0"/>
          <c:showVal val="0"/>
          <c:showCatName val="0"/>
          <c:showSerName val="0"/>
          <c:showPercent val="0"/>
          <c:showBubbleSize val="0"/>
        </c:dLbls>
        <c:axId val="173388928"/>
        <c:axId val="173390848"/>
      </c:scatterChart>
      <c:valAx>
        <c:axId val="173388928"/>
        <c:scaling>
          <c:orientation val="minMax"/>
          <c:min val="0"/>
        </c:scaling>
        <c:delete val="0"/>
        <c:axPos val="b"/>
        <c:majorGridlines>
          <c:spPr>
            <a:ln w="3175">
              <a:solidFill>
                <a:srgbClr val="969696"/>
              </a:solidFill>
              <a:prstDash val="solid"/>
            </a:ln>
          </c:spPr>
        </c:majorGridlines>
        <c:title>
          <c:tx>
            <c:rich>
              <a:bodyPr/>
              <a:lstStyle/>
              <a:p>
                <a:pPr>
                  <a:defRPr/>
                </a:pPr>
                <a:r>
                  <a:rPr lang="en-GB" b="1"/>
                  <a:t>V</a:t>
                </a:r>
              </a:p>
            </c:rich>
          </c:tx>
          <c:layout>
            <c:manualLayout>
              <c:xMode val="edge"/>
              <c:yMode val="edge"/>
              <c:x val="0.94504239854633554"/>
              <c:y val="0.871112266627048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390848"/>
        <c:crosses val="autoZero"/>
        <c:crossBetween val="midCat"/>
      </c:valAx>
      <c:valAx>
        <c:axId val="173390848"/>
        <c:scaling>
          <c:orientation val="minMax"/>
          <c:max val="1"/>
          <c:min val="0.6"/>
        </c:scaling>
        <c:delete val="0"/>
        <c:axPos val="l"/>
        <c:majorGridlines>
          <c:spPr>
            <a:ln w="3175">
              <a:solidFill>
                <a:srgbClr val="969696"/>
              </a:solidFill>
              <a:prstDash val="solid"/>
            </a:ln>
          </c:spPr>
        </c:majorGridlines>
        <c:title>
          <c:tx>
            <c:rich>
              <a:bodyPr rot="0" vert="horz"/>
              <a:lstStyle/>
              <a:p>
                <a:pPr algn="ctr">
                  <a:defRPr/>
                </a:pPr>
                <a:r>
                  <a:rPr lang="el-GR"/>
                  <a:t>η</a:t>
                </a:r>
              </a:p>
            </c:rich>
          </c:tx>
          <c:layout>
            <c:manualLayout>
              <c:xMode val="edge"/>
              <c:yMode val="edge"/>
              <c:x val="5.683087690961707E-3"/>
              <c:y val="0.377525875303322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aseline="0"/>
            </a:pPr>
            <a:endParaRPr lang="en-US"/>
          </a:p>
        </c:txPr>
        <c:crossAx val="173388928"/>
        <c:crosses val="autoZero"/>
        <c:crossBetween val="midCat"/>
        <c:majorUnit val="0.05"/>
        <c:minorUnit val="0.01"/>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GB" sz="800" baseline="0"/>
              <a:t>Final coil ripple curent, +/- vs Vin  - for calculator development only</a:t>
            </a:r>
          </a:p>
        </c:rich>
      </c:tx>
      <c:overlay val="0"/>
      <c:spPr>
        <a:noFill/>
        <a:ln w="25400">
          <a:noFill/>
        </a:ln>
      </c:spPr>
    </c:title>
    <c:autoTitleDeleted val="0"/>
    <c:plotArea>
      <c:layout/>
      <c:scatterChart>
        <c:scatterStyle val="lineMarker"/>
        <c:varyColors val="0"/>
        <c:ser>
          <c:idx val="0"/>
          <c:order val="0"/>
          <c:tx>
            <c:v>Final ripple +/-</c:v>
          </c:tx>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Calculator!$BR$120:$BR$660</c:f>
              <c:numCache>
                <c:formatCode>0.00%</c:formatCode>
                <c:ptCount val="541"/>
                <c:pt idx="0">
                  <c:v>0.11027931582171557</c:v>
                </c:pt>
                <c:pt idx="1">
                  <c:v>0.11241436876893111</c:v>
                </c:pt>
                <c:pt idx="2">
                  <c:v>0.11454242899199869</c:v>
                </c:pt>
                <c:pt idx="3">
                  <c:v>0.11666269866390694</c:v>
                </c:pt>
                <c:pt idx="4">
                  <c:v>0.11877437991944199</c:v>
                </c:pt>
                <c:pt idx="5">
                  <c:v>0.12087667485729522</c:v>
                </c:pt>
                <c:pt idx="6">
                  <c:v>0.12296878554203354</c:v>
                </c:pt>
                <c:pt idx="7">
                  <c:v>0.12504991400594268</c:v>
                </c:pt>
                <c:pt idx="8">
                  <c:v>0.12711926225075293</c:v>
                </c:pt>
                <c:pt idx="9">
                  <c:v>0.12917603224925572</c:v>
                </c:pt>
                <c:pt idx="10">
                  <c:v>0.13121942594681896</c:v>
                </c:pt>
                <c:pt idx="11">
                  <c:v>0.13324864526280866</c:v>
                </c:pt>
                <c:pt idx="12">
                  <c:v>0.13526289209192335</c:v>
                </c:pt>
                <c:pt idx="13">
                  <c:v>0.1372613683054475</c:v>
                </c:pt>
                <c:pt idx="14">
                  <c:v>0.13924327575242954</c:v>
                </c:pt>
                <c:pt idx="15">
                  <c:v>0.14120781626078949</c:v>
                </c:pt>
                <c:pt idx="16">
                  <c:v>0.14315419163836179</c:v>
                </c:pt>
                <c:pt idx="17">
                  <c:v>0.1450816036738766</c:v>
                </c:pt>
                <c:pt idx="18">
                  <c:v>0.14698925413788466</c:v>
                </c:pt>
                <c:pt idx="19">
                  <c:v>0.14887634478362907</c:v>
                </c:pt>
                <c:pt idx="20">
                  <c:v>0.15074207734786751</c:v>
                </c:pt>
                <c:pt idx="21">
                  <c:v>0.15258565355164794</c:v>
                </c:pt>
                <c:pt idx="22">
                  <c:v>0.15440627510104149</c:v>
                </c:pt>
                <c:pt idx="23">
                  <c:v>0.15620314368783458</c:v>
                </c:pt>
                <c:pt idx="24">
                  <c:v>0.15797546099018273</c:v>
                </c:pt>
                <c:pt idx="25">
                  <c:v>0.15972242867322983</c:v>
                </c:pt>
                <c:pt idx="26">
                  <c:v>0.16144324838969293</c:v>
                </c:pt>
                <c:pt idx="27">
                  <c:v>0.16313712178041692</c:v>
                </c:pt>
                <c:pt idx="28">
                  <c:v>0.16480325047489891</c:v>
                </c:pt>
                <c:pt idx="29">
                  <c:v>0.16644083609178559</c:v>
                </c:pt>
                <c:pt idx="30">
                  <c:v>0.16804908023934495</c:v>
                </c:pt>
                <c:pt idx="31">
                  <c:v>0.16962718451591316</c:v>
                </c:pt>
                <c:pt idx="32">
                  <c:v>0.17117435051031873</c:v>
                </c:pt>
                <c:pt idx="33">
                  <c:v>0.17268977980228534</c:v>
                </c:pt>
                <c:pt idx="34">
                  <c:v>0.17417267396281458</c:v>
                </c:pt>
                <c:pt idx="35">
                  <c:v>0.1756222345545492</c:v>
                </c:pt>
                <c:pt idx="36">
                  <c:v>0.17703766313211805</c:v>
                </c:pt>
                <c:pt idx="37">
                  <c:v>0.17841816124246546</c:v>
                </c:pt>
                <c:pt idx="38">
                  <c:v>0.17976293042516284</c:v>
                </c:pt>
                <c:pt idx="39">
                  <c:v>0.18107117221270685</c:v>
                </c:pt>
                <c:pt idx="40">
                  <c:v>0.18234208813080174</c:v>
                </c:pt>
                <c:pt idx="41">
                  <c:v>0.18357487969862957</c:v>
                </c:pt>
                <c:pt idx="42">
                  <c:v>0.18476874842910723</c:v>
                </c:pt>
                <c:pt idx="43">
                  <c:v>0.18592289582913082</c:v>
                </c:pt>
                <c:pt idx="44">
                  <c:v>0.18703652339980964</c:v>
                </c:pt>
                <c:pt idx="45">
                  <c:v>0.18810883263668882</c:v>
                </c:pt>
                <c:pt idx="46">
                  <c:v>0.18913902502996188</c:v>
                </c:pt>
                <c:pt idx="47">
                  <c:v>0.19012630206467357</c:v>
                </c:pt>
                <c:pt idx="48">
                  <c:v>0.19106986522091393</c:v>
                </c:pt>
                <c:pt idx="49">
                  <c:v>0.19196891597400292</c:v>
                </c:pt>
                <c:pt idx="50">
                  <c:v>0.19282265579466779</c:v>
                </c:pt>
                <c:pt idx="51">
                  <c:v>0.19363028614921182</c:v>
                </c:pt>
                <c:pt idx="52">
                  <c:v>0.19439100849967617</c:v>
                </c:pt>
                <c:pt idx="53">
                  <c:v>0.19510402430399434</c:v>
                </c:pt>
                <c:pt idx="54">
                  <c:v>0.19576853501614042</c:v>
                </c:pt>
                <c:pt idx="55">
                  <c:v>0.1963837420862703</c:v>
                </c:pt>
                <c:pt idx="56">
                  <c:v>0.19694884696085785</c:v>
                </c:pt>
                <c:pt idx="57">
                  <c:v>0.19746305108282411</c:v>
                </c:pt>
                <c:pt idx="58">
                  <c:v>0.19792555589166244</c:v>
                </c:pt>
                <c:pt idx="59">
                  <c:v>0.19833556282355688</c:v>
                </c:pt>
                <c:pt idx="60">
                  <c:v>0.19869227331149747</c:v>
                </c:pt>
                <c:pt idx="61">
                  <c:v>0.19899488878538887</c:v>
                </c:pt>
                <c:pt idx="62">
                  <c:v>0.19924261067215632</c:v>
                </c:pt>
                <c:pt idx="63">
                  <c:v>0.19943464039584582</c:v>
                </c:pt>
                <c:pt idx="64">
                  <c:v>0.19957017937772134</c:v>
                </c:pt>
                <c:pt idx="65">
                  <c:v>0.19964842903635752</c:v>
                </c:pt>
                <c:pt idx="66">
                  <c:v>0.19966859078772925</c:v>
                </c:pt>
                <c:pt idx="67">
                  <c:v>0.1996298660452967</c:v>
                </c:pt>
                <c:pt idx="68">
                  <c:v>0.19953145622008839</c:v>
                </c:pt>
                <c:pt idx="69">
                  <c:v>0.19937256272077991</c:v>
                </c:pt>
                <c:pt idx="70">
                  <c:v>0.19915238695377002</c:v>
                </c:pt>
                <c:pt idx="71">
                  <c:v>0.19887013032325387</c:v>
                </c:pt>
                <c:pt idx="72">
                  <c:v>0.19852499423129324</c:v>
                </c:pt>
                <c:pt idx="73">
                  <c:v>0.19811618007788417</c:v>
                </c:pt>
                <c:pt idx="74">
                  <c:v>0.19764288926102247</c:v>
                </c:pt>
                <c:pt idx="75">
                  <c:v>0.1971043231767656</c:v>
                </c:pt>
                <c:pt idx="76">
                  <c:v>0.19649968321929376</c:v>
                </c:pt>
                <c:pt idx="77">
                  <c:v>0.19582817078096756</c:v>
                </c:pt>
                <c:pt idx="78">
                  <c:v>0.19508898725238397</c:v>
                </c:pt>
                <c:pt idx="79">
                  <c:v>0.19428133402243053</c:v>
                </c:pt>
                <c:pt idx="80">
                  <c:v>0.19340441247833678</c:v>
                </c:pt>
                <c:pt idx="81">
                  <c:v>0.19245742400572474</c:v>
                </c:pt>
                <c:pt idx="82">
                  <c:v>0.19143956998865702</c:v>
                </c:pt>
                <c:pt idx="83">
                  <c:v>0.19035005180968323</c:v>
                </c:pt>
                <c:pt idx="84">
                  <c:v>0.18918807084988504</c:v>
                </c:pt>
                <c:pt idx="85">
                  <c:v>0.18795282848891937</c:v>
                </c:pt>
                <c:pt idx="86">
                  <c:v>0.1866435261050601</c:v>
                </c:pt>
                <c:pt idx="87">
                  <c:v>0.18525936507523852</c:v>
                </c:pt>
                <c:pt idx="88">
                  <c:v>0.18379954677508198</c:v>
                </c:pt>
                <c:pt idx="89">
                  <c:v>0.18226327257895181</c:v>
                </c:pt>
                <c:pt idx="90">
                  <c:v>0.18064974385997942</c:v>
                </c:pt>
                <c:pt idx="91">
                  <c:v>0.17895816199010103</c:v>
                </c:pt>
                <c:pt idx="92">
                  <c:v>0.177187728340092</c:v>
                </c:pt>
                <c:pt idx="93">
                  <c:v>0.17533764427959936</c:v>
                </c:pt>
                <c:pt idx="94">
                  <c:v>0.17340711117717325</c:v>
                </c:pt>
                <c:pt idx="95">
                  <c:v>0.1713953304002977</c:v>
                </c:pt>
                <c:pt idx="96">
                  <c:v>0.16930150331541993</c:v>
                </c:pt>
                <c:pt idx="97">
                  <c:v>0.16712483128797903</c:v>
                </c:pt>
                <c:pt idx="98">
                  <c:v>0.16486451568243377</c:v>
                </c:pt>
                <c:pt idx="99">
                  <c:v>0.16251975786228881</c:v>
                </c:pt>
                <c:pt idx="100">
                  <c:v>0.16008975919012108</c:v>
                </c:pt>
                <c:pt idx="101">
                  <c:v>0.16008975919012108</c:v>
                </c:pt>
                <c:pt idx="102">
                  <c:v>0.16008975919012108</c:v>
                </c:pt>
                <c:pt idx="103">
                  <c:v>0.16008975919012108</c:v>
                </c:pt>
                <c:pt idx="104">
                  <c:v>0.16008975919012108</c:v>
                </c:pt>
                <c:pt idx="105">
                  <c:v>0.16008975919012108</c:v>
                </c:pt>
                <c:pt idx="106">
                  <c:v>0.16008975919012108</c:v>
                </c:pt>
                <c:pt idx="107">
                  <c:v>0.16008975919012108</c:v>
                </c:pt>
                <c:pt idx="108">
                  <c:v>0.16008975919012108</c:v>
                </c:pt>
                <c:pt idx="109">
                  <c:v>0.16008975919012108</c:v>
                </c:pt>
                <c:pt idx="110">
                  <c:v>0.16008975919012108</c:v>
                </c:pt>
                <c:pt idx="111">
                  <c:v>0.16008975919012108</c:v>
                </c:pt>
                <c:pt idx="112">
                  <c:v>0.16008975919012108</c:v>
                </c:pt>
                <c:pt idx="113">
                  <c:v>0.16008975919012108</c:v>
                </c:pt>
                <c:pt idx="114">
                  <c:v>0.16008975919012108</c:v>
                </c:pt>
                <c:pt idx="115">
                  <c:v>0.16008975919012108</c:v>
                </c:pt>
                <c:pt idx="116">
                  <c:v>0.16008975919012108</c:v>
                </c:pt>
                <c:pt idx="117">
                  <c:v>0.16008975919012108</c:v>
                </c:pt>
                <c:pt idx="118">
                  <c:v>0.16008975919012108</c:v>
                </c:pt>
                <c:pt idx="119">
                  <c:v>0.16008975919012108</c:v>
                </c:pt>
                <c:pt idx="120">
                  <c:v>0.16008975919012108</c:v>
                </c:pt>
                <c:pt idx="121">
                  <c:v>0.16008975919012108</c:v>
                </c:pt>
                <c:pt idx="122">
                  <c:v>0.16008975919012108</c:v>
                </c:pt>
                <c:pt idx="123">
                  <c:v>0.16008975919012108</c:v>
                </c:pt>
                <c:pt idx="124">
                  <c:v>0.16008975919012108</c:v>
                </c:pt>
                <c:pt idx="125">
                  <c:v>0.16008975919012108</c:v>
                </c:pt>
                <c:pt idx="126">
                  <c:v>0.16008975919012108</c:v>
                </c:pt>
                <c:pt idx="127">
                  <c:v>0.16008975919012108</c:v>
                </c:pt>
                <c:pt idx="128">
                  <c:v>0.16008975919012108</c:v>
                </c:pt>
                <c:pt idx="129">
                  <c:v>0.16008975919012108</c:v>
                </c:pt>
                <c:pt idx="130">
                  <c:v>0.16008975919012108</c:v>
                </c:pt>
                <c:pt idx="131">
                  <c:v>0.16008975919012108</c:v>
                </c:pt>
                <c:pt idx="132">
                  <c:v>0.16008975919012108</c:v>
                </c:pt>
                <c:pt idx="133">
                  <c:v>0.16008975919012108</c:v>
                </c:pt>
                <c:pt idx="134">
                  <c:v>0.16008975919012108</c:v>
                </c:pt>
                <c:pt idx="135">
                  <c:v>0.16008975919012108</c:v>
                </c:pt>
                <c:pt idx="136">
                  <c:v>0.16008975919012108</c:v>
                </c:pt>
                <c:pt idx="137">
                  <c:v>0.16008975919012108</c:v>
                </c:pt>
                <c:pt idx="138">
                  <c:v>0.16008975919012108</c:v>
                </c:pt>
                <c:pt idx="139">
                  <c:v>0.16008975919012108</c:v>
                </c:pt>
                <c:pt idx="140">
                  <c:v>0.16008975919012108</c:v>
                </c:pt>
                <c:pt idx="141">
                  <c:v>0.16008975919012108</c:v>
                </c:pt>
                <c:pt idx="142">
                  <c:v>0.16008975919012108</c:v>
                </c:pt>
                <c:pt idx="143">
                  <c:v>0.16008975919012108</c:v>
                </c:pt>
                <c:pt idx="144">
                  <c:v>0.16008975919012108</c:v>
                </c:pt>
                <c:pt idx="145">
                  <c:v>0.16008975919012108</c:v>
                </c:pt>
                <c:pt idx="146">
                  <c:v>0.16008975919012108</c:v>
                </c:pt>
                <c:pt idx="147">
                  <c:v>0.16008975919012108</c:v>
                </c:pt>
                <c:pt idx="148">
                  <c:v>0.16008975919012108</c:v>
                </c:pt>
                <c:pt idx="149">
                  <c:v>0.16008975919012108</c:v>
                </c:pt>
                <c:pt idx="150">
                  <c:v>0.16008975919012108</c:v>
                </c:pt>
                <c:pt idx="151">
                  <c:v>0.16008975919012108</c:v>
                </c:pt>
                <c:pt idx="152">
                  <c:v>0.16008975919012108</c:v>
                </c:pt>
                <c:pt idx="153">
                  <c:v>0.16008975919012108</c:v>
                </c:pt>
                <c:pt idx="154">
                  <c:v>0.16008975919012108</c:v>
                </c:pt>
                <c:pt idx="155">
                  <c:v>0.16008975919012108</c:v>
                </c:pt>
                <c:pt idx="156">
                  <c:v>0.16008975919012108</c:v>
                </c:pt>
                <c:pt idx="157">
                  <c:v>0.16008975919012108</c:v>
                </c:pt>
                <c:pt idx="158">
                  <c:v>0.16008975919012108</c:v>
                </c:pt>
                <c:pt idx="159">
                  <c:v>0.16008975919012108</c:v>
                </c:pt>
                <c:pt idx="160">
                  <c:v>0.16008975919012108</c:v>
                </c:pt>
                <c:pt idx="161">
                  <c:v>0.16008975919012108</c:v>
                </c:pt>
                <c:pt idx="162">
                  <c:v>0.16008975919012108</c:v>
                </c:pt>
                <c:pt idx="163">
                  <c:v>0.16008975919012108</c:v>
                </c:pt>
                <c:pt idx="164">
                  <c:v>0.16008975919012108</c:v>
                </c:pt>
                <c:pt idx="165">
                  <c:v>0.16008975919012108</c:v>
                </c:pt>
                <c:pt idx="166">
                  <c:v>0.16008975919012108</c:v>
                </c:pt>
                <c:pt idx="167">
                  <c:v>0.16008975919012108</c:v>
                </c:pt>
                <c:pt idx="168">
                  <c:v>0.16008975919012108</c:v>
                </c:pt>
                <c:pt idx="169">
                  <c:v>0.16008975919012108</c:v>
                </c:pt>
                <c:pt idx="170">
                  <c:v>0.16008975919012108</c:v>
                </c:pt>
                <c:pt idx="171">
                  <c:v>0.16008975919012108</c:v>
                </c:pt>
                <c:pt idx="172">
                  <c:v>0.16008975919012108</c:v>
                </c:pt>
                <c:pt idx="173">
                  <c:v>0.16008975919012108</c:v>
                </c:pt>
                <c:pt idx="174">
                  <c:v>0.16008975919012108</c:v>
                </c:pt>
                <c:pt idx="175">
                  <c:v>0.16008975919012108</c:v>
                </c:pt>
                <c:pt idx="176">
                  <c:v>0.16008975919012108</c:v>
                </c:pt>
                <c:pt idx="177">
                  <c:v>0.16008975919012108</c:v>
                </c:pt>
                <c:pt idx="178">
                  <c:v>0.16008975919012108</c:v>
                </c:pt>
                <c:pt idx="179">
                  <c:v>0.16008975919012108</c:v>
                </c:pt>
                <c:pt idx="180">
                  <c:v>0.16008975919012108</c:v>
                </c:pt>
                <c:pt idx="181">
                  <c:v>0.16008975919012108</c:v>
                </c:pt>
                <c:pt idx="182">
                  <c:v>0.16008975919012108</c:v>
                </c:pt>
                <c:pt idx="183">
                  <c:v>0.16008975919012108</c:v>
                </c:pt>
                <c:pt idx="184">
                  <c:v>0.16008975919012108</c:v>
                </c:pt>
                <c:pt idx="185">
                  <c:v>0.16008975919012108</c:v>
                </c:pt>
                <c:pt idx="186">
                  <c:v>0.16008975919012108</c:v>
                </c:pt>
                <c:pt idx="187">
                  <c:v>0.16008975919012108</c:v>
                </c:pt>
                <c:pt idx="188">
                  <c:v>0.16008975919012108</c:v>
                </c:pt>
                <c:pt idx="189">
                  <c:v>0.16008975919012108</c:v>
                </c:pt>
                <c:pt idx="190">
                  <c:v>0.16008975919012108</c:v>
                </c:pt>
                <c:pt idx="191">
                  <c:v>0.16008975919012108</c:v>
                </c:pt>
                <c:pt idx="192">
                  <c:v>0.16008975919012108</c:v>
                </c:pt>
                <c:pt idx="193">
                  <c:v>0.16008975919012108</c:v>
                </c:pt>
                <c:pt idx="194">
                  <c:v>0.16008975919012108</c:v>
                </c:pt>
                <c:pt idx="195">
                  <c:v>0.16008975919012108</c:v>
                </c:pt>
                <c:pt idx="196">
                  <c:v>0.16008975919012108</c:v>
                </c:pt>
                <c:pt idx="197">
                  <c:v>0.16008975919012108</c:v>
                </c:pt>
                <c:pt idx="198">
                  <c:v>0.16008975919012108</c:v>
                </c:pt>
                <c:pt idx="199">
                  <c:v>0.16008975919012108</c:v>
                </c:pt>
                <c:pt idx="200">
                  <c:v>0.16008975919012108</c:v>
                </c:pt>
                <c:pt idx="201">
                  <c:v>0.16008975919012108</c:v>
                </c:pt>
                <c:pt idx="202">
                  <c:v>0.16008975919012108</c:v>
                </c:pt>
                <c:pt idx="203">
                  <c:v>0.16008975919012108</c:v>
                </c:pt>
                <c:pt idx="204">
                  <c:v>0.16008975919012108</c:v>
                </c:pt>
                <c:pt idx="205">
                  <c:v>0.16008975919012108</c:v>
                </c:pt>
                <c:pt idx="206">
                  <c:v>0.16008975919012108</c:v>
                </c:pt>
                <c:pt idx="207">
                  <c:v>0.16008975919012108</c:v>
                </c:pt>
                <c:pt idx="208">
                  <c:v>0.16008975919012108</c:v>
                </c:pt>
                <c:pt idx="209">
                  <c:v>0.16008975919012108</c:v>
                </c:pt>
                <c:pt idx="210">
                  <c:v>0.16008975919012108</c:v>
                </c:pt>
                <c:pt idx="211">
                  <c:v>0.16008975919012108</c:v>
                </c:pt>
                <c:pt idx="212">
                  <c:v>0.16008975919012108</c:v>
                </c:pt>
                <c:pt idx="213">
                  <c:v>0.16008975919012108</c:v>
                </c:pt>
                <c:pt idx="214">
                  <c:v>0.16008975919012108</c:v>
                </c:pt>
                <c:pt idx="215">
                  <c:v>0.16008975919012108</c:v>
                </c:pt>
                <c:pt idx="216">
                  <c:v>0.16008975919012108</c:v>
                </c:pt>
                <c:pt idx="217">
                  <c:v>0.16008975919012108</c:v>
                </c:pt>
                <c:pt idx="218">
                  <c:v>0.16008975919012108</c:v>
                </c:pt>
                <c:pt idx="219">
                  <c:v>0.16008975919012108</c:v>
                </c:pt>
                <c:pt idx="220">
                  <c:v>0.16008975919012108</c:v>
                </c:pt>
                <c:pt idx="221">
                  <c:v>0.16008975919012108</c:v>
                </c:pt>
                <c:pt idx="222">
                  <c:v>0.16008975919012108</c:v>
                </c:pt>
                <c:pt idx="223">
                  <c:v>0.16008975919012108</c:v>
                </c:pt>
                <c:pt idx="224">
                  <c:v>0.16008975919012108</c:v>
                </c:pt>
                <c:pt idx="225">
                  <c:v>0.16008975919012108</c:v>
                </c:pt>
                <c:pt idx="226">
                  <c:v>0.16008975919012108</c:v>
                </c:pt>
                <c:pt idx="227">
                  <c:v>0.16008975919012108</c:v>
                </c:pt>
                <c:pt idx="228">
                  <c:v>0.16008975919012108</c:v>
                </c:pt>
                <c:pt idx="229">
                  <c:v>0.16008975919012108</c:v>
                </c:pt>
                <c:pt idx="230">
                  <c:v>0.16008975919012108</c:v>
                </c:pt>
                <c:pt idx="231">
                  <c:v>0.16008975919012108</c:v>
                </c:pt>
                <c:pt idx="232">
                  <c:v>0.16008975919012108</c:v>
                </c:pt>
                <c:pt idx="233">
                  <c:v>0.16008975919012108</c:v>
                </c:pt>
                <c:pt idx="234">
                  <c:v>0.16008975919012108</c:v>
                </c:pt>
                <c:pt idx="235">
                  <c:v>0.16008975919012108</c:v>
                </c:pt>
                <c:pt idx="236">
                  <c:v>0.16008975919012108</c:v>
                </c:pt>
                <c:pt idx="237">
                  <c:v>0.16008975919012108</c:v>
                </c:pt>
                <c:pt idx="238">
                  <c:v>0.16008975919012108</c:v>
                </c:pt>
                <c:pt idx="239">
                  <c:v>0.16008975919012108</c:v>
                </c:pt>
                <c:pt idx="240">
                  <c:v>0.16008975919012108</c:v>
                </c:pt>
                <c:pt idx="241">
                  <c:v>0.16008975919012108</c:v>
                </c:pt>
                <c:pt idx="242">
                  <c:v>0.16008975919012108</c:v>
                </c:pt>
                <c:pt idx="243">
                  <c:v>0.16008975919012108</c:v>
                </c:pt>
                <c:pt idx="244">
                  <c:v>0.16008975919012108</c:v>
                </c:pt>
                <c:pt idx="245">
                  <c:v>0.16008975919012108</c:v>
                </c:pt>
                <c:pt idx="246">
                  <c:v>0.16008975919012108</c:v>
                </c:pt>
                <c:pt idx="247">
                  <c:v>0.16008975919012108</c:v>
                </c:pt>
                <c:pt idx="248">
                  <c:v>0.16008975919012108</c:v>
                </c:pt>
                <c:pt idx="249">
                  <c:v>0.16008975919012108</c:v>
                </c:pt>
                <c:pt idx="250">
                  <c:v>0.16008975919012108</c:v>
                </c:pt>
                <c:pt idx="251">
                  <c:v>0.16008975919012108</c:v>
                </c:pt>
                <c:pt idx="252">
                  <c:v>0.16008975919012108</c:v>
                </c:pt>
                <c:pt idx="253">
                  <c:v>0.16008975919012108</c:v>
                </c:pt>
                <c:pt idx="254">
                  <c:v>0.16008975919012108</c:v>
                </c:pt>
                <c:pt idx="255">
                  <c:v>0.16008975919012108</c:v>
                </c:pt>
                <c:pt idx="256">
                  <c:v>0.16008975919012108</c:v>
                </c:pt>
                <c:pt idx="257">
                  <c:v>0.16008975919012108</c:v>
                </c:pt>
                <c:pt idx="258">
                  <c:v>0.16008975919012108</c:v>
                </c:pt>
                <c:pt idx="259">
                  <c:v>0.16008975919012108</c:v>
                </c:pt>
                <c:pt idx="260">
                  <c:v>0.16008975919012108</c:v>
                </c:pt>
                <c:pt idx="261">
                  <c:v>0.16008975919012108</c:v>
                </c:pt>
                <c:pt idx="262">
                  <c:v>0.16008975919012108</c:v>
                </c:pt>
                <c:pt idx="263">
                  <c:v>0.16008975919012108</c:v>
                </c:pt>
                <c:pt idx="264">
                  <c:v>0.16008975919012108</c:v>
                </c:pt>
                <c:pt idx="265">
                  <c:v>0.16008975919012108</c:v>
                </c:pt>
                <c:pt idx="266">
                  <c:v>0.16008975919012108</c:v>
                </c:pt>
                <c:pt idx="267">
                  <c:v>0.16008975919012108</c:v>
                </c:pt>
                <c:pt idx="268">
                  <c:v>0.16008975919012108</c:v>
                </c:pt>
                <c:pt idx="269">
                  <c:v>0.16008975919012108</c:v>
                </c:pt>
                <c:pt idx="270">
                  <c:v>0.16008975919012108</c:v>
                </c:pt>
                <c:pt idx="271">
                  <c:v>0.16008975919012108</c:v>
                </c:pt>
                <c:pt idx="272">
                  <c:v>0.16008975919012108</c:v>
                </c:pt>
                <c:pt idx="273">
                  <c:v>0.16008975919012108</c:v>
                </c:pt>
                <c:pt idx="274">
                  <c:v>0.16008975919012108</c:v>
                </c:pt>
                <c:pt idx="275">
                  <c:v>0.16008975919012108</c:v>
                </c:pt>
                <c:pt idx="276">
                  <c:v>0.16008975919012108</c:v>
                </c:pt>
                <c:pt idx="277">
                  <c:v>0.16008975919012108</c:v>
                </c:pt>
                <c:pt idx="278">
                  <c:v>0.16008975919012108</c:v>
                </c:pt>
                <c:pt idx="279">
                  <c:v>0.16008975919012108</c:v>
                </c:pt>
                <c:pt idx="280">
                  <c:v>0.16008975919012108</c:v>
                </c:pt>
                <c:pt idx="281">
                  <c:v>0.16008975919012108</c:v>
                </c:pt>
                <c:pt idx="282">
                  <c:v>0.16008975919012108</c:v>
                </c:pt>
                <c:pt idx="283">
                  <c:v>0.16008975919012108</c:v>
                </c:pt>
                <c:pt idx="284">
                  <c:v>0.16008975919012108</c:v>
                </c:pt>
                <c:pt idx="285">
                  <c:v>0.16008975919012108</c:v>
                </c:pt>
                <c:pt idx="286">
                  <c:v>0.16008975919012108</c:v>
                </c:pt>
                <c:pt idx="287">
                  <c:v>0.16008975919012108</c:v>
                </c:pt>
                <c:pt idx="288">
                  <c:v>0.16008975919012108</c:v>
                </c:pt>
                <c:pt idx="289">
                  <c:v>0.16008975919012108</c:v>
                </c:pt>
                <c:pt idx="290">
                  <c:v>0.16008975919012108</c:v>
                </c:pt>
                <c:pt idx="291">
                  <c:v>0.16008975919012108</c:v>
                </c:pt>
                <c:pt idx="292">
                  <c:v>0.16008975919012108</c:v>
                </c:pt>
                <c:pt idx="293">
                  <c:v>0.16008975919012108</c:v>
                </c:pt>
                <c:pt idx="294">
                  <c:v>0.16008975919012108</c:v>
                </c:pt>
                <c:pt idx="295">
                  <c:v>0.16008975919012108</c:v>
                </c:pt>
                <c:pt idx="296">
                  <c:v>0.16008975919012108</c:v>
                </c:pt>
                <c:pt idx="297">
                  <c:v>0.16008975919012108</c:v>
                </c:pt>
                <c:pt idx="298">
                  <c:v>0.16008975919012108</c:v>
                </c:pt>
                <c:pt idx="299">
                  <c:v>0.16008975919012108</c:v>
                </c:pt>
                <c:pt idx="300">
                  <c:v>0.16008975919012108</c:v>
                </c:pt>
                <c:pt idx="301">
                  <c:v>0.16008975919012108</c:v>
                </c:pt>
                <c:pt idx="302">
                  <c:v>0.16008975919012108</c:v>
                </c:pt>
                <c:pt idx="303">
                  <c:v>0.16008975919012108</c:v>
                </c:pt>
                <c:pt idx="304">
                  <c:v>0.16008975919012108</c:v>
                </c:pt>
                <c:pt idx="305">
                  <c:v>0.16008975919012108</c:v>
                </c:pt>
                <c:pt idx="306">
                  <c:v>0.16008975919012108</c:v>
                </c:pt>
                <c:pt idx="307">
                  <c:v>0.16008975919012108</c:v>
                </c:pt>
                <c:pt idx="308">
                  <c:v>0.16008975919012108</c:v>
                </c:pt>
                <c:pt idx="309">
                  <c:v>0.16008975919012108</c:v>
                </c:pt>
                <c:pt idx="310">
                  <c:v>0.16008975919012108</c:v>
                </c:pt>
                <c:pt idx="311">
                  <c:v>0.16008975919012108</c:v>
                </c:pt>
                <c:pt idx="312">
                  <c:v>0.16008975919012108</c:v>
                </c:pt>
                <c:pt idx="313">
                  <c:v>0.16008975919012108</c:v>
                </c:pt>
                <c:pt idx="314">
                  <c:v>0.16008975919012108</c:v>
                </c:pt>
                <c:pt idx="315">
                  <c:v>0.16008975919012108</c:v>
                </c:pt>
                <c:pt idx="316">
                  <c:v>0.16008975919012108</c:v>
                </c:pt>
                <c:pt idx="317">
                  <c:v>0.16008975919012108</c:v>
                </c:pt>
                <c:pt idx="318">
                  <c:v>0.16008975919012108</c:v>
                </c:pt>
                <c:pt idx="319">
                  <c:v>0.16008975919012108</c:v>
                </c:pt>
                <c:pt idx="320">
                  <c:v>0.16008975919012108</c:v>
                </c:pt>
                <c:pt idx="321">
                  <c:v>0.16008975919012108</c:v>
                </c:pt>
                <c:pt idx="322">
                  <c:v>0.16008975919012108</c:v>
                </c:pt>
                <c:pt idx="323">
                  <c:v>0.16008975919012108</c:v>
                </c:pt>
                <c:pt idx="324">
                  <c:v>0.16008975919012108</c:v>
                </c:pt>
                <c:pt idx="325">
                  <c:v>0.16008975919012108</c:v>
                </c:pt>
                <c:pt idx="326">
                  <c:v>0.16008975919012108</c:v>
                </c:pt>
                <c:pt idx="327">
                  <c:v>0.16008975919012108</c:v>
                </c:pt>
                <c:pt idx="328">
                  <c:v>0.16008975919012108</c:v>
                </c:pt>
                <c:pt idx="329">
                  <c:v>0.16008975919012108</c:v>
                </c:pt>
                <c:pt idx="330">
                  <c:v>0.16008975919012108</c:v>
                </c:pt>
                <c:pt idx="331">
                  <c:v>0.16008975919012108</c:v>
                </c:pt>
                <c:pt idx="332">
                  <c:v>0.16008975919012108</c:v>
                </c:pt>
                <c:pt idx="333">
                  <c:v>0.16008975919012108</c:v>
                </c:pt>
                <c:pt idx="334">
                  <c:v>0.16008975919012108</c:v>
                </c:pt>
                <c:pt idx="335">
                  <c:v>0.16008975919012108</c:v>
                </c:pt>
                <c:pt idx="336">
                  <c:v>0.16008975919012108</c:v>
                </c:pt>
                <c:pt idx="337">
                  <c:v>0.16008975919012108</c:v>
                </c:pt>
                <c:pt idx="338">
                  <c:v>0.16008975919012108</c:v>
                </c:pt>
                <c:pt idx="339">
                  <c:v>0.16008975919012108</c:v>
                </c:pt>
                <c:pt idx="340">
                  <c:v>0.16008975919012108</c:v>
                </c:pt>
                <c:pt idx="341">
                  <c:v>0.16008975919012108</c:v>
                </c:pt>
                <c:pt idx="342">
                  <c:v>0.16008975919012108</c:v>
                </c:pt>
                <c:pt idx="343">
                  <c:v>0.16008975919012108</c:v>
                </c:pt>
                <c:pt idx="344">
                  <c:v>0.16008975919012108</c:v>
                </c:pt>
                <c:pt idx="345">
                  <c:v>0.16008975919012108</c:v>
                </c:pt>
                <c:pt idx="346">
                  <c:v>0.16008975919012108</c:v>
                </c:pt>
                <c:pt idx="347">
                  <c:v>0.16008975919012108</c:v>
                </c:pt>
                <c:pt idx="348">
                  <c:v>0.16008975919012108</c:v>
                </c:pt>
                <c:pt idx="349">
                  <c:v>0.16008975919012108</c:v>
                </c:pt>
                <c:pt idx="350">
                  <c:v>0.16008975919012108</c:v>
                </c:pt>
                <c:pt idx="351">
                  <c:v>0.16008975919012108</c:v>
                </c:pt>
                <c:pt idx="352">
                  <c:v>0.16008975919012108</c:v>
                </c:pt>
                <c:pt idx="353">
                  <c:v>0.16008975919012108</c:v>
                </c:pt>
                <c:pt idx="354">
                  <c:v>0.16008975919012108</c:v>
                </c:pt>
                <c:pt idx="355">
                  <c:v>0.16008975919012108</c:v>
                </c:pt>
                <c:pt idx="356">
                  <c:v>0.16008975919012108</c:v>
                </c:pt>
                <c:pt idx="357">
                  <c:v>0.16008975919012108</c:v>
                </c:pt>
                <c:pt idx="358">
                  <c:v>0.16008975919012108</c:v>
                </c:pt>
                <c:pt idx="359">
                  <c:v>0.16008975919012108</c:v>
                </c:pt>
                <c:pt idx="360">
                  <c:v>0.16008975919012108</c:v>
                </c:pt>
                <c:pt idx="361">
                  <c:v>0.16008975919012108</c:v>
                </c:pt>
                <c:pt idx="362">
                  <c:v>0.16008975919012108</c:v>
                </c:pt>
                <c:pt idx="363">
                  <c:v>0.16008975919012108</c:v>
                </c:pt>
                <c:pt idx="364">
                  <c:v>0.16008975919012108</c:v>
                </c:pt>
                <c:pt idx="365">
                  <c:v>0.16008975919012108</c:v>
                </c:pt>
                <c:pt idx="366">
                  <c:v>0.16008975919012108</c:v>
                </c:pt>
                <c:pt idx="367">
                  <c:v>0.16008975919012108</c:v>
                </c:pt>
                <c:pt idx="368">
                  <c:v>0.16008975919012108</c:v>
                </c:pt>
                <c:pt idx="369">
                  <c:v>0.16008975919012108</c:v>
                </c:pt>
                <c:pt idx="370">
                  <c:v>0.16008975919012108</c:v>
                </c:pt>
                <c:pt idx="371">
                  <c:v>0.16008975919012108</c:v>
                </c:pt>
                <c:pt idx="372">
                  <c:v>0.16008975919012108</c:v>
                </c:pt>
                <c:pt idx="373">
                  <c:v>0.16008975919012108</c:v>
                </c:pt>
                <c:pt idx="374">
                  <c:v>0.16008975919012108</c:v>
                </c:pt>
                <c:pt idx="375">
                  <c:v>0.16008975919012108</c:v>
                </c:pt>
                <c:pt idx="376">
                  <c:v>0.16008975919012108</c:v>
                </c:pt>
                <c:pt idx="377">
                  <c:v>0.16008975919012108</c:v>
                </c:pt>
                <c:pt idx="378">
                  <c:v>0.16008975919012108</c:v>
                </c:pt>
                <c:pt idx="379">
                  <c:v>0.16008975919012108</c:v>
                </c:pt>
                <c:pt idx="380">
                  <c:v>0.16008975919012108</c:v>
                </c:pt>
                <c:pt idx="381">
                  <c:v>0.16008975919012108</c:v>
                </c:pt>
                <c:pt idx="382">
                  <c:v>0.16008975919012108</c:v>
                </c:pt>
                <c:pt idx="383">
                  <c:v>0.16008975919012108</c:v>
                </c:pt>
                <c:pt idx="384">
                  <c:v>0.16008975919012108</c:v>
                </c:pt>
                <c:pt idx="385">
                  <c:v>0.16008975919012108</c:v>
                </c:pt>
                <c:pt idx="386">
                  <c:v>0.16008975919012108</c:v>
                </c:pt>
                <c:pt idx="387">
                  <c:v>0.16008975919012108</c:v>
                </c:pt>
                <c:pt idx="388">
                  <c:v>0.16008975919012108</c:v>
                </c:pt>
                <c:pt idx="389">
                  <c:v>0.16008975919012108</c:v>
                </c:pt>
                <c:pt idx="390">
                  <c:v>0.16008975919012108</c:v>
                </c:pt>
                <c:pt idx="391">
                  <c:v>0.16008975919012108</c:v>
                </c:pt>
                <c:pt idx="392">
                  <c:v>0.16008975919012108</c:v>
                </c:pt>
                <c:pt idx="393">
                  <c:v>0.16008975919012108</c:v>
                </c:pt>
                <c:pt idx="394">
                  <c:v>0.16008975919012108</c:v>
                </c:pt>
                <c:pt idx="395">
                  <c:v>0.16008975919012108</c:v>
                </c:pt>
                <c:pt idx="396">
                  <c:v>0.16008975919012108</c:v>
                </c:pt>
                <c:pt idx="397">
                  <c:v>0.16008975919012108</c:v>
                </c:pt>
                <c:pt idx="398">
                  <c:v>0.16008975919012108</c:v>
                </c:pt>
                <c:pt idx="399">
                  <c:v>0.16008975919012108</c:v>
                </c:pt>
                <c:pt idx="400">
                  <c:v>0.16008975919012108</c:v>
                </c:pt>
                <c:pt idx="401">
                  <c:v>0.16008975919012108</c:v>
                </c:pt>
                <c:pt idx="402">
                  <c:v>0.16008975919012108</c:v>
                </c:pt>
                <c:pt idx="403">
                  <c:v>0.16008975919012108</c:v>
                </c:pt>
                <c:pt idx="404">
                  <c:v>0.16008975919012108</c:v>
                </c:pt>
                <c:pt idx="405">
                  <c:v>0.16008975919012108</c:v>
                </c:pt>
                <c:pt idx="406">
                  <c:v>0.16008975919012108</c:v>
                </c:pt>
                <c:pt idx="407">
                  <c:v>0.16008975919012108</c:v>
                </c:pt>
                <c:pt idx="408">
                  <c:v>0.16008975919012108</c:v>
                </c:pt>
                <c:pt idx="409">
                  <c:v>0.16008975919012108</c:v>
                </c:pt>
                <c:pt idx="410">
                  <c:v>0.16008975919012108</c:v>
                </c:pt>
                <c:pt idx="411">
                  <c:v>0.16008975919012108</c:v>
                </c:pt>
                <c:pt idx="412">
                  <c:v>0.16008975919012108</c:v>
                </c:pt>
                <c:pt idx="413">
                  <c:v>0.16008975919012108</c:v>
                </c:pt>
                <c:pt idx="414">
                  <c:v>0.16008975919012108</c:v>
                </c:pt>
                <c:pt idx="415">
                  <c:v>0.16008975919012108</c:v>
                </c:pt>
                <c:pt idx="416">
                  <c:v>0.16008975919012108</c:v>
                </c:pt>
                <c:pt idx="417">
                  <c:v>0.16008975919012108</c:v>
                </c:pt>
                <c:pt idx="418">
                  <c:v>0.16008975919012108</c:v>
                </c:pt>
                <c:pt idx="419">
                  <c:v>0.16008975919012108</c:v>
                </c:pt>
                <c:pt idx="420">
                  <c:v>0.16008975919012108</c:v>
                </c:pt>
                <c:pt idx="421">
                  <c:v>0.16008975919012108</c:v>
                </c:pt>
                <c:pt idx="422">
                  <c:v>0.16008975919012108</c:v>
                </c:pt>
                <c:pt idx="423">
                  <c:v>0.16008975919012108</c:v>
                </c:pt>
                <c:pt idx="424">
                  <c:v>0.16008975919012108</c:v>
                </c:pt>
                <c:pt idx="425">
                  <c:v>0.16008975919012108</c:v>
                </c:pt>
                <c:pt idx="426">
                  <c:v>0.16008975919012108</c:v>
                </c:pt>
                <c:pt idx="427">
                  <c:v>0.16008975919012108</c:v>
                </c:pt>
                <c:pt idx="428">
                  <c:v>0.16008975919012108</c:v>
                </c:pt>
                <c:pt idx="429">
                  <c:v>0.16008975919012108</c:v>
                </c:pt>
                <c:pt idx="430">
                  <c:v>0.16008975919012108</c:v>
                </c:pt>
                <c:pt idx="431">
                  <c:v>0.16008975919012108</c:v>
                </c:pt>
                <c:pt idx="432">
                  <c:v>0.16008975919012108</c:v>
                </c:pt>
                <c:pt idx="433">
                  <c:v>0.16008975919012108</c:v>
                </c:pt>
                <c:pt idx="434">
                  <c:v>0.16008975919012108</c:v>
                </c:pt>
                <c:pt idx="435">
                  <c:v>0.16008975919012108</c:v>
                </c:pt>
                <c:pt idx="436">
                  <c:v>0.16008975919012108</c:v>
                </c:pt>
                <c:pt idx="437">
                  <c:v>0.16008975919012108</c:v>
                </c:pt>
                <c:pt idx="438">
                  <c:v>0.16008975919012108</c:v>
                </c:pt>
                <c:pt idx="439">
                  <c:v>0.16008975919012108</c:v>
                </c:pt>
                <c:pt idx="440">
                  <c:v>0.16008975919012108</c:v>
                </c:pt>
                <c:pt idx="441">
                  <c:v>0.16008975919012108</c:v>
                </c:pt>
                <c:pt idx="442">
                  <c:v>0.16008975919012108</c:v>
                </c:pt>
                <c:pt idx="443">
                  <c:v>0.16008975919012108</c:v>
                </c:pt>
                <c:pt idx="444">
                  <c:v>0.16008975919012108</c:v>
                </c:pt>
                <c:pt idx="445">
                  <c:v>0.16008975919012108</c:v>
                </c:pt>
                <c:pt idx="446">
                  <c:v>0.16008975919012108</c:v>
                </c:pt>
                <c:pt idx="447">
                  <c:v>0.16008975919012108</c:v>
                </c:pt>
                <c:pt idx="448">
                  <c:v>0.16008975919012108</c:v>
                </c:pt>
                <c:pt idx="449">
                  <c:v>0.16008975919012108</c:v>
                </c:pt>
                <c:pt idx="450">
                  <c:v>0.16008975919012108</c:v>
                </c:pt>
                <c:pt idx="451">
                  <c:v>0.16008975919012108</c:v>
                </c:pt>
                <c:pt idx="452">
                  <c:v>0.16008975919012108</c:v>
                </c:pt>
                <c:pt idx="453">
                  <c:v>0.16008975919012108</c:v>
                </c:pt>
                <c:pt idx="454">
                  <c:v>0.16008975919012108</c:v>
                </c:pt>
                <c:pt idx="455">
                  <c:v>0.16008975919012108</c:v>
                </c:pt>
                <c:pt idx="456">
                  <c:v>0.16008975919012108</c:v>
                </c:pt>
                <c:pt idx="457">
                  <c:v>0.16008975919012108</c:v>
                </c:pt>
                <c:pt idx="458">
                  <c:v>0.16008975919012108</c:v>
                </c:pt>
                <c:pt idx="459">
                  <c:v>0.16008975919012108</c:v>
                </c:pt>
                <c:pt idx="460">
                  <c:v>0.16008975919012108</c:v>
                </c:pt>
                <c:pt idx="461">
                  <c:v>0.16008975919012108</c:v>
                </c:pt>
                <c:pt idx="462">
                  <c:v>0.16008975919012108</c:v>
                </c:pt>
                <c:pt idx="463">
                  <c:v>0.16008975919012108</c:v>
                </c:pt>
                <c:pt idx="464">
                  <c:v>0.16008975919012108</c:v>
                </c:pt>
                <c:pt idx="465">
                  <c:v>0.16008975919012108</c:v>
                </c:pt>
                <c:pt idx="466">
                  <c:v>0.16008975919012108</c:v>
                </c:pt>
                <c:pt idx="467">
                  <c:v>0.16008975919012108</c:v>
                </c:pt>
                <c:pt idx="468">
                  <c:v>0.16008975919012108</c:v>
                </c:pt>
                <c:pt idx="469">
                  <c:v>0.16008975919012108</c:v>
                </c:pt>
                <c:pt idx="470">
                  <c:v>0.16008975919012108</c:v>
                </c:pt>
                <c:pt idx="471">
                  <c:v>0.16008975919012108</c:v>
                </c:pt>
                <c:pt idx="472">
                  <c:v>0.16008975919012108</c:v>
                </c:pt>
                <c:pt idx="473">
                  <c:v>0.16008975919012108</c:v>
                </c:pt>
                <c:pt idx="474">
                  <c:v>0.16008975919012108</c:v>
                </c:pt>
                <c:pt idx="475">
                  <c:v>0.16008975919012108</c:v>
                </c:pt>
                <c:pt idx="476">
                  <c:v>0.16008975919012108</c:v>
                </c:pt>
                <c:pt idx="477">
                  <c:v>0.16008975919012108</c:v>
                </c:pt>
                <c:pt idx="478">
                  <c:v>0.16008975919012108</c:v>
                </c:pt>
                <c:pt idx="479">
                  <c:v>0.16008975919012108</c:v>
                </c:pt>
                <c:pt idx="480">
                  <c:v>0.16008975919012108</c:v>
                </c:pt>
                <c:pt idx="481">
                  <c:v>0.16008975919012108</c:v>
                </c:pt>
                <c:pt idx="482">
                  <c:v>0.16008975919012108</c:v>
                </c:pt>
                <c:pt idx="483">
                  <c:v>0.16008975919012108</c:v>
                </c:pt>
                <c:pt idx="484">
                  <c:v>0.16008975919012108</c:v>
                </c:pt>
                <c:pt idx="485">
                  <c:v>0.16008975919012108</c:v>
                </c:pt>
                <c:pt idx="486">
                  <c:v>0.16008975919012108</c:v>
                </c:pt>
                <c:pt idx="487">
                  <c:v>0.16008975919012108</c:v>
                </c:pt>
                <c:pt idx="488">
                  <c:v>0.16008975919012108</c:v>
                </c:pt>
                <c:pt idx="489">
                  <c:v>0.16008975919012108</c:v>
                </c:pt>
                <c:pt idx="490">
                  <c:v>0.16008975919012108</c:v>
                </c:pt>
                <c:pt idx="491">
                  <c:v>0.16008975919012108</c:v>
                </c:pt>
                <c:pt idx="492">
                  <c:v>0.16008975919012108</c:v>
                </c:pt>
                <c:pt idx="493">
                  <c:v>0.16008975919012108</c:v>
                </c:pt>
                <c:pt idx="494">
                  <c:v>0.16008975919012108</c:v>
                </c:pt>
                <c:pt idx="495">
                  <c:v>0.16008975919012108</c:v>
                </c:pt>
                <c:pt idx="496">
                  <c:v>0.16008975919012108</c:v>
                </c:pt>
                <c:pt idx="497">
                  <c:v>0.16008975919012108</c:v>
                </c:pt>
                <c:pt idx="498">
                  <c:v>0.16008975919012108</c:v>
                </c:pt>
                <c:pt idx="499">
                  <c:v>0.16008975919012108</c:v>
                </c:pt>
                <c:pt idx="500">
                  <c:v>0.16008975919012108</c:v>
                </c:pt>
                <c:pt idx="501">
                  <c:v>0.16008975919012108</c:v>
                </c:pt>
                <c:pt idx="502">
                  <c:v>0.16008975919012108</c:v>
                </c:pt>
                <c:pt idx="503">
                  <c:v>0.16008975919012108</c:v>
                </c:pt>
                <c:pt idx="504">
                  <c:v>0.16008975919012108</c:v>
                </c:pt>
                <c:pt idx="505">
                  <c:v>0.16008975919012108</c:v>
                </c:pt>
                <c:pt idx="506">
                  <c:v>0.16008975919012108</c:v>
                </c:pt>
                <c:pt idx="507">
                  <c:v>0.16008975919012108</c:v>
                </c:pt>
                <c:pt idx="508">
                  <c:v>0.16008975919012108</c:v>
                </c:pt>
                <c:pt idx="509">
                  <c:v>0.16008975919012108</c:v>
                </c:pt>
                <c:pt idx="510">
                  <c:v>0.16008975919012108</c:v>
                </c:pt>
                <c:pt idx="511">
                  <c:v>0.16008975919012108</c:v>
                </c:pt>
                <c:pt idx="512">
                  <c:v>0.16008975919012108</c:v>
                </c:pt>
                <c:pt idx="513">
                  <c:v>0.16008975919012108</c:v>
                </c:pt>
                <c:pt idx="514">
                  <c:v>0.16008975919012108</c:v>
                </c:pt>
                <c:pt idx="515">
                  <c:v>0.16008975919012108</c:v>
                </c:pt>
                <c:pt idx="516">
                  <c:v>0.16008975919012108</c:v>
                </c:pt>
                <c:pt idx="517">
                  <c:v>0.16008975919012108</c:v>
                </c:pt>
                <c:pt idx="518">
                  <c:v>0.16008975919012108</c:v>
                </c:pt>
                <c:pt idx="519">
                  <c:v>0.16008975919012108</c:v>
                </c:pt>
                <c:pt idx="520">
                  <c:v>0.16008975919012108</c:v>
                </c:pt>
                <c:pt idx="521">
                  <c:v>0.16008975919012108</c:v>
                </c:pt>
                <c:pt idx="522">
                  <c:v>0.16008975919012108</c:v>
                </c:pt>
                <c:pt idx="523">
                  <c:v>0.16008975919012108</c:v>
                </c:pt>
                <c:pt idx="524">
                  <c:v>0.16008975919012108</c:v>
                </c:pt>
                <c:pt idx="525">
                  <c:v>0.16008975919012108</c:v>
                </c:pt>
                <c:pt idx="526">
                  <c:v>0.16008975919012108</c:v>
                </c:pt>
                <c:pt idx="527">
                  <c:v>0.16008975919012108</c:v>
                </c:pt>
                <c:pt idx="528">
                  <c:v>0.16008975919012108</c:v>
                </c:pt>
                <c:pt idx="529">
                  <c:v>0.16008975919012108</c:v>
                </c:pt>
                <c:pt idx="530">
                  <c:v>0.16008975919012108</c:v>
                </c:pt>
                <c:pt idx="531">
                  <c:v>0.16008975919012108</c:v>
                </c:pt>
                <c:pt idx="532">
                  <c:v>0.16008975919012108</c:v>
                </c:pt>
                <c:pt idx="533">
                  <c:v>0.16008975919012108</c:v>
                </c:pt>
                <c:pt idx="534">
                  <c:v>0.16008975919012108</c:v>
                </c:pt>
                <c:pt idx="535">
                  <c:v>0.16008975919012108</c:v>
                </c:pt>
                <c:pt idx="536">
                  <c:v>0.16008975919012108</c:v>
                </c:pt>
                <c:pt idx="537">
                  <c:v>0.16008975919012108</c:v>
                </c:pt>
                <c:pt idx="538">
                  <c:v>0.16008975919012108</c:v>
                </c:pt>
                <c:pt idx="539">
                  <c:v>0.16008975919012108</c:v>
                </c:pt>
                <c:pt idx="540">
                  <c:v>0.16008975919012108</c:v>
                </c:pt>
              </c:numCache>
            </c:numRef>
          </c:yVal>
          <c:smooth val="0"/>
        </c:ser>
        <c:dLbls>
          <c:showLegendKey val="0"/>
          <c:showVal val="0"/>
          <c:showCatName val="0"/>
          <c:showSerName val="0"/>
          <c:showPercent val="0"/>
          <c:showBubbleSize val="0"/>
        </c:dLbls>
        <c:axId val="173403136"/>
        <c:axId val="173405312"/>
      </c:scatterChart>
      <c:valAx>
        <c:axId val="173403136"/>
        <c:scaling>
          <c:orientation val="minMax"/>
        </c:scaling>
        <c:delete val="0"/>
        <c:axPos val="b"/>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a:t>V</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405312"/>
        <c:crosses val="autoZero"/>
        <c:crossBetween val="midCat"/>
      </c:valAx>
      <c:valAx>
        <c:axId val="17340531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3403136"/>
        <c:crosses val="autoZero"/>
        <c:crossBetween val="midCat"/>
        <c:minorUnit val="0.01"/>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GB"/>
              <a:t>Coil Maximum Peak Current</a:t>
            </a:r>
            <a:r>
              <a:rPr lang="en-GB" baseline="0"/>
              <a:t> </a:t>
            </a:r>
            <a:r>
              <a:rPr lang="en-GB"/>
              <a:t>vs Vin</a:t>
            </a:r>
          </a:p>
        </c:rich>
      </c:tx>
      <c:layout>
        <c:manualLayout>
          <c:xMode val="edge"/>
          <c:yMode val="edge"/>
          <c:x val="0.18205164676996022"/>
          <c:y val="4.9328379407119566E-2"/>
        </c:manualLayout>
      </c:layout>
      <c:overlay val="0"/>
      <c:spPr>
        <a:noFill/>
        <a:ln w="25400">
          <a:noFill/>
        </a:ln>
      </c:spPr>
    </c:title>
    <c:autoTitleDeleted val="0"/>
    <c:plotArea>
      <c:layout>
        <c:manualLayout>
          <c:layoutTarget val="inner"/>
          <c:xMode val="edge"/>
          <c:yMode val="edge"/>
          <c:x val="0.15073529411764705"/>
          <c:y val="0.20765138133635019"/>
          <c:w val="0.76838235294117652"/>
          <c:h val="0.63934767411455196"/>
        </c:manualLayout>
      </c:layout>
      <c:scatterChart>
        <c:scatterStyle val="lineMarker"/>
        <c:varyColors val="0"/>
        <c:ser>
          <c:idx val="0"/>
          <c:order val="0"/>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Calculator!$AQ$120:$AQ$660</c:f>
              <c:numCache>
                <c:formatCode>0.000</c:formatCode>
                <c:ptCount val="541"/>
                <c:pt idx="0">
                  <c:v>0.92505486757796573</c:v>
                </c:pt>
                <c:pt idx="1">
                  <c:v>0.91492075583428634</c:v>
                </c:pt>
                <c:pt idx="2">
                  <c:v>0.90504380830056874</c:v>
                </c:pt>
                <c:pt idx="3">
                  <c:v>0.8954133409125854</c:v>
                </c:pt>
                <c:pt idx="4">
                  <c:v>0.88601922460606775</c:v>
                </c:pt>
                <c:pt idx="5">
                  <c:v>0.87685184932024496</c:v>
                </c:pt>
                <c:pt idx="6">
                  <c:v>0.86790209079387159</c:v>
                </c:pt>
                <c:pt idx="7">
                  <c:v>0.85916127990228897</c:v>
                </c:pt>
                <c:pt idx="8">
                  <c:v>0.85062117430977513</c:v>
                </c:pt>
                <c:pt idx="9">
                  <c:v>0.84227393223421065</c:v>
                </c:pt>
                <c:pt idx="10">
                  <c:v>0.83411208814128968</c:v>
                </c:pt>
                <c:pt idx="11">
                  <c:v>0.82612853020348065</c:v>
                </c:pt>
                <c:pt idx="12">
                  <c:v>0.81831647937491603</c:v>
                </c:pt>
                <c:pt idx="13">
                  <c:v>0.81066946994765543</c:v>
                </c:pt>
                <c:pt idx="14">
                  <c:v>0.80318133146750148</c:v>
                </c:pt>
                <c:pt idx="15">
                  <c:v>0.79584617189892515</c:v>
                </c:pt>
                <c:pt idx="16">
                  <c:v>0.78865836193885852</c:v>
                </c:pt>
                <c:pt idx="17">
                  <c:v>0.78161252038825779</c:v>
                </c:pt>
                <c:pt idx="18">
                  <c:v>0.77470350049854919</c:v>
                </c:pt>
                <c:pt idx="19">
                  <c:v>0.76792637721745338</c:v>
                </c:pt>
                <c:pt idx="20">
                  <c:v>0.76127643526533961</c:v>
                </c:pt>
                <c:pt idx="21">
                  <c:v>0.75474915797924758</c:v>
                </c:pt>
                <c:pt idx="22">
                  <c:v>0.74834021686712826</c:v>
                </c:pt>
                <c:pt idx="23">
                  <c:v>0.7420454618197474</c:v>
                </c:pt>
                <c:pt idx="24">
                  <c:v>0.73586091193211511</c:v>
                </c:pt>
                <c:pt idx="25">
                  <c:v>0.72978274689031453</c:v>
                </c:pt>
                <c:pt idx="26">
                  <c:v>0.72380729888324036</c:v>
                </c:pt>
                <c:pt idx="27">
                  <c:v>0.7179310450020493</c:v>
                </c:pt>
                <c:pt idx="28">
                  <c:v>0.71215060009313236</c:v>
                </c:pt>
                <c:pt idx="29">
                  <c:v>0.70646271003313932</c:v>
                </c:pt>
                <c:pt idx="30">
                  <c:v>0.70086424539707548</c:v>
                </c:pt>
                <c:pt idx="31">
                  <c:v>0.6953521954927524</c:v>
                </c:pt>
                <c:pt idx="32">
                  <c:v>0.68992366273694361</c:v>
                </c:pt>
                <c:pt idx="33">
                  <c:v>0.68457585735048054</c:v>
                </c:pt>
                <c:pt idx="34">
                  <c:v>0.67930609235125505</c:v>
                </c:pt>
                <c:pt idx="35">
                  <c:v>0.67411177882566842</c:v>
                </c:pt>
                <c:pt idx="36">
                  <c:v>0.66899042146052035</c:v>
                </c:pt>
                <c:pt idx="37">
                  <c:v>0.66393961431864934</c:v>
                </c:pt>
                <c:pt idx="38">
                  <c:v>0.65895703684285856</c:v>
                </c:pt>
                <c:pt idx="39">
                  <c:v>0.65404045007377976</c:v>
                </c:pt>
                <c:pt idx="40">
                  <c:v>0.64918769306835</c:v>
                </c:pt>
                <c:pt idx="41">
                  <c:v>0.64439667950652135</c:v>
                </c:pt>
                <c:pt idx="42">
                  <c:v>0.63966539447469928</c:v>
                </c:pt>
                <c:pt idx="43">
                  <c:v>0.63499189141520007</c:v>
                </c:pt>
                <c:pt idx="44">
                  <c:v>0.63037428923175787</c:v>
                </c:pt>
                <c:pt idx="45">
                  <c:v>0.62581076954179682</c:v>
                </c:pt>
                <c:pt idx="46">
                  <c:v>0.62129957406680925</c:v>
                </c:pt>
                <c:pt idx="47">
                  <c:v>0.61683900215276455</c:v>
                </c:pt>
                <c:pt idx="48">
                  <c:v>0.61242740841301069</c:v>
                </c:pt>
                <c:pt idx="49">
                  <c:v>0.60806320048662843</c:v>
                </c:pt>
                <c:pt idx="50">
                  <c:v>0.60374483690565928</c:v>
                </c:pt>
                <c:pt idx="51">
                  <c:v>0.59947082506505256</c:v>
                </c:pt>
                <c:pt idx="52">
                  <c:v>0.59523971928957908</c:v>
                </c:pt>
                <c:pt idx="53">
                  <c:v>0.59105011899231952</c:v>
                </c:pt>
                <c:pt idx="54">
                  <c:v>0.58690066691968101</c:v>
                </c:pt>
                <c:pt idx="55">
                  <c:v>0.58279004747821117</c:v>
                </c:pt>
                <c:pt idx="56">
                  <c:v>0.57871698513877379</c:v>
                </c:pt>
                <c:pt idx="57">
                  <c:v>0.57468024291392372</c:v>
                </c:pt>
                <c:pt idx="58">
                  <c:v>0.57067862090457366</c:v>
                </c:pt>
                <c:pt idx="59">
                  <c:v>0.56671095491228507</c:v>
                </c:pt>
                <c:pt idx="60">
                  <c:v>0.56277611511373293</c:v>
                </c:pt>
                <c:pt idx="61">
                  <c:v>0.55887300479410562</c:v>
                </c:pt>
                <c:pt idx="62">
                  <c:v>0.55500055913638813</c:v>
                </c:pt>
                <c:pt idx="63">
                  <c:v>0.55115774406366114</c:v>
                </c:pt>
                <c:pt idx="64">
                  <c:v>0.54734355513171451</c:v>
                </c:pt>
                <c:pt idx="65">
                  <c:v>0.54355701646942878</c:v>
                </c:pt>
                <c:pt idx="66">
                  <c:v>0.53979717976452979</c:v>
                </c:pt>
                <c:pt idx="67">
                  <c:v>0.53606312329245254</c:v>
                </c:pt>
                <c:pt idx="68">
                  <c:v>0.53235395098618388</c:v>
                </c:pt>
                <c:pt idx="69">
                  <c:v>0.5286687915450714</c:v>
                </c:pt>
                <c:pt idx="70">
                  <c:v>0.52500679758069835</c:v>
                </c:pt>
                <c:pt idx="71">
                  <c:v>0.52136714479803103</c:v>
                </c:pt>
                <c:pt idx="72">
                  <c:v>0.51774903121014315</c:v>
                </c:pt>
                <c:pt idx="73">
                  <c:v>0.51415167638491532</c:v>
                </c:pt>
                <c:pt idx="74">
                  <c:v>0.510574320722194</c:v>
                </c:pt>
                <c:pt idx="75">
                  <c:v>0.50701622475997699</c:v>
                </c:pt>
                <c:pt idx="76">
                  <c:v>0.50347666850826889</c:v>
                </c:pt>
                <c:pt idx="77">
                  <c:v>0.49995495080932129</c:v>
                </c:pt>
                <c:pt idx="78">
                  <c:v>0.4964503887230442</c:v>
                </c:pt>
                <c:pt idx="79">
                  <c:v>0.492962316936432</c:v>
                </c:pt>
                <c:pt idx="80">
                  <c:v>0.48949008719591625</c:v>
                </c:pt>
                <c:pt idx="81">
                  <c:v>0.48603306776160604</c:v>
                </c:pt>
                <c:pt idx="82">
                  <c:v>0.48259064288243581</c:v>
                </c:pt>
                <c:pt idx="83">
                  <c:v>0.47916221229128719</c:v>
                </c:pt>
                <c:pt idx="84">
                  <c:v>0.47574719071920157</c:v>
                </c:pt>
                <c:pt idx="85">
                  <c:v>0.4723450074278408</c:v>
                </c:pt>
                <c:pt idx="86">
                  <c:v>0.46895510575940236</c:v>
                </c:pt>
                <c:pt idx="87">
                  <c:v>0.46557694270322558</c:v>
                </c:pt>
                <c:pt idx="88">
                  <c:v>0.46220998847837258</c:v>
                </c:pt>
                <c:pt idx="89">
                  <c:v>0.45885372613149689</c:v>
                </c:pt>
                <c:pt idx="90">
                  <c:v>0.45550765114934755</c:v>
                </c:pt>
                <c:pt idx="91">
                  <c:v>0.45217127108529076</c:v>
                </c:pt>
                <c:pt idx="92">
                  <c:v>0.44884410519925644</c:v>
                </c:pt>
                <c:pt idx="93">
                  <c:v>0.44552568411055005</c:v>
                </c:pt>
                <c:pt idx="94">
                  <c:v>0.44221554946299357</c:v>
                </c:pt>
                <c:pt idx="95">
                  <c:v>0.43891325360188638</c:v>
                </c:pt>
                <c:pt idx="96">
                  <c:v>0.43561835926230041</c:v>
                </c:pt>
                <c:pt idx="97">
                  <c:v>0.4323304392682466</c:v>
                </c:pt>
                <c:pt idx="98">
                  <c:v>0.42904907624227184</c:v>
                </c:pt>
                <c:pt idx="99">
                  <c:v>0.42577386232506453</c:v>
                </c:pt>
                <c:pt idx="100">
                  <c:v>0.42250439890466829</c:v>
                </c:pt>
                <c:pt idx="101">
                  <c:v>0.42250439890466829</c:v>
                </c:pt>
                <c:pt idx="102">
                  <c:v>0.42250439890466829</c:v>
                </c:pt>
                <c:pt idx="103">
                  <c:v>0.42250439890466829</c:v>
                </c:pt>
                <c:pt idx="104">
                  <c:v>0.42250439890466829</c:v>
                </c:pt>
                <c:pt idx="105">
                  <c:v>0.42250439890466829</c:v>
                </c:pt>
                <c:pt idx="106">
                  <c:v>0.42250439890466829</c:v>
                </c:pt>
                <c:pt idx="107">
                  <c:v>0.42250439890466829</c:v>
                </c:pt>
                <c:pt idx="108">
                  <c:v>0.42250439890466829</c:v>
                </c:pt>
                <c:pt idx="109">
                  <c:v>0.42250439890466829</c:v>
                </c:pt>
                <c:pt idx="110">
                  <c:v>0.42250439890466829</c:v>
                </c:pt>
                <c:pt idx="111">
                  <c:v>0.42250439890466829</c:v>
                </c:pt>
                <c:pt idx="112">
                  <c:v>0.42250439890466829</c:v>
                </c:pt>
                <c:pt idx="113">
                  <c:v>0.42250439890466829</c:v>
                </c:pt>
                <c:pt idx="114">
                  <c:v>0.42250439890466829</c:v>
                </c:pt>
                <c:pt idx="115">
                  <c:v>0.42250439890466829</c:v>
                </c:pt>
                <c:pt idx="116">
                  <c:v>0.42250439890466829</c:v>
                </c:pt>
                <c:pt idx="117">
                  <c:v>0.42250439890466829</c:v>
                </c:pt>
                <c:pt idx="118">
                  <c:v>0.42250439890466829</c:v>
                </c:pt>
                <c:pt idx="119">
                  <c:v>0.42250439890466829</c:v>
                </c:pt>
                <c:pt idx="120">
                  <c:v>0.42250439890466829</c:v>
                </c:pt>
                <c:pt idx="121">
                  <c:v>0.42250439890466829</c:v>
                </c:pt>
                <c:pt idx="122">
                  <c:v>0.42250439890466829</c:v>
                </c:pt>
                <c:pt idx="123">
                  <c:v>0.42250439890466829</c:v>
                </c:pt>
                <c:pt idx="124">
                  <c:v>0.42250439890466829</c:v>
                </c:pt>
                <c:pt idx="125">
                  <c:v>0.42250439890466829</c:v>
                </c:pt>
                <c:pt idx="126">
                  <c:v>0.42250439890466829</c:v>
                </c:pt>
                <c:pt idx="127">
                  <c:v>0.42250439890466829</c:v>
                </c:pt>
                <c:pt idx="128">
                  <c:v>0.42250439890466829</c:v>
                </c:pt>
                <c:pt idx="129">
                  <c:v>0.42250439890466829</c:v>
                </c:pt>
                <c:pt idx="130">
                  <c:v>0.42250439890466829</c:v>
                </c:pt>
                <c:pt idx="131">
                  <c:v>0.42250439890466829</c:v>
                </c:pt>
                <c:pt idx="132">
                  <c:v>0.42250439890466829</c:v>
                </c:pt>
                <c:pt idx="133">
                  <c:v>0.42250439890466829</c:v>
                </c:pt>
                <c:pt idx="134">
                  <c:v>0.42250439890466829</c:v>
                </c:pt>
                <c:pt idx="135">
                  <c:v>0.42250439890466829</c:v>
                </c:pt>
                <c:pt idx="136">
                  <c:v>0.42250439890466829</c:v>
                </c:pt>
                <c:pt idx="137">
                  <c:v>0.42250439890466829</c:v>
                </c:pt>
                <c:pt idx="138">
                  <c:v>0.42250439890466829</c:v>
                </c:pt>
                <c:pt idx="139">
                  <c:v>0.42250439890466829</c:v>
                </c:pt>
                <c:pt idx="140">
                  <c:v>0.42250439890466829</c:v>
                </c:pt>
                <c:pt idx="141">
                  <c:v>0.42250439890466829</c:v>
                </c:pt>
                <c:pt idx="142">
                  <c:v>0.42250439890466829</c:v>
                </c:pt>
                <c:pt idx="143">
                  <c:v>0.42250439890466829</c:v>
                </c:pt>
                <c:pt idx="144">
                  <c:v>0.42250439890466829</c:v>
                </c:pt>
                <c:pt idx="145">
                  <c:v>0.42250439890466829</c:v>
                </c:pt>
                <c:pt idx="146">
                  <c:v>0.42250439890466829</c:v>
                </c:pt>
                <c:pt idx="147">
                  <c:v>0.42250439890466829</c:v>
                </c:pt>
                <c:pt idx="148">
                  <c:v>0.42250439890466829</c:v>
                </c:pt>
                <c:pt idx="149">
                  <c:v>0.42250439890466829</c:v>
                </c:pt>
                <c:pt idx="150">
                  <c:v>0.42250439890466829</c:v>
                </c:pt>
                <c:pt idx="151">
                  <c:v>0.42250439890466829</c:v>
                </c:pt>
                <c:pt idx="152">
                  <c:v>0.42250439890466829</c:v>
                </c:pt>
                <c:pt idx="153">
                  <c:v>0.42250439890466829</c:v>
                </c:pt>
                <c:pt idx="154">
                  <c:v>0.42250439890466829</c:v>
                </c:pt>
                <c:pt idx="155">
                  <c:v>0.42250439890466829</c:v>
                </c:pt>
                <c:pt idx="156">
                  <c:v>0.42250439890466829</c:v>
                </c:pt>
                <c:pt idx="157">
                  <c:v>0.42250439890466829</c:v>
                </c:pt>
                <c:pt idx="158">
                  <c:v>0.42250439890466829</c:v>
                </c:pt>
                <c:pt idx="159">
                  <c:v>0.42250439890466829</c:v>
                </c:pt>
                <c:pt idx="160">
                  <c:v>0.42250439890466829</c:v>
                </c:pt>
                <c:pt idx="161">
                  <c:v>0.42250439890466829</c:v>
                </c:pt>
                <c:pt idx="162">
                  <c:v>0.42250439890466829</c:v>
                </c:pt>
                <c:pt idx="163">
                  <c:v>0.42250439890466829</c:v>
                </c:pt>
                <c:pt idx="164">
                  <c:v>0.42250439890466829</c:v>
                </c:pt>
                <c:pt idx="165">
                  <c:v>0.42250439890466829</c:v>
                </c:pt>
                <c:pt idx="166">
                  <c:v>0.42250439890466829</c:v>
                </c:pt>
                <c:pt idx="167">
                  <c:v>0.42250439890466829</c:v>
                </c:pt>
                <c:pt idx="168">
                  <c:v>0.42250439890466829</c:v>
                </c:pt>
                <c:pt idx="169">
                  <c:v>0.42250439890466829</c:v>
                </c:pt>
                <c:pt idx="170">
                  <c:v>0.42250439890466829</c:v>
                </c:pt>
                <c:pt idx="171">
                  <c:v>0.42250439890466829</c:v>
                </c:pt>
                <c:pt idx="172">
                  <c:v>0.42250439890466829</c:v>
                </c:pt>
                <c:pt idx="173">
                  <c:v>0.42250439890466829</c:v>
                </c:pt>
                <c:pt idx="174">
                  <c:v>0.42250439890466829</c:v>
                </c:pt>
                <c:pt idx="175">
                  <c:v>0.42250439890466829</c:v>
                </c:pt>
                <c:pt idx="176">
                  <c:v>0.42250439890466829</c:v>
                </c:pt>
                <c:pt idx="177">
                  <c:v>0.42250439890466829</c:v>
                </c:pt>
                <c:pt idx="178">
                  <c:v>0.42250439890466829</c:v>
                </c:pt>
                <c:pt idx="179">
                  <c:v>0.42250439890466829</c:v>
                </c:pt>
                <c:pt idx="180">
                  <c:v>0.42250439890466829</c:v>
                </c:pt>
                <c:pt idx="181">
                  <c:v>0.42250439890466829</c:v>
                </c:pt>
                <c:pt idx="182">
                  <c:v>0.42250439890466829</c:v>
                </c:pt>
                <c:pt idx="183">
                  <c:v>0.42250439890466829</c:v>
                </c:pt>
                <c:pt idx="184">
                  <c:v>0.42250439890466829</c:v>
                </c:pt>
                <c:pt idx="185">
                  <c:v>0.42250439890466829</c:v>
                </c:pt>
                <c:pt idx="186">
                  <c:v>0.42250439890466829</c:v>
                </c:pt>
                <c:pt idx="187">
                  <c:v>0.42250439890466829</c:v>
                </c:pt>
                <c:pt idx="188">
                  <c:v>0.42250439890466829</c:v>
                </c:pt>
                <c:pt idx="189">
                  <c:v>0.42250439890466829</c:v>
                </c:pt>
                <c:pt idx="190">
                  <c:v>0.42250439890466829</c:v>
                </c:pt>
                <c:pt idx="191">
                  <c:v>0.42250439890466829</c:v>
                </c:pt>
                <c:pt idx="192">
                  <c:v>0.42250439890466829</c:v>
                </c:pt>
                <c:pt idx="193">
                  <c:v>0.42250439890466829</c:v>
                </c:pt>
                <c:pt idx="194">
                  <c:v>0.42250439890466829</c:v>
                </c:pt>
                <c:pt idx="195">
                  <c:v>0.42250439890466829</c:v>
                </c:pt>
                <c:pt idx="196">
                  <c:v>0.42250439890466829</c:v>
                </c:pt>
                <c:pt idx="197">
                  <c:v>0.42250439890466829</c:v>
                </c:pt>
                <c:pt idx="198">
                  <c:v>0.42250439890466829</c:v>
                </c:pt>
                <c:pt idx="199">
                  <c:v>0.42250439890466829</c:v>
                </c:pt>
                <c:pt idx="200">
                  <c:v>0.42250439890466829</c:v>
                </c:pt>
                <c:pt idx="201">
                  <c:v>0.42250439890466829</c:v>
                </c:pt>
                <c:pt idx="202">
                  <c:v>0.42250439890466829</c:v>
                </c:pt>
                <c:pt idx="203">
                  <c:v>0.42250439890466829</c:v>
                </c:pt>
                <c:pt idx="204">
                  <c:v>0.42250439890466829</c:v>
                </c:pt>
                <c:pt idx="205">
                  <c:v>0.42250439890466829</c:v>
                </c:pt>
                <c:pt idx="206">
                  <c:v>0.42250439890466829</c:v>
                </c:pt>
                <c:pt idx="207">
                  <c:v>0.42250439890466829</c:v>
                </c:pt>
                <c:pt idx="208">
                  <c:v>0.42250439890466829</c:v>
                </c:pt>
                <c:pt idx="209">
                  <c:v>0.42250439890466829</c:v>
                </c:pt>
                <c:pt idx="210">
                  <c:v>0.42250439890466829</c:v>
                </c:pt>
                <c:pt idx="211">
                  <c:v>0.42250439890466829</c:v>
                </c:pt>
                <c:pt idx="212">
                  <c:v>0.42250439890466829</c:v>
                </c:pt>
                <c:pt idx="213">
                  <c:v>0.42250439890466829</c:v>
                </c:pt>
                <c:pt idx="214">
                  <c:v>0.42250439890466829</c:v>
                </c:pt>
                <c:pt idx="215">
                  <c:v>0.42250439890466829</c:v>
                </c:pt>
                <c:pt idx="216">
                  <c:v>0.42250439890466829</c:v>
                </c:pt>
                <c:pt idx="217">
                  <c:v>0.42250439890466829</c:v>
                </c:pt>
                <c:pt idx="218">
                  <c:v>0.42250439890466829</c:v>
                </c:pt>
                <c:pt idx="219">
                  <c:v>0.42250439890466829</c:v>
                </c:pt>
                <c:pt idx="220">
                  <c:v>0.42250439890466829</c:v>
                </c:pt>
                <c:pt idx="221">
                  <c:v>0.42250439890466829</c:v>
                </c:pt>
                <c:pt idx="222">
                  <c:v>0.42250439890466829</c:v>
                </c:pt>
                <c:pt idx="223">
                  <c:v>0.42250439890466829</c:v>
                </c:pt>
                <c:pt idx="224">
                  <c:v>0.42250439890466829</c:v>
                </c:pt>
                <c:pt idx="225">
                  <c:v>0.42250439890466829</c:v>
                </c:pt>
                <c:pt idx="226">
                  <c:v>0.42250439890466829</c:v>
                </c:pt>
                <c:pt idx="227">
                  <c:v>0.42250439890466829</c:v>
                </c:pt>
                <c:pt idx="228">
                  <c:v>0.42250439890466829</c:v>
                </c:pt>
                <c:pt idx="229">
                  <c:v>0.42250439890466829</c:v>
                </c:pt>
                <c:pt idx="230">
                  <c:v>0.42250439890466829</c:v>
                </c:pt>
                <c:pt idx="231">
                  <c:v>0.42250439890466829</c:v>
                </c:pt>
                <c:pt idx="232">
                  <c:v>0.42250439890466829</c:v>
                </c:pt>
                <c:pt idx="233">
                  <c:v>0.42250439890466829</c:v>
                </c:pt>
                <c:pt idx="234">
                  <c:v>0.42250439890466829</c:v>
                </c:pt>
                <c:pt idx="235">
                  <c:v>0.42250439890466829</c:v>
                </c:pt>
                <c:pt idx="236">
                  <c:v>0.42250439890466829</c:v>
                </c:pt>
                <c:pt idx="237">
                  <c:v>0.42250439890466829</c:v>
                </c:pt>
                <c:pt idx="238">
                  <c:v>0.42250439890466829</c:v>
                </c:pt>
                <c:pt idx="239">
                  <c:v>0.42250439890466829</c:v>
                </c:pt>
                <c:pt idx="240">
                  <c:v>0.42250439890466829</c:v>
                </c:pt>
                <c:pt idx="241">
                  <c:v>0.42250439890466829</c:v>
                </c:pt>
                <c:pt idx="242">
                  <c:v>0.42250439890466829</c:v>
                </c:pt>
                <c:pt idx="243">
                  <c:v>0.42250439890466829</c:v>
                </c:pt>
                <c:pt idx="244">
                  <c:v>0.42250439890466829</c:v>
                </c:pt>
                <c:pt idx="245">
                  <c:v>0.42250439890466829</c:v>
                </c:pt>
                <c:pt idx="246">
                  <c:v>0.42250439890466829</c:v>
                </c:pt>
                <c:pt idx="247">
                  <c:v>0.42250439890466829</c:v>
                </c:pt>
                <c:pt idx="248">
                  <c:v>0.42250439890466829</c:v>
                </c:pt>
                <c:pt idx="249">
                  <c:v>0.42250439890466829</c:v>
                </c:pt>
                <c:pt idx="250">
                  <c:v>0.42250439890466829</c:v>
                </c:pt>
                <c:pt idx="251">
                  <c:v>0.42250439890466829</c:v>
                </c:pt>
                <c:pt idx="252">
                  <c:v>0.42250439890466829</c:v>
                </c:pt>
                <c:pt idx="253">
                  <c:v>0.42250439890466829</c:v>
                </c:pt>
                <c:pt idx="254">
                  <c:v>0.42250439890466829</c:v>
                </c:pt>
                <c:pt idx="255">
                  <c:v>0.42250439890466829</c:v>
                </c:pt>
                <c:pt idx="256">
                  <c:v>0.42250439890466829</c:v>
                </c:pt>
                <c:pt idx="257">
                  <c:v>0.42250439890466829</c:v>
                </c:pt>
                <c:pt idx="258">
                  <c:v>0.42250439890466829</c:v>
                </c:pt>
                <c:pt idx="259">
                  <c:v>0.42250439890466829</c:v>
                </c:pt>
                <c:pt idx="260">
                  <c:v>0.42250439890466829</c:v>
                </c:pt>
                <c:pt idx="261">
                  <c:v>0.42250439890466829</c:v>
                </c:pt>
                <c:pt idx="262">
                  <c:v>0.42250439890466829</c:v>
                </c:pt>
                <c:pt idx="263">
                  <c:v>0.42250439890466829</c:v>
                </c:pt>
                <c:pt idx="264">
                  <c:v>0.42250439890466829</c:v>
                </c:pt>
                <c:pt idx="265">
                  <c:v>0.42250439890466829</c:v>
                </c:pt>
                <c:pt idx="266">
                  <c:v>0.42250439890466829</c:v>
                </c:pt>
                <c:pt idx="267">
                  <c:v>0.42250439890466829</c:v>
                </c:pt>
                <c:pt idx="268">
                  <c:v>0.42250439890466829</c:v>
                </c:pt>
                <c:pt idx="269">
                  <c:v>0.42250439890466829</c:v>
                </c:pt>
                <c:pt idx="270">
                  <c:v>0.42250439890466829</c:v>
                </c:pt>
                <c:pt idx="271">
                  <c:v>0.42250439890466829</c:v>
                </c:pt>
                <c:pt idx="272">
                  <c:v>0.42250439890466829</c:v>
                </c:pt>
                <c:pt idx="273">
                  <c:v>0.42250439890466829</c:v>
                </c:pt>
                <c:pt idx="274">
                  <c:v>0.42250439890466829</c:v>
                </c:pt>
                <c:pt idx="275">
                  <c:v>0.42250439890466829</c:v>
                </c:pt>
                <c:pt idx="276">
                  <c:v>0.42250439890466829</c:v>
                </c:pt>
                <c:pt idx="277">
                  <c:v>0.42250439890466829</c:v>
                </c:pt>
                <c:pt idx="278">
                  <c:v>0.42250439890466829</c:v>
                </c:pt>
                <c:pt idx="279">
                  <c:v>0.42250439890466829</c:v>
                </c:pt>
                <c:pt idx="280">
                  <c:v>0.42250439890466829</c:v>
                </c:pt>
                <c:pt idx="281">
                  <c:v>0.42250439890466829</c:v>
                </c:pt>
                <c:pt idx="282">
                  <c:v>0.42250439890466829</c:v>
                </c:pt>
                <c:pt idx="283">
                  <c:v>0.42250439890466829</c:v>
                </c:pt>
                <c:pt idx="284">
                  <c:v>0.42250439890466829</c:v>
                </c:pt>
                <c:pt idx="285">
                  <c:v>0.42250439890466829</c:v>
                </c:pt>
                <c:pt idx="286">
                  <c:v>0.42250439890466829</c:v>
                </c:pt>
                <c:pt idx="287">
                  <c:v>0.42250439890466829</c:v>
                </c:pt>
                <c:pt idx="288">
                  <c:v>0.42250439890466829</c:v>
                </c:pt>
                <c:pt idx="289">
                  <c:v>0.42250439890466829</c:v>
                </c:pt>
                <c:pt idx="290">
                  <c:v>0.42250439890466829</c:v>
                </c:pt>
                <c:pt idx="291">
                  <c:v>0.42250439890466829</c:v>
                </c:pt>
                <c:pt idx="292">
                  <c:v>0.42250439890466829</c:v>
                </c:pt>
                <c:pt idx="293">
                  <c:v>0.42250439890466829</c:v>
                </c:pt>
                <c:pt idx="294">
                  <c:v>0.42250439890466829</c:v>
                </c:pt>
                <c:pt idx="295">
                  <c:v>0.42250439890466829</c:v>
                </c:pt>
                <c:pt idx="296">
                  <c:v>0.42250439890466829</c:v>
                </c:pt>
                <c:pt idx="297">
                  <c:v>0.42250439890466829</c:v>
                </c:pt>
                <c:pt idx="298">
                  <c:v>0.42250439890466829</c:v>
                </c:pt>
                <c:pt idx="299">
                  <c:v>0.42250439890466829</c:v>
                </c:pt>
                <c:pt idx="300">
                  <c:v>0.42250439890466829</c:v>
                </c:pt>
                <c:pt idx="301">
                  <c:v>0.42250439890466829</c:v>
                </c:pt>
                <c:pt idx="302">
                  <c:v>0.42250439890466829</c:v>
                </c:pt>
                <c:pt idx="303">
                  <c:v>0.42250439890466829</c:v>
                </c:pt>
                <c:pt idx="304">
                  <c:v>0.42250439890466829</c:v>
                </c:pt>
                <c:pt idx="305">
                  <c:v>0.42250439890466829</c:v>
                </c:pt>
                <c:pt idx="306">
                  <c:v>0.42250439890466829</c:v>
                </c:pt>
                <c:pt idx="307">
                  <c:v>0.42250439890466829</c:v>
                </c:pt>
                <c:pt idx="308">
                  <c:v>0.42250439890466829</c:v>
                </c:pt>
                <c:pt idx="309">
                  <c:v>0.42250439890466829</c:v>
                </c:pt>
                <c:pt idx="310">
                  <c:v>0.42250439890466829</c:v>
                </c:pt>
                <c:pt idx="311">
                  <c:v>0.42250439890466829</c:v>
                </c:pt>
                <c:pt idx="312">
                  <c:v>0.42250439890466829</c:v>
                </c:pt>
                <c:pt idx="313">
                  <c:v>0.42250439890466829</c:v>
                </c:pt>
                <c:pt idx="314">
                  <c:v>0.42250439890466829</c:v>
                </c:pt>
                <c:pt idx="315">
                  <c:v>0.42250439890466829</c:v>
                </c:pt>
                <c:pt idx="316">
                  <c:v>0.42250439890466829</c:v>
                </c:pt>
                <c:pt idx="317">
                  <c:v>0.42250439890466829</c:v>
                </c:pt>
                <c:pt idx="318">
                  <c:v>0.42250439890466829</c:v>
                </c:pt>
                <c:pt idx="319">
                  <c:v>0.42250439890466829</c:v>
                </c:pt>
                <c:pt idx="320">
                  <c:v>0.42250439890466829</c:v>
                </c:pt>
                <c:pt idx="321">
                  <c:v>0.42250439890466829</c:v>
                </c:pt>
                <c:pt idx="322">
                  <c:v>0.42250439890466829</c:v>
                </c:pt>
                <c:pt idx="323">
                  <c:v>0.42250439890466829</c:v>
                </c:pt>
                <c:pt idx="324">
                  <c:v>0.42250439890466829</c:v>
                </c:pt>
                <c:pt idx="325">
                  <c:v>0.42250439890466829</c:v>
                </c:pt>
                <c:pt idx="326">
                  <c:v>0.42250439890466829</c:v>
                </c:pt>
                <c:pt idx="327">
                  <c:v>0.42250439890466829</c:v>
                </c:pt>
                <c:pt idx="328">
                  <c:v>0.42250439890466829</c:v>
                </c:pt>
                <c:pt idx="329">
                  <c:v>0.42250439890466829</c:v>
                </c:pt>
                <c:pt idx="330">
                  <c:v>0.42250439890466829</c:v>
                </c:pt>
                <c:pt idx="331">
                  <c:v>0.42250439890466829</c:v>
                </c:pt>
                <c:pt idx="332">
                  <c:v>0.42250439890466829</c:v>
                </c:pt>
                <c:pt idx="333">
                  <c:v>0.42250439890466829</c:v>
                </c:pt>
                <c:pt idx="334">
                  <c:v>0.42250439890466829</c:v>
                </c:pt>
                <c:pt idx="335">
                  <c:v>0.42250439890466829</c:v>
                </c:pt>
                <c:pt idx="336">
                  <c:v>0.42250439890466829</c:v>
                </c:pt>
                <c:pt idx="337">
                  <c:v>0.42250439890466829</c:v>
                </c:pt>
                <c:pt idx="338">
                  <c:v>0.42250439890466829</c:v>
                </c:pt>
                <c:pt idx="339">
                  <c:v>0.42250439890466829</c:v>
                </c:pt>
                <c:pt idx="340">
                  <c:v>0.42250439890466829</c:v>
                </c:pt>
                <c:pt idx="341">
                  <c:v>0.42250439890466829</c:v>
                </c:pt>
                <c:pt idx="342">
                  <c:v>0.42250439890466829</c:v>
                </c:pt>
                <c:pt idx="343">
                  <c:v>0.42250439890466829</c:v>
                </c:pt>
                <c:pt idx="344">
                  <c:v>0.42250439890466829</c:v>
                </c:pt>
                <c:pt idx="345">
                  <c:v>0.42250439890466829</c:v>
                </c:pt>
                <c:pt idx="346">
                  <c:v>0.42250439890466829</c:v>
                </c:pt>
                <c:pt idx="347">
                  <c:v>0.42250439890466829</c:v>
                </c:pt>
                <c:pt idx="348">
                  <c:v>0.42250439890466829</c:v>
                </c:pt>
                <c:pt idx="349">
                  <c:v>0.42250439890466829</c:v>
                </c:pt>
                <c:pt idx="350">
                  <c:v>0.42250439890466829</c:v>
                </c:pt>
                <c:pt idx="351">
                  <c:v>0.42250439890466829</c:v>
                </c:pt>
                <c:pt idx="352">
                  <c:v>0.42250439890466829</c:v>
                </c:pt>
                <c:pt idx="353">
                  <c:v>0.42250439890466829</c:v>
                </c:pt>
                <c:pt idx="354">
                  <c:v>0.42250439890466829</c:v>
                </c:pt>
                <c:pt idx="355">
                  <c:v>0.42250439890466829</c:v>
                </c:pt>
                <c:pt idx="356">
                  <c:v>0.42250439890466829</c:v>
                </c:pt>
                <c:pt idx="357">
                  <c:v>0.42250439890466829</c:v>
                </c:pt>
                <c:pt idx="358">
                  <c:v>0.42250439890466829</c:v>
                </c:pt>
                <c:pt idx="359">
                  <c:v>0.42250439890466829</c:v>
                </c:pt>
                <c:pt idx="360">
                  <c:v>0.42250439890466829</c:v>
                </c:pt>
                <c:pt idx="361">
                  <c:v>0.42250439890466829</c:v>
                </c:pt>
                <c:pt idx="362">
                  <c:v>0.42250439890466829</c:v>
                </c:pt>
                <c:pt idx="363">
                  <c:v>0.42250439890466829</c:v>
                </c:pt>
                <c:pt idx="364">
                  <c:v>0.42250439890466829</c:v>
                </c:pt>
                <c:pt idx="365">
                  <c:v>0.42250439890466829</c:v>
                </c:pt>
                <c:pt idx="366">
                  <c:v>0.42250439890466829</c:v>
                </c:pt>
                <c:pt idx="367">
                  <c:v>0.42250439890466829</c:v>
                </c:pt>
                <c:pt idx="368">
                  <c:v>0.42250439890466829</c:v>
                </c:pt>
                <c:pt idx="369">
                  <c:v>0.42250439890466829</c:v>
                </c:pt>
                <c:pt idx="370">
                  <c:v>0.42250439890466829</c:v>
                </c:pt>
                <c:pt idx="371">
                  <c:v>0.42250439890466829</c:v>
                </c:pt>
                <c:pt idx="372">
                  <c:v>0.42250439890466829</c:v>
                </c:pt>
                <c:pt idx="373">
                  <c:v>0.42250439890466829</c:v>
                </c:pt>
                <c:pt idx="374">
                  <c:v>0.42250439890466829</c:v>
                </c:pt>
                <c:pt idx="375">
                  <c:v>0.42250439890466829</c:v>
                </c:pt>
                <c:pt idx="376">
                  <c:v>0.42250439890466829</c:v>
                </c:pt>
                <c:pt idx="377">
                  <c:v>0.42250439890466829</c:v>
                </c:pt>
                <c:pt idx="378">
                  <c:v>0.42250439890466829</c:v>
                </c:pt>
                <c:pt idx="379">
                  <c:v>0.42250439890466829</c:v>
                </c:pt>
                <c:pt idx="380">
                  <c:v>0.42250439890466829</c:v>
                </c:pt>
                <c:pt idx="381">
                  <c:v>0.42250439890466829</c:v>
                </c:pt>
                <c:pt idx="382">
                  <c:v>0.42250439890466829</c:v>
                </c:pt>
                <c:pt idx="383">
                  <c:v>0.42250439890466829</c:v>
                </c:pt>
                <c:pt idx="384">
                  <c:v>0.42250439890466829</c:v>
                </c:pt>
                <c:pt idx="385">
                  <c:v>0.42250439890466829</c:v>
                </c:pt>
                <c:pt idx="386">
                  <c:v>0.42250439890466829</c:v>
                </c:pt>
                <c:pt idx="387">
                  <c:v>0.42250439890466829</c:v>
                </c:pt>
                <c:pt idx="388">
                  <c:v>0.42250439890466829</c:v>
                </c:pt>
                <c:pt idx="389">
                  <c:v>0.42250439890466829</c:v>
                </c:pt>
                <c:pt idx="390">
                  <c:v>0.42250439890466829</c:v>
                </c:pt>
                <c:pt idx="391">
                  <c:v>0.42250439890466829</c:v>
                </c:pt>
                <c:pt idx="392">
                  <c:v>0.42250439890466829</c:v>
                </c:pt>
                <c:pt idx="393">
                  <c:v>0.42250439890466829</c:v>
                </c:pt>
                <c:pt idx="394">
                  <c:v>0.42250439890466829</c:v>
                </c:pt>
                <c:pt idx="395">
                  <c:v>0.42250439890466829</c:v>
                </c:pt>
                <c:pt idx="396">
                  <c:v>0.42250439890466829</c:v>
                </c:pt>
                <c:pt idx="397">
                  <c:v>0.42250439890466829</c:v>
                </c:pt>
                <c:pt idx="398">
                  <c:v>0.42250439890466829</c:v>
                </c:pt>
                <c:pt idx="399">
                  <c:v>0.42250439890466829</c:v>
                </c:pt>
                <c:pt idx="400">
                  <c:v>0.42250439890466829</c:v>
                </c:pt>
                <c:pt idx="401">
                  <c:v>0.42250439890466829</c:v>
                </c:pt>
                <c:pt idx="402">
                  <c:v>0.42250439890466829</c:v>
                </c:pt>
                <c:pt idx="403">
                  <c:v>0.42250439890466829</c:v>
                </c:pt>
                <c:pt idx="404">
                  <c:v>0.42250439890466829</c:v>
                </c:pt>
                <c:pt idx="405">
                  <c:v>0.42250439890466829</c:v>
                </c:pt>
                <c:pt idx="406">
                  <c:v>0.42250439890466829</c:v>
                </c:pt>
                <c:pt idx="407">
                  <c:v>0.42250439890466829</c:v>
                </c:pt>
                <c:pt idx="408">
                  <c:v>0.42250439890466829</c:v>
                </c:pt>
                <c:pt idx="409">
                  <c:v>0.42250439890466829</c:v>
                </c:pt>
                <c:pt idx="410">
                  <c:v>0.42250439890466829</c:v>
                </c:pt>
                <c:pt idx="411">
                  <c:v>0.42250439890466829</c:v>
                </c:pt>
                <c:pt idx="412">
                  <c:v>0.42250439890466829</c:v>
                </c:pt>
                <c:pt idx="413">
                  <c:v>0.42250439890466829</c:v>
                </c:pt>
                <c:pt idx="414">
                  <c:v>0.42250439890466829</c:v>
                </c:pt>
                <c:pt idx="415">
                  <c:v>0.42250439890466829</c:v>
                </c:pt>
                <c:pt idx="416">
                  <c:v>0.42250439890466829</c:v>
                </c:pt>
                <c:pt idx="417">
                  <c:v>0.42250439890466829</c:v>
                </c:pt>
                <c:pt idx="418">
                  <c:v>0.42250439890466829</c:v>
                </c:pt>
                <c:pt idx="419">
                  <c:v>0.42250439890466829</c:v>
                </c:pt>
                <c:pt idx="420">
                  <c:v>0.42250439890466829</c:v>
                </c:pt>
                <c:pt idx="421">
                  <c:v>0.42250439890466829</c:v>
                </c:pt>
                <c:pt idx="422">
                  <c:v>0.42250439890466829</c:v>
                </c:pt>
                <c:pt idx="423">
                  <c:v>0.42250439890466829</c:v>
                </c:pt>
                <c:pt idx="424">
                  <c:v>0.42250439890466829</c:v>
                </c:pt>
                <c:pt idx="425">
                  <c:v>0.42250439890466829</c:v>
                </c:pt>
                <c:pt idx="426">
                  <c:v>0.42250439890466829</c:v>
                </c:pt>
                <c:pt idx="427">
                  <c:v>0.42250439890466829</c:v>
                </c:pt>
                <c:pt idx="428">
                  <c:v>0.42250439890466829</c:v>
                </c:pt>
                <c:pt idx="429">
                  <c:v>0.42250439890466829</c:v>
                </c:pt>
                <c:pt idx="430">
                  <c:v>0.42250439890466829</c:v>
                </c:pt>
                <c:pt idx="431">
                  <c:v>0.42250439890466829</c:v>
                </c:pt>
                <c:pt idx="432">
                  <c:v>0.42250439890466829</c:v>
                </c:pt>
                <c:pt idx="433">
                  <c:v>0.42250439890466829</c:v>
                </c:pt>
                <c:pt idx="434">
                  <c:v>0.42250439890466829</c:v>
                </c:pt>
                <c:pt idx="435">
                  <c:v>0.42250439890466829</c:v>
                </c:pt>
                <c:pt idx="436">
                  <c:v>0.42250439890466829</c:v>
                </c:pt>
                <c:pt idx="437">
                  <c:v>0.42250439890466829</c:v>
                </c:pt>
                <c:pt idx="438">
                  <c:v>0.42250439890466829</c:v>
                </c:pt>
                <c:pt idx="439">
                  <c:v>0.42250439890466829</c:v>
                </c:pt>
                <c:pt idx="440">
                  <c:v>0.42250439890466829</c:v>
                </c:pt>
                <c:pt idx="441">
                  <c:v>0.42250439890466829</c:v>
                </c:pt>
                <c:pt idx="442">
                  <c:v>0.42250439890466829</c:v>
                </c:pt>
                <c:pt idx="443">
                  <c:v>0.42250439890466829</c:v>
                </c:pt>
                <c:pt idx="444">
                  <c:v>0.42250439890466829</c:v>
                </c:pt>
                <c:pt idx="445">
                  <c:v>0.42250439890466829</c:v>
                </c:pt>
                <c:pt idx="446">
                  <c:v>0.42250439890466829</c:v>
                </c:pt>
                <c:pt idx="447">
                  <c:v>0.42250439890466829</c:v>
                </c:pt>
                <c:pt idx="448">
                  <c:v>0.42250439890466829</c:v>
                </c:pt>
                <c:pt idx="449">
                  <c:v>0.42250439890466829</c:v>
                </c:pt>
                <c:pt idx="450">
                  <c:v>0.42250439890466829</c:v>
                </c:pt>
                <c:pt idx="451">
                  <c:v>0.42250439890466829</c:v>
                </c:pt>
                <c:pt idx="452">
                  <c:v>0.42250439890466829</c:v>
                </c:pt>
                <c:pt idx="453">
                  <c:v>0.42250439890466829</c:v>
                </c:pt>
                <c:pt idx="454">
                  <c:v>0.42250439890466829</c:v>
                </c:pt>
                <c:pt idx="455">
                  <c:v>0.42250439890466829</c:v>
                </c:pt>
                <c:pt idx="456">
                  <c:v>0.42250439890466829</c:v>
                </c:pt>
                <c:pt idx="457">
                  <c:v>0.42250439890466829</c:v>
                </c:pt>
                <c:pt idx="458">
                  <c:v>0.42250439890466829</c:v>
                </c:pt>
                <c:pt idx="459">
                  <c:v>0.42250439890466829</c:v>
                </c:pt>
                <c:pt idx="460">
                  <c:v>0.42250439890466829</c:v>
                </c:pt>
                <c:pt idx="461">
                  <c:v>0.42250439890466829</c:v>
                </c:pt>
                <c:pt idx="462">
                  <c:v>0.42250439890466829</c:v>
                </c:pt>
                <c:pt idx="463">
                  <c:v>0.42250439890466829</c:v>
                </c:pt>
                <c:pt idx="464">
                  <c:v>0.42250439890466829</c:v>
                </c:pt>
                <c:pt idx="465">
                  <c:v>0.42250439890466829</c:v>
                </c:pt>
                <c:pt idx="466">
                  <c:v>0.42250439890466829</c:v>
                </c:pt>
                <c:pt idx="467">
                  <c:v>0.42250439890466829</c:v>
                </c:pt>
                <c:pt idx="468">
                  <c:v>0.42250439890466829</c:v>
                </c:pt>
                <c:pt idx="469">
                  <c:v>0.42250439890466829</c:v>
                </c:pt>
                <c:pt idx="470">
                  <c:v>0.42250439890466829</c:v>
                </c:pt>
                <c:pt idx="471">
                  <c:v>0.42250439890466829</c:v>
                </c:pt>
                <c:pt idx="472">
                  <c:v>0.42250439890466829</c:v>
                </c:pt>
                <c:pt idx="473">
                  <c:v>0.42250439890466829</c:v>
                </c:pt>
                <c:pt idx="474">
                  <c:v>0.42250439890466829</c:v>
                </c:pt>
                <c:pt idx="475">
                  <c:v>0.42250439890466829</c:v>
                </c:pt>
                <c:pt idx="476">
                  <c:v>0.42250439890466829</c:v>
                </c:pt>
                <c:pt idx="477">
                  <c:v>0.42250439890466829</c:v>
                </c:pt>
                <c:pt idx="478">
                  <c:v>0.42250439890466829</c:v>
                </c:pt>
                <c:pt idx="479">
                  <c:v>0.42250439890466829</c:v>
                </c:pt>
                <c:pt idx="480">
                  <c:v>0.42250439890466829</c:v>
                </c:pt>
                <c:pt idx="481">
                  <c:v>0.42250439890466829</c:v>
                </c:pt>
                <c:pt idx="482">
                  <c:v>0.42250439890466829</c:v>
                </c:pt>
                <c:pt idx="483">
                  <c:v>0.42250439890466829</c:v>
                </c:pt>
                <c:pt idx="484">
                  <c:v>0.42250439890466829</c:v>
                </c:pt>
                <c:pt idx="485">
                  <c:v>0.42250439890466829</c:v>
                </c:pt>
                <c:pt idx="486">
                  <c:v>0.42250439890466829</c:v>
                </c:pt>
                <c:pt idx="487">
                  <c:v>0.42250439890466829</c:v>
                </c:pt>
                <c:pt idx="488">
                  <c:v>0.42250439890466829</c:v>
                </c:pt>
                <c:pt idx="489">
                  <c:v>0.42250439890466829</c:v>
                </c:pt>
                <c:pt idx="490">
                  <c:v>0.42250439890466829</c:v>
                </c:pt>
                <c:pt idx="491">
                  <c:v>0.42250439890466829</c:v>
                </c:pt>
                <c:pt idx="492">
                  <c:v>0.42250439890466829</c:v>
                </c:pt>
                <c:pt idx="493">
                  <c:v>0.42250439890466829</c:v>
                </c:pt>
                <c:pt idx="494">
                  <c:v>0.42250439890466829</c:v>
                </c:pt>
                <c:pt idx="495">
                  <c:v>0.42250439890466829</c:v>
                </c:pt>
                <c:pt idx="496">
                  <c:v>0.42250439890466829</c:v>
                </c:pt>
                <c:pt idx="497">
                  <c:v>0.42250439890466829</c:v>
                </c:pt>
                <c:pt idx="498">
                  <c:v>0.42250439890466829</c:v>
                </c:pt>
                <c:pt idx="499">
                  <c:v>0.42250439890466829</c:v>
                </c:pt>
                <c:pt idx="500">
                  <c:v>0.42250439890466829</c:v>
                </c:pt>
                <c:pt idx="501">
                  <c:v>0.42250439890466829</c:v>
                </c:pt>
                <c:pt idx="502">
                  <c:v>0.42250439890466829</c:v>
                </c:pt>
                <c:pt idx="503">
                  <c:v>0.42250439890466829</c:v>
                </c:pt>
                <c:pt idx="504">
                  <c:v>0.42250439890466829</c:v>
                </c:pt>
                <c:pt idx="505">
                  <c:v>0.42250439890466829</c:v>
                </c:pt>
                <c:pt idx="506">
                  <c:v>0.42250439890466829</c:v>
                </c:pt>
                <c:pt idx="507">
                  <c:v>0.42250439890466829</c:v>
                </c:pt>
                <c:pt idx="508">
                  <c:v>0.42250439890466829</c:v>
                </c:pt>
                <c:pt idx="509">
                  <c:v>0.42250439890466829</c:v>
                </c:pt>
                <c:pt idx="510">
                  <c:v>0.42250439890466829</c:v>
                </c:pt>
                <c:pt idx="511">
                  <c:v>0.42250439890466829</c:v>
                </c:pt>
                <c:pt idx="512">
                  <c:v>0.42250439890466829</c:v>
                </c:pt>
                <c:pt idx="513">
                  <c:v>0.42250439890466829</c:v>
                </c:pt>
                <c:pt idx="514">
                  <c:v>0.42250439890466829</c:v>
                </c:pt>
                <c:pt idx="515">
                  <c:v>0.42250439890466829</c:v>
                </c:pt>
                <c:pt idx="516">
                  <c:v>0.42250439890466829</c:v>
                </c:pt>
                <c:pt idx="517">
                  <c:v>0.42250439890466829</c:v>
                </c:pt>
                <c:pt idx="518">
                  <c:v>0.42250439890466829</c:v>
                </c:pt>
                <c:pt idx="519">
                  <c:v>0.42250439890466829</c:v>
                </c:pt>
                <c:pt idx="520">
                  <c:v>0.42250439890466829</c:v>
                </c:pt>
                <c:pt idx="521">
                  <c:v>0.42250439890466829</c:v>
                </c:pt>
                <c:pt idx="522">
                  <c:v>0.42250439890466829</c:v>
                </c:pt>
                <c:pt idx="523">
                  <c:v>0.42250439890466829</c:v>
                </c:pt>
                <c:pt idx="524">
                  <c:v>0.42250439890466829</c:v>
                </c:pt>
                <c:pt idx="525">
                  <c:v>0.42250439890466829</c:v>
                </c:pt>
                <c:pt idx="526">
                  <c:v>0.42250439890466829</c:v>
                </c:pt>
                <c:pt idx="527">
                  <c:v>0.42250439890466829</c:v>
                </c:pt>
                <c:pt idx="528">
                  <c:v>0.42250439890466829</c:v>
                </c:pt>
                <c:pt idx="529">
                  <c:v>0.42250439890466829</c:v>
                </c:pt>
                <c:pt idx="530">
                  <c:v>0.42250439890466829</c:v>
                </c:pt>
                <c:pt idx="531">
                  <c:v>0.42250439890466829</c:v>
                </c:pt>
                <c:pt idx="532">
                  <c:v>0.42250439890466829</c:v>
                </c:pt>
                <c:pt idx="533">
                  <c:v>0.42250439890466829</c:v>
                </c:pt>
                <c:pt idx="534">
                  <c:v>0.42250439890466829</c:v>
                </c:pt>
                <c:pt idx="535">
                  <c:v>0.42250439890466829</c:v>
                </c:pt>
                <c:pt idx="536">
                  <c:v>0.42250439890466829</c:v>
                </c:pt>
                <c:pt idx="537">
                  <c:v>0.42250439890466829</c:v>
                </c:pt>
                <c:pt idx="538">
                  <c:v>0.42250439890466829</c:v>
                </c:pt>
                <c:pt idx="539">
                  <c:v>0.42250439890466829</c:v>
                </c:pt>
                <c:pt idx="540">
                  <c:v>0.42250439890466829</c:v>
                </c:pt>
              </c:numCache>
            </c:numRef>
          </c:yVal>
          <c:smooth val="0"/>
        </c:ser>
        <c:dLbls>
          <c:showLegendKey val="0"/>
          <c:showVal val="0"/>
          <c:showCatName val="0"/>
          <c:showSerName val="0"/>
          <c:showPercent val="0"/>
          <c:showBubbleSize val="0"/>
        </c:dLbls>
        <c:axId val="173958272"/>
        <c:axId val="173960192"/>
      </c:scatterChart>
      <c:valAx>
        <c:axId val="173958272"/>
        <c:scaling>
          <c:orientation val="minMax"/>
        </c:scaling>
        <c:delete val="0"/>
        <c:axPos val="b"/>
        <c:majorGridlines>
          <c:spPr>
            <a:ln w="3175">
              <a:solidFill>
                <a:srgbClr val="969696"/>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V</a:t>
                </a:r>
              </a:p>
            </c:rich>
          </c:tx>
          <c:layout>
            <c:manualLayout>
              <c:xMode val="edge"/>
              <c:yMode val="edge"/>
              <c:x val="0.94360308187283037"/>
              <c:y val="0.8654772698867186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960192"/>
        <c:crosses val="autoZero"/>
        <c:crossBetween val="midCat"/>
      </c:valAx>
      <c:valAx>
        <c:axId val="173960192"/>
        <c:scaling>
          <c:orientation val="minMax"/>
        </c:scaling>
        <c:delete val="0"/>
        <c:axPos val="l"/>
        <c:majorGridlines>
          <c:spPr>
            <a:ln w="3175">
              <a:solidFill>
                <a:srgbClr val="969696"/>
              </a:solidFill>
              <a:prstDash val="solid"/>
            </a:ln>
          </c:spPr>
        </c:majorGridlines>
        <c:title>
          <c:tx>
            <c:rich>
              <a:bodyPr rot="0" vert="horz"/>
              <a:lstStyle/>
              <a:p>
                <a:pPr algn="ctr">
                  <a:defRPr sz="800" b="1" i="0" u="none" strike="noStrike" baseline="0">
                    <a:solidFill>
                      <a:srgbClr val="000000"/>
                    </a:solidFill>
                    <a:latin typeface="Arial"/>
                    <a:ea typeface="Arial"/>
                    <a:cs typeface="Arial"/>
                  </a:defRPr>
                </a:pPr>
                <a:r>
                  <a:rPr lang="en-US"/>
                  <a:t>A</a:t>
                </a:r>
              </a:p>
            </c:rich>
          </c:tx>
          <c:layout>
            <c:manualLayout>
              <c:xMode val="edge"/>
              <c:yMode val="edge"/>
              <c:x val="1.0313097959529253E-2"/>
              <c:y val="0.48430900682869188"/>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Arial"/>
                <a:ea typeface="Arial"/>
                <a:cs typeface="Arial"/>
              </a:defRPr>
            </a:pPr>
            <a:endParaRPr lang="en-US"/>
          </a:p>
        </c:txPr>
        <c:crossAx val="173958272"/>
        <c:crosses val="autoZero"/>
        <c:crossBetween val="midCat"/>
        <c:minorUnit val="0.05"/>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GB" sz="800" baseline="0"/>
              <a:t>VRS vs Vin  - for calculator development only</a:t>
            </a:r>
          </a:p>
        </c:rich>
      </c:tx>
      <c:overlay val="0"/>
      <c:spPr>
        <a:noFill/>
        <a:ln w="25400">
          <a:noFill/>
        </a:ln>
      </c:spPr>
    </c:title>
    <c:autoTitleDeleted val="0"/>
    <c:plotArea>
      <c:layout/>
      <c:scatterChart>
        <c:scatterStyle val="lineMarker"/>
        <c:varyColors val="0"/>
        <c:ser>
          <c:idx val="0"/>
          <c:order val="0"/>
          <c:tx>
            <c:v>Final ripple +/-</c:v>
          </c:tx>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Calculator!$AL$120:$AL$660</c:f>
              <c:numCache>
                <c:formatCode>0.000</c:formatCode>
                <c:ptCount val="541"/>
                <c:pt idx="0">
                  <c:v>0.22008346231609738</c:v>
                </c:pt>
                <c:pt idx="1">
                  <c:v>0.21725463781438806</c:v>
                </c:pt>
                <c:pt idx="2">
                  <c:v>0.21449894553922361</c:v>
                </c:pt>
                <c:pt idx="3">
                  <c:v>0.21181353958955459</c:v>
                </c:pt>
                <c:pt idx="4">
                  <c:v>0.20919572189679406</c:v>
                </c:pt>
                <c:pt idx="5">
                  <c:v>0.20664293263677505</c:v>
                </c:pt>
                <c:pt idx="6">
                  <c:v>0.20415274138550599</c:v>
                </c:pt>
                <c:pt idx="7">
                  <c:v>0.20172283895174822</c:v>
                </c:pt>
                <c:pt idx="8">
                  <c:v>0.19935102982628755</c:v>
                </c:pt>
                <c:pt idx="9">
                  <c:v>0.19703522519383751</c:v>
                </c:pt>
                <c:pt idx="10">
                  <c:v>0.19477343645889289</c:v>
                </c:pt>
                <c:pt idx="11">
                  <c:v>0.19256376924163884</c:v>
                </c:pt>
                <c:pt idx="12">
                  <c:v>0.19040441780427728</c:v>
                </c:pt>
                <c:pt idx="13">
                  <c:v>0.18829365987193031</c:v>
                </c:pt>
                <c:pt idx="14">
                  <c:v>0.18622985181567381</c:v>
                </c:pt>
                <c:pt idx="15">
                  <c:v>0.18421142416828318</c:v>
                </c:pt>
                <c:pt idx="16">
                  <c:v>0.18223687744599187</c:v>
                </c:pt>
                <c:pt idx="17">
                  <c:v>0.18030477825199795</c:v>
                </c:pt>
                <c:pt idx="18">
                  <c:v>0.17841375563964107</c:v>
                </c:pt>
                <c:pt idx="19">
                  <c:v>0.17656249771513896</c:v>
                </c:pt>
                <c:pt idx="20">
                  <c:v>0.17474974846154512</c:v>
                </c:pt>
                <c:pt idx="21">
                  <c:v>0.17297430476718317</c:v>
                </c:pt>
                <c:pt idx="22">
                  <c:v>0.17123501364325724</c:v>
                </c:pt>
                <c:pt idx="23">
                  <c:v>0.16953076961663791</c:v>
                </c:pt>
                <c:pt idx="24">
                  <c:v>0.16786051228500395</c:v>
                </c:pt>
                <c:pt idx="25">
                  <c:v>0.16622322402258452</c:v>
                </c:pt>
                <c:pt idx="26">
                  <c:v>0.16461792782571835</c:v>
                </c:pt>
                <c:pt idx="27">
                  <c:v>0.16304368528832119</c:v>
                </c:pt>
                <c:pt idx="28">
                  <c:v>0.161499594698155</c:v>
                </c:pt>
                <c:pt idx="29">
                  <c:v>0.1599847892455166</c:v>
                </c:pt>
                <c:pt idx="30">
                  <c:v>0.15849843533662647</c:v>
                </c:pt>
                <c:pt idx="31">
                  <c:v>0.157039731004601</c:v>
                </c:pt>
                <c:pt idx="32">
                  <c:v>0.15560790441144307</c:v>
                </c:pt>
                <c:pt idx="33">
                  <c:v>0.15420221243498686</c:v>
                </c:pt>
                <c:pt idx="34">
                  <c:v>0.15282193933519428</c:v>
                </c:pt>
                <c:pt idx="35">
                  <c:v>0.15146639549462032</c:v>
                </c:pt>
                <c:pt idx="36">
                  <c:v>0.1501349162282499</c:v>
                </c:pt>
                <c:pt idx="37">
                  <c:v>0.14882686065826217</c:v>
                </c:pt>
                <c:pt idx="38">
                  <c:v>0.14754161064960211</c:v>
                </c:pt>
                <c:pt idx="39">
                  <c:v>0.1462785698025377</c:v>
                </c:pt>
                <c:pt idx="40">
                  <c:v>0.14503716249865362</c:v>
                </c:pt>
                <c:pt idx="41">
                  <c:v>0.14381683299698411</c:v>
                </c:pt>
                <c:pt idx="42">
                  <c:v>0.14261704457721999</c:v>
                </c:pt>
                <c:pt idx="43">
                  <c:v>0.14143727872713788</c:v>
                </c:pt>
                <c:pt idx="44">
                  <c:v>0.14027703437159567</c:v>
                </c:pt>
                <c:pt idx="45">
                  <c:v>0.13913582714062162</c:v>
                </c:pt>
                <c:pt idx="46">
                  <c:v>0.13801318867428994</c:v>
                </c:pt>
                <c:pt idx="47">
                  <c:v>0.13690866596223272</c:v>
                </c:pt>
                <c:pt idx="48">
                  <c:v>0.13582182071577967</c:v>
                </c:pt>
                <c:pt idx="49">
                  <c:v>0.13475222877085063</c:v>
                </c:pt>
                <c:pt idx="50">
                  <c:v>0.13369947951984873</c:v>
                </c:pt>
                <c:pt idx="51">
                  <c:v>0.13266317537091457</c:v>
                </c:pt>
                <c:pt idx="52">
                  <c:v>0.13164293123300916</c:v>
                </c:pt>
                <c:pt idx="53">
                  <c:v>0.13063837402538922</c:v>
                </c:pt>
                <c:pt idx="54">
                  <c:v>0.12964914221013149</c:v>
                </c:pt>
                <c:pt idx="55">
                  <c:v>0.1286748853464445</c:v>
                </c:pt>
                <c:pt idx="56">
                  <c:v>0.12771526366558761</c:v>
                </c:pt>
                <c:pt idx="57">
                  <c:v>0.12676994766528785</c:v>
                </c:pt>
                <c:pt idx="58">
                  <c:v>0.12583861772261384</c:v>
                </c:pt>
                <c:pt idx="59">
                  <c:v>0.12492096372433026</c:v>
                </c:pt>
                <c:pt idx="60">
                  <c:v>0.12401668471381311</c:v>
                </c:pt>
                <c:pt idx="61">
                  <c:v>0.12312548855366377</c:v>
                </c:pt>
                <c:pt idx="62">
                  <c:v>0.12224709160320857</c:v>
                </c:pt>
                <c:pt idx="63">
                  <c:v>0.12138121841012008</c:v>
                </c:pt>
                <c:pt idx="64">
                  <c:v>0.12052760141544082</c:v>
                </c:pt>
                <c:pt idx="65">
                  <c:v>0.11968598067133075</c:v>
                </c:pt>
                <c:pt idx="66">
                  <c:v>0.1188561035709008</c:v>
                </c:pt>
                <c:pt idx="67">
                  <c:v>0.11803772458952956</c:v>
                </c:pt>
                <c:pt idx="68">
                  <c:v>0.11723060503709529</c:v>
                </c:pt>
                <c:pt idx="69">
                  <c:v>0.11643451282058755</c:v>
                </c:pt>
                <c:pt idx="70">
                  <c:v>0.11564922221659191</c:v>
                </c:pt>
                <c:pt idx="71">
                  <c:v>0.11487451365317046</c:v>
                </c:pt>
                <c:pt idx="72">
                  <c:v>0.11411017350068603</c:v>
                </c:pt>
                <c:pt idx="73">
                  <c:v>0.11335599387114365</c:v>
                </c:pt>
                <c:pt idx="74">
                  <c:v>0.11261177242564567</c:v>
                </c:pt>
                <c:pt idx="75">
                  <c:v>0.11187731218957853</c:v>
                </c:pt>
                <c:pt idx="76">
                  <c:v>0.11115242137517002</c:v>
                </c:pt>
                <c:pt idx="77">
                  <c:v>0.11043691321107492</c:v>
                </c:pt>
                <c:pt idx="78">
                  <c:v>0.10973060577866509</c:v>
                </c:pt>
                <c:pt idx="79">
                  <c:v>0.10903332185471667</c:v>
                </c:pt>
                <c:pt idx="80">
                  <c:v>0.10834488876020433</c:v>
                </c:pt>
                <c:pt idx="81">
                  <c:v>0.1076651382149254</c:v>
                </c:pt>
                <c:pt idx="82">
                  <c:v>0.10699390619769364</c:v>
                </c:pt>
                <c:pt idx="83">
                  <c:v>0.10633103281185306</c:v>
                </c:pt>
                <c:pt idx="84">
                  <c:v>0.10567636215587731</c:v>
                </c:pt>
                <c:pt idx="85">
                  <c:v>0.10502974219882967</c:v>
                </c:pt>
                <c:pt idx="86">
                  <c:v>0.1043910246604724</c:v>
                </c:pt>
                <c:pt idx="87">
                  <c:v>0.1037600648958223</c:v>
                </c:pt>
                <c:pt idx="88">
                  <c:v>0.10313672178396124</c:v>
                </c:pt>
                <c:pt idx="89">
                  <c:v>0.10252085762091911</c:v>
                </c:pt>
                <c:pt idx="90">
                  <c:v>0.10191233801645509</c:v>
                </c:pt>
                <c:pt idx="91">
                  <c:v>0.10131103179457293</c:v>
                </c:pt>
                <c:pt idx="92">
                  <c:v>0.10071681089761216</c:v>
                </c:pt>
                <c:pt idx="93">
                  <c:v>0.1001295502937663</c:v>
                </c:pt>
                <c:pt idx="94">
                  <c:v>9.9549127887885225E-2</c:v>
                </c:pt>
                <c:pt idx="95">
                  <c:v>9.8975424435425938E-2</c:v>
                </c:pt>
                <c:pt idx="96">
                  <c:v>9.8408323459422589E-2</c:v>
                </c:pt>
                <c:pt idx="97">
                  <c:v>9.7847711170352292E-2</c:v>
                </c:pt>
                <c:pt idx="98">
                  <c:v>9.7293476388779193E-2</c:v>
                </c:pt>
                <c:pt idx="99">
                  <c:v>9.6745510470664847E-2</c:v>
                </c:pt>
                <c:pt idx="100">
                  <c:v>9.6203707235237593E-2</c:v>
                </c:pt>
                <c:pt idx="101">
                  <c:v>9.6203707235237593E-2</c:v>
                </c:pt>
                <c:pt idx="102">
                  <c:v>9.6203707235237593E-2</c:v>
                </c:pt>
                <c:pt idx="103">
                  <c:v>9.6203707235237593E-2</c:v>
                </c:pt>
                <c:pt idx="104">
                  <c:v>9.6203707235237593E-2</c:v>
                </c:pt>
                <c:pt idx="105">
                  <c:v>9.6203707235237593E-2</c:v>
                </c:pt>
                <c:pt idx="106">
                  <c:v>9.6203707235237593E-2</c:v>
                </c:pt>
                <c:pt idx="107">
                  <c:v>9.6203707235237593E-2</c:v>
                </c:pt>
                <c:pt idx="108">
                  <c:v>9.6203707235237593E-2</c:v>
                </c:pt>
                <c:pt idx="109">
                  <c:v>9.6203707235237593E-2</c:v>
                </c:pt>
                <c:pt idx="110">
                  <c:v>9.6203707235237593E-2</c:v>
                </c:pt>
                <c:pt idx="111">
                  <c:v>9.6203707235237593E-2</c:v>
                </c:pt>
                <c:pt idx="112">
                  <c:v>9.6203707235237593E-2</c:v>
                </c:pt>
                <c:pt idx="113">
                  <c:v>9.6203707235237593E-2</c:v>
                </c:pt>
                <c:pt idx="114">
                  <c:v>9.6203707235237593E-2</c:v>
                </c:pt>
                <c:pt idx="115">
                  <c:v>9.6203707235237593E-2</c:v>
                </c:pt>
                <c:pt idx="116">
                  <c:v>9.6203707235237593E-2</c:v>
                </c:pt>
                <c:pt idx="117">
                  <c:v>9.6203707235237593E-2</c:v>
                </c:pt>
                <c:pt idx="118">
                  <c:v>9.6203707235237593E-2</c:v>
                </c:pt>
                <c:pt idx="119">
                  <c:v>9.6203707235237593E-2</c:v>
                </c:pt>
                <c:pt idx="120">
                  <c:v>9.6203707235237593E-2</c:v>
                </c:pt>
                <c:pt idx="121">
                  <c:v>9.6203707235237593E-2</c:v>
                </c:pt>
                <c:pt idx="122">
                  <c:v>9.6203707235237593E-2</c:v>
                </c:pt>
                <c:pt idx="123">
                  <c:v>9.6203707235237593E-2</c:v>
                </c:pt>
                <c:pt idx="124">
                  <c:v>9.6203707235237593E-2</c:v>
                </c:pt>
                <c:pt idx="125">
                  <c:v>9.6203707235237593E-2</c:v>
                </c:pt>
                <c:pt idx="126">
                  <c:v>9.6203707235237593E-2</c:v>
                </c:pt>
                <c:pt idx="127">
                  <c:v>9.6203707235237593E-2</c:v>
                </c:pt>
                <c:pt idx="128">
                  <c:v>9.6203707235237593E-2</c:v>
                </c:pt>
                <c:pt idx="129">
                  <c:v>9.6203707235237593E-2</c:v>
                </c:pt>
                <c:pt idx="130">
                  <c:v>9.6203707235237593E-2</c:v>
                </c:pt>
                <c:pt idx="131">
                  <c:v>9.6203707235237593E-2</c:v>
                </c:pt>
                <c:pt idx="132">
                  <c:v>9.6203707235237593E-2</c:v>
                </c:pt>
                <c:pt idx="133">
                  <c:v>9.6203707235237593E-2</c:v>
                </c:pt>
                <c:pt idx="134">
                  <c:v>9.6203707235237593E-2</c:v>
                </c:pt>
                <c:pt idx="135">
                  <c:v>9.6203707235237593E-2</c:v>
                </c:pt>
                <c:pt idx="136">
                  <c:v>9.6203707235237593E-2</c:v>
                </c:pt>
                <c:pt idx="137">
                  <c:v>9.6203707235237593E-2</c:v>
                </c:pt>
                <c:pt idx="138">
                  <c:v>9.6203707235237593E-2</c:v>
                </c:pt>
                <c:pt idx="139">
                  <c:v>9.6203707235237593E-2</c:v>
                </c:pt>
                <c:pt idx="140">
                  <c:v>9.6203707235237593E-2</c:v>
                </c:pt>
                <c:pt idx="141">
                  <c:v>9.6203707235237593E-2</c:v>
                </c:pt>
                <c:pt idx="142">
                  <c:v>9.6203707235237593E-2</c:v>
                </c:pt>
                <c:pt idx="143">
                  <c:v>9.6203707235237593E-2</c:v>
                </c:pt>
                <c:pt idx="144">
                  <c:v>9.6203707235237593E-2</c:v>
                </c:pt>
                <c:pt idx="145">
                  <c:v>9.6203707235237593E-2</c:v>
                </c:pt>
                <c:pt idx="146">
                  <c:v>9.6203707235237593E-2</c:v>
                </c:pt>
                <c:pt idx="147">
                  <c:v>9.6203707235237593E-2</c:v>
                </c:pt>
                <c:pt idx="148">
                  <c:v>9.6203707235237593E-2</c:v>
                </c:pt>
                <c:pt idx="149">
                  <c:v>9.6203707235237593E-2</c:v>
                </c:pt>
                <c:pt idx="150">
                  <c:v>9.6203707235237593E-2</c:v>
                </c:pt>
                <c:pt idx="151">
                  <c:v>9.6203707235237593E-2</c:v>
                </c:pt>
                <c:pt idx="152">
                  <c:v>9.6203707235237593E-2</c:v>
                </c:pt>
                <c:pt idx="153">
                  <c:v>9.6203707235237593E-2</c:v>
                </c:pt>
                <c:pt idx="154">
                  <c:v>9.6203707235237593E-2</c:v>
                </c:pt>
                <c:pt idx="155">
                  <c:v>9.6203707235237593E-2</c:v>
                </c:pt>
                <c:pt idx="156">
                  <c:v>9.6203707235237593E-2</c:v>
                </c:pt>
                <c:pt idx="157">
                  <c:v>9.6203707235237593E-2</c:v>
                </c:pt>
                <c:pt idx="158">
                  <c:v>9.6203707235237593E-2</c:v>
                </c:pt>
                <c:pt idx="159">
                  <c:v>9.6203707235237593E-2</c:v>
                </c:pt>
                <c:pt idx="160">
                  <c:v>9.6203707235237593E-2</c:v>
                </c:pt>
                <c:pt idx="161">
                  <c:v>9.6203707235237593E-2</c:v>
                </c:pt>
                <c:pt idx="162">
                  <c:v>9.6203707235237593E-2</c:v>
                </c:pt>
                <c:pt idx="163">
                  <c:v>9.6203707235237593E-2</c:v>
                </c:pt>
                <c:pt idx="164">
                  <c:v>9.6203707235237593E-2</c:v>
                </c:pt>
                <c:pt idx="165">
                  <c:v>9.6203707235237593E-2</c:v>
                </c:pt>
                <c:pt idx="166">
                  <c:v>9.6203707235237593E-2</c:v>
                </c:pt>
                <c:pt idx="167">
                  <c:v>9.6203707235237593E-2</c:v>
                </c:pt>
                <c:pt idx="168">
                  <c:v>9.6203707235237593E-2</c:v>
                </c:pt>
                <c:pt idx="169">
                  <c:v>9.6203707235237593E-2</c:v>
                </c:pt>
                <c:pt idx="170">
                  <c:v>9.6203707235237593E-2</c:v>
                </c:pt>
                <c:pt idx="171">
                  <c:v>9.6203707235237593E-2</c:v>
                </c:pt>
                <c:pt idx="172">
                  <c:v>9.6203707235237593E-2</c:v>
                </c:pt>
                <c:pt idx="173">
                  <c:v>9.6203707235237593E-2</c:v>
                </c:pt>
                <c:pt idx="174">
                  <c:v>9.6203707235237593E-2</c:v>
                </c:pt>
                <c:pt idx="175">
                  <c:v>9.6203707235237593E-2</c:v>
                </c:pt>
                <c:pt idx="176">
                  <c:v>9.6203707235237593E-2</c:v>
                </c:pt>
                <c:pt idx="177">
                  <c:v>9.6203707235237593E-2</c:v>
                </c:pt>
                <c:pt idx="178">
                  <c:v>9.6203707235237593E-2</c:v>
                </c:pt>
                <c:pt idx="179">
                  <c:v>9.6203707235237593E-2</c:v>
                </c:pt>
                <c:pt idx="180">
                  <c:v>9.6203707235237593E-2</c:v>
                </c:pt>
                <c:pt idx="181">
                  <c:v>9.6203707235237593E-2</c:v>
                </c:pt>
                <c:pt idx="182">
                  <c:v>9.6203707235237593E-2</c:v>
                </c:pt>
                <c:pt idx="183">
                  <c:v>9.6203707235237593E-2</c:v>
                </c:pt>
                <c:pt idx="184">
                  <c:v>9.6203707235237593E-2</c:v>
                </c:pt>
                <c:pt idx="185">
                  <c:v>9.6203707235237593E-2</c:v>
                </c:pt>
                <c:pt idx="186">
                  <c:v>9.6203707235237593E-2</c:v>
                </c:pt>
                <c:pt idx="187">
                  <c:v>9.6203707235237593E-2</c:v>
                </c:pt>
                <c:pt idx="188">
                  <c:v>9.6203707235237593E-2</c:v>
                </c:pt>
                <c:pt idx="189">
                  <c:v>9.6203707235237593E-2</c:v>
                </c:pt>
                <c:pt idx="190">
                  <c:v>9.6203707235237593E-2</c:v>
                </c:pt>
                <c:pt idx="191">
                  <c:v>9.6203707235237593E-2</c:v>
                </c:pt>
                <c:pt idx="192">
                  <c:v>9.6203707235237593E-2</c:v>
                </c:pt>
                <c:pt idx="193">
                  <c:v>9.6203707235237593E-2</c:v>
                </c:pt>
                <c:pt idx="194">
                  <c:v>9.6203707235237593E-2</c:v>
                </c:pt>
                <c:pt idx="195">
                  <c:v>9.6203707235237593E-2</c:v>
                </c:pt>
                <c:pt idx="196">
                  <c:v>9.6203707235237593E-2</c:v>
                </c:pt>
                <c:pt idx="197">
                  <c:v>9.6203707235237593E-2</c:v>
                </c:pt>
                <c:pt idx="198">
                  <c:v>9.6203707235237593E-2</c:v>
                </c:pt>
                <c:pt idx="199">
                  <c:v>9.6203707235237593E-2</c:v>
                </c:pt>
                <c:pt idx="200">
                  <c:v>9.6203707235237593E-2</c:v>
                </c:pt>
                <c:pt idx="201">
                  <c:v>9.6203707235237593E-2</c:v>
                </c:pt>
                <c:pt idx="202">
                  <c:v>9.6203707235237593E-2</c:v>
                </c:pt>
                <c:pt idx="203">
                  <c:v>9.6203707235237593E-2</c:v>
                </c:pt>
                <c:pt idx="204">
                  <c:v>9.6203707235237593E-2</c:v>
                </c:pt>
                <c:pt idx="205">
                  <c:v>9.6203707235237593E-2</c:v>
                </c:pt>
                <c:pt idx="206">
                  <c:v>9.6203707235237593E-2</c:v>
                </c:pt>
                <c:pt idx="207">
                  <c:v>9.6203707235237593E-2</c:v>
                </c:pt>
                <c:pt idx="208">
                  <c:v>9.6203707235237593E-2</c:v>
                </c:pt>
                <c:pt idx="209">
                  <c:v>9.6203707235237593E-2</c:v>
                </c:pt>
                <c:pt idx="210">
                  <c:v>9.6203707235237593E-2</c:v>
                </c:pt>
                <c:pt idx="211">
                  <c:v>9.6203707235237593E-2</c:v>
                </c:pt>
                <c:pt idx="212">
                  <c:v>9.6203707235237593E-2</c:v>
                </c:pt>
                <c:pt idx="213">
                  <c:v>9.6203707235237593E-2</c:v>
                </c:pt>
                <c:pt idx="214">
                  <c:v>9.6203707235237593E-2</c:v>
                </c:pt>
                <c:pt idx="215">
                  <c:v>9.6203707235237593E-2</c:v>
                </c:pt>
                <c:pt idx="216">
                  <c:v>9.6203707235237593E-2</c:v>
                </c:pt>
                <c:pt idx="217">
                  <c:v>9.6203707235237593E-2</c:v>
                </c:pt>
                <c:pt idx="218">
                  <c:v>9.6203707235237593E-2</c:v>
                </c:pt>
                <c:pt idx="219">
                  <c:v>9.6203707235237593E-2</c:v>
                </c:pt>
                <c:pt idx="220">
                  <c:v>9.6203707235237593E-2</c:v>
                </c:pt>
                <c:pt idx="221">
                  <c:v>9.6203707235237593E-2</c:v>
                </c:pt>
                <c:pt idx="222">
                  <c:v>9.6203707235237593E-2</c:v>
                </c:pt>
                <c:pt idx="223">
                  <c:v>9.6203707235237593E-2</c:v>
                </c:pt>
                <c:pt idx="224">
                  <c:v>9.6203707235237593E-2</c:v>
                </c:pt>
                <c:pt idx="225">
                  <c:v>9.6203707235237593E-2</c:v>
                </c:pt>
                <c:pt idx="226">
                  <c:v>9.6203707235237593E-2</c:v>
                </c:pt>
                <c:pt idx="227">
                  <c:v>9.6203707235237593E-2</c:v>
                </c:pt>
                <c:pt idx="228">
                  <c:v>9.6203707235237593E-2</c:v>
                </c:pt>
                <c:pt idx="229">
                  <c:v>9.6203707235237593E-2</c:v>
                </c:pt>
                <c:pt idx="230">
                  <c:v>9.6203707235237593E-2</c:v>
                </c:pt>
                <c:pt idx="231">
                  <c:v>9.6203707235237593E-2</c:v>
                </c:pt>
                <c:pt idx="232">
                  <c:v>9.6203707235237593E-2</c:v>
                </c:pt>
                <c:pt idx="233">
                  <c:v>9.6203707235237593E-2</c:v>
                </c:pt>
                <c:pt idx="234">
                  <c:v>9.6203707235237593E-2</c:v>
                </c:pt>
                <c:pt idx="235">
                  <c:v>9.6203707235237593E-2</c:v>
                </c:pt>
                <c:pt idx="236">
                  <c:v>9.6203707235237593E-2</c:v>
                </c:pt>
                <c:pt idx="237">
                  <c:v>9.6203707235237593E-2</c:v>
                </c:pt>
                <c:pt idx="238">
                  <c:v>9.6203707235237593E-2</c:v>
                </c:pt>
                <c:pt idx="239">
                  <c:v>9.6203707235237593E-2</c:v>
                </c:pt>
                <c:pt idx="240">
                  <c:v>9.6203707235237593E-2</c:v>
                </c:pt>
                <c:pt idx="241">
                  <c:v>9.6203707235237593E-2</c:v>
                </c:pt>
                <c:pt idx="242">
                  <c:v>9.6203707235237593E-2</c:v>
                </c:pt>
                <c:pt idx="243">
                  <c:v>9.6203707235237593E-2</c:v>
                </c:pt>
                <c:pt idx="244">
                  <c:v>9.6203707235237593E-2</c:v>
                </c:pt>
                <c:pt idx="245">
                  <c:v>9.6203707235237593E-2</c:v>
                </c:pt>
                <c:pt idx="246">
                  <c:v>9.6203707235237593E-2</c:v>
                </c:pt>
                <c:pt idx="247">
                  <c:v>9.6203707235237593E-2</c:v>
                </c:pt>
                <c:pt idx="248">
                  <c:v>9.6203707235237593E-2</c:v>
                </c:pt>
                <c:pt idx="249">
                  <c:v>9.6203707235237593E-2</c:v>
                </c:pt>
                <c:pt idx="250">
                  <c:v>9.6203707235237593E-2</c:v>
                </c:pt>
                <c:pt idx="251">
                  <c:v>9.6203707235237593E-2</c:v>
                </c:pt>
                <c:pt idx="252">
                  <c:v>9.6203707235237593E-2</c:v>
                </c:pt>
                <c:pt idx="253">
                  <c:v>9.6203707235237593E-2</c:v>
                </c:pt>
                <c:pt idx="254">
                  <c:v>9.6203707235237593E-2</c:v>
                </c:pt>
                <c:pt idx="255">
                  <c:v>9.6203707235237593E-2</c:v>
                </c:pt>
                <c:pt idx="256">
                  <c:v>9.6203707235237593E-2</c:v>
                </c:pt>
                <c:pt idx="257">
                  <c:v>9.6203707235237593E-2</c:v>
                </c:pt>
                <c:pt idx="258">
                  <c:v>9.6203707235237593E-2</c:v>
                </c:pt>
                <c:pt idx="259">
                  <c:v>9.6203707235237593E-2</c:v>
                </c:pt>
                <c:pt idx="260">
                  <c:v>9.6203707235237593E-2</c:v>
                </c:pt>
                <c:pt idx="261">
                  <c:v>9.6203707235237593E-2</c:v>
                </c:pt>
                <c:pt idx="262">
                  <c:v>9.6203707235237593E-2</c:v>
                </c:pt>
                <c:pt idx="263">
                  <c:v>9.6203707235237593E-2</c:v>
                </c:pt>
                <c:pt idx="264">
                  <c:v>9.6203707235237593E-2</c:v>
                </c:pt>
                <c:pt idx="265">
                  <c:v>9.6203707235237593E-2</c:v>
                </c:pt>
                <c:pt idx="266">
                  <c:v>9.6203707235237593E-2</c:v>
                </c:pt>
                <c:pt idx="267">
                  <c:v>9.6203707235237593E-2</c:v>
                </c:pt>
                <c:pt idx="268">
                  <c:v>9.6203707235237593E-2</c:v>
                </c:pt>
                <c:pt idx="269">
                  <c:v>9.6203707235237593E-2</c:v>
                </c:pt>
                <c:pt idx="270">
                  <c:v>9.6203707235237593E-2</c:v>
                </c:pt>
                <c:pt idx="271">
                  <c:v>9.6203707235237593E-2</c:v>
                </c:pt>
                <c:pt idx="272">
                  <c:v>9.6203707235237593E-2</c:v>
                </c:pt>
                <c:pt idx="273">
                  <c:v>9.6203707235237593E-2</c:v>
                </c:pt>
                <c:pt idx="274">
                  <c:v>9.6203707235237593E-2</c:v>
                </c:pt>
                <c:pt idx="275">
                  <c:v>9.6203707235237593E-2</c:v>
                </c:pt>
                <c:pt idx="276">
                  <c:v>9.6203707235237593E-2</c:v>
                </c:pt>
                <c:pt idx="277">
                  <c:v>9.6203707235237593E-2</c:v>
                </c:pt>
                <c:pt idx="278">
                  <c:v>9.6203707235237593E-2</c:v>
                </c:pt>
                <c:pt idx="279">
                  <c:v>9.6203707235237593E-2</c:v>
                </c:pt>
                <c:pt idx="280">
                  <c:v>9.6203707235237593E-2</c:v>
                </c:pt>
                <c:pt idx="281">
                  <c:v>9.6203707235237593E-2</c:v>
                </c:pt>
                <c:pt idx="282">
                  <c:v>9.6203707235237593E-2</c:v>
                </c:pt>
                <c:pt idx="283">
                  <c:v>9.6203707235237593E-2</c:v>
                </c:pt>
                <c:pt idx="284">
                  <c:v>9.6203707235237593E-2</c:v>
                </c:pt>
                <c:pt idx="285">
                  <c:v>9.6203707235237593E-2</c:v>
                </c:pt>
                <c:pt idx="286">
                  <c:v>9.6203707235237593E-2</c:v>
                </c:pt>
                <c:pt idx="287">
                  <c:v>9.6203707235237593E-2</c:v>
                </c:pt>
                <c:pt idx="288">
                  <c:v>9.6203707235237593E-2</c:v>
                </c:pt>
                <c:pt idx="289">
                  <c:v>9.6203707235237593E-2</c:v>
                </c:pt>
                <c:pt idx="290">
                  <c:v>9.6203707235237593E-2</c:v>
                </c:pt>
                <c:pt idx="291">
                  <c:v>9.6203707235237593E-2</c:v>
                </c:pt>
                <c:pt idx="292">
                  <c:v>9.6203707235237593E-2</c:v>
                </c:pt>
                <c:pt idx="293">
                  <c:v>9.6203707235237593E-2</c:v>
                </c:pt>
                <c:pt idx="294">
                  <c:v>9.6203707235237593E-2</c:v>
                </c:pt>
                <c:pt idx="295">
                  <c:v>9.6203707235237593E-2</c:v>
                </c:pt>
                <c:pt idx="296">
                  <c:v>9.6203707235237593E-2</c:v>
                </c:pt>
                <c:pt idx="297">
                  <c:v>9.6203707235237593E-2</c:v>
                </c:pt>
                <c:pt idx="298">
                  <c:v>9.6203707235237593E-2</c:v>
                </c:pt>
                <c:pt idx="299">
                  <c:v>9.6203707235237593E-2</c:v>
                </c:pt>
                <c:pt idx="300">
                  <c:v>9.6203707235237593E-2</c:v>
                </c:pt>
                <c:pt idx="301">
                  <c:v>9.6203707235237593E-2</c:v>
                </c:pt>
                <c:pt idx="302">
                  <c:v>9.6203707235237593E-2</c:v>
                </c:pt>
                <c:pt idx="303">
                  <c:v>9.6203707235237593E-2</c:v>
                </c:pt>
                <c:pt idx="304">
                  <c:v>9.6203707235237593E-2</c:v>
                </c:pt>
                <c:pt idx="305">
                  <c:v>9.6203707235237593E-2</c:v>
                </c:pt>
                <c:pt idx="306">
                  <c:v>9.6203707235237593E-2</c:v>
                </c:pt>
                <c:pt idx="307">
                  <c:v>9.6203707235237593E-2</c:v>
                </c:pt>
                <c:pt idx="308">
                  <c:v>9.6203707235237593E-2</c:v>
                </c:pt>
                <c:pt idx="309">
                  <c:v>9.6203707235237593E-2</c:v>
                </c:pt>
                <c:pt idx="310">
                  <c:v>9.6203707235237593E-2</c:v>
                </c:pt>
                <c:pt idx="311">
                  <c:v>9.6203707235237593E-2</c:v>
                </c:pt>
                <c:pt idx="312">
                  <c:v>9.6203707235237593E-2</c:v>
                </c:pt>
                <c:pt idx="313">
                  <c:v>9.6203707235237593E-2</c:v>
                </c:pt>
                <c:pt idx="314">
                  <c:v>9.6203707235237593E-2</c:v>
                </c:pt>
                <c:pt idx="315">
                  <c:v>9.6203707235237593E-2</c:v>
                </c:pt>
                <c:pt idx="316">
                  <c:v>9.6203707235237593E-2</c:v>
                </c:pt>
                <c:pt idx="317">
                  <c:v>9.6203707235237593E-2</c:v>
                </c:pt>
                <c:pt idx="318">
                  <c:v>9.6203707235237593E-2</c:v>
                </c:pt>
                <c:pt idx="319">
                  <c:v>9.6203707235237593E-2</c:v>
                </c:pt>
                <c:pt idx="320">
                  <c:v>9.6203707235237593E-2</c:v>
                </c:pt>
                <c:pt idx="321">
                  <c:v>9.6203707235237593E-2</c:v>
                </c:pt>
                <c:pt idx="322">
                  <c:v>9.6203707235237593E-2</c:v>
                </c:pt>
                <c:pt idx="323">
                  <c:v>9.6203707235237593E-2</c:v>
                </c:pt>
                <c:pt idx="324">
                  <c:v>9.6203707235237593E-2</c:v>
                </c:pt>
                <c:pt idx="325">
                  <c:v>9.6203707235237593E-2</c:v>
                </c:pt>
                <c:pt idx="326">
                  <c:v>9.6203707235237593E-2</c:v>
                </c:pt>
                <c:pt idx="327">
                  <c:v>9.6203707235237593E-2</c:v>
                </c:pt>
                <c:pt idx="328">
                  <c:v>9.6203707235237593E-2</c:v>
                </c:pt>
                <c:pt idx="329">
                  <c:v>9.6203707235237593E-2</c:v>
                </c:pt>
                <c:pt idx="330">
                  <c:v>9.6203707235237593E-2</c:v>
                </c:pt>
                <c:pt idx="331">
                  <c:v>9.6203707235237593E-2</c:v>
                </c:pt>
                <c:pt idx="332">
                  <c:v>9.6203707235237593E-2</c:v>
                </c:pt>
                <c:pt idx="333">
                  <c:v>9.6203707235237593E-2</c:v>
                </c:pt>
                <c:pt idx="334">
                  <c:v>9.6203707235237593E-2</c:v>
                </c:pt>
                <c:pt idx="335">
                  <c:v>9.6203707235237593E-2</c:v>
                </c:pt>
                <c:pt idx="336">
                  <c:v>9.6203707235237593E-2</c:v>
                </c:pt>
                <c:pt idx="337">
                  <c:v>9.6203707235237593E-2</c:v>
                </c:pt>
                <c:pt idx="338">
                  <c:v>9.6203707235237593E-2</c:v>
                </c:pt>
                <c:pt idx="339">
                  <c:v>9.6203707235237593E-2</c:v>
                </c:pt>
                <c:pt idx="340">
                  <c:v>9.6203707235237593E-2</c:v>
                </c:pt>
                <c:pt idx="341">
                  <c:v>9.6203707235237593E-2</c:v>
                </c:pt>
                <c:pt idx="342">
                  <c:v>9.6203707235237593E-2</c:v>
                </c:pt>
                <c:pt idx="343">
                  <c:v>9.6203707235237593E-2</c:v>
                </c:pt>
                <c:pt idx="344">
                  <c:v>9.6203707235237593E-2</c:v>
                </c:pt>
                <c:pt idx="345">
                  <c:v>9.6203707235237593E-2</c:v>
                </c:pt>
                <c:pt idx="346">
                  <c:v>9.6203707235237593E-2</c:v>
                </c:pt>
                <c:pt idx="347">
                  <c:v>9.6203707235237593E-2</c:v>
                </c:pt>
                <c:pt idx="348">
                  <c:v>9.6203707235237593E-2</c:v>
                </c:pt>
                <c:pt idx="349">
                  <c:v>9.6203707235237593E-2</c:v>
                </c:pt>
                <c:pt idx="350">
                  <c:v>9.6203707235237593E-2</c:v>
                </c:pt>
                <c:pt idx="351">
                  <c:v>9.6203707235237593E-2</c:v>
                </c:pt>
                <c:pt idx="352">
                  <c:v>9.6203707235237593E-2</c:v>
                </c:pt>
                <c:pt idx="353">
                  <c:v>9.6203707235237593E-2</c:v>
                </c:pt>
                <c:pt idx="354">
                  <c:v>9.6203707235237593E-2</c:v>
                </c:pt>
                <c:pt idx="355">
                  <c:v>9.6203707235237593E-2</c:v>
                </c:pt>
                <c:pt idx="356">
                  <c:v>9.6203707235237593E-2</c:v>
                </c:pt>
                <c:pt idx="357">
                  <c:v>9.6203707235237593E-2</c:v>
                </c:pt>
                <c:pt idx="358">
                  <c:v>9.6203707235237593E-2</c:v>
                </c:pt>
                <c:pt idx="359">
                  <c:v>9.6203707235237593E-2</c:v>
                </c:pt>
                <c:pt idx="360">
                  <c:v>9.6203707235237593E-2</c:v>
                </c:pt>
                <c:pt idx="361">
                  <c:v>9.6203707235237593E-2</c:v>
                </c:pt>
                <c:pt idx="362">
                  <c:v>9.6203707235237593E-2</c:v>
                </c:pt>
                <c:pt idx="363">
                  <c:v>9.6203707235237593E-2</c:v>
                </c:pt>
                <c:pt idx="364">
                  <c:v>9.6203707235237593E-2</c:v>
                </c:pt>
                <c:pt idx="365">
                  <c:v>9.6203707235237593E-2</c:v>
                </c:pt>
                <c:pt idx="366">
                  <c:v>9.6203707235237593E-2</c:v>
                </c:pt>
                <c:pt idx="367">
                  <c:v>9.6203707235237593E-2</c:v>
                </c:pt>
                <c:pt idx="368">
                  <c:v>9.6203707235237593E-2</c:v>
                </c:pt>
                <c:pt idx="369">
                  <c:v>9.6203707235237593E-2</c:v>
                </c:pt>
                <c:pt idx="370">
                  <c:v>9.6203707235237593E-2</c:v>
                </c:pt>
                <c:pt idx="371">
                  <c:v>9.6203707235237593E-2</c:v>
                </c:pt>
                <c:pt idx="372">
                  <c:v>9.6203707235237593E-2</c:v>
                </c:pt>
                <c:pt idx="373">
                  <c:v>9.6203707235237593E-2</c:v>
                </c:pt>
                <c:pt idx="374">
                  <c:v>9.6203707235237593E-2</c:v>
                </c:pt>
                <c:pt idx="375">
                  <c:v>9.6203707235237593E-2</c:v>
                </c:pt>
                <c:pt idx="376">
                  <c:v>9.6203707235237593E-2</c:v>
                </c:pt>
                <c:pt idx="377">
                  <c:v>9.6203707235237593E-2</c:v>
                </c:pt>
                <c:pt idx="378">
                  <c:v>9.6203707235237593E-2</c:v>
                </c:pt>
                <c:pt idx="379">
                  <c:v>9.6203707235237593E-2</c:v>
                </c:pt>
                <c:pt idx="380">
                  <c:v>9.6203707235237593E-2</c:v>
                </c:pt>
                <c:pt idx="381">
                  <c:v>9.6203707235237593E-2</c:v>
                </c:pt>
                <c:pt idx="382">
                  <c:v>9.6203707235237593E-2</c:v>
                </c:pt>
                <c:pt idx="383">
                  <c:v>9.6203707235237593E-2</c:v>
                </c:pt>
                <c:pt idx="384">
                  <c:v>9.6203707235237593E-2</c:v>
                </c:pt>
                <c:pt idx="385">
                  <c:v>9.6203707235237593E-2</c:v>
                </c:pt>
                <c:pt idx="386">
                  <c:v>9.6203707235237593E-2</c:v>
                </c:pt>
                <c:pt idx="387">
                  <c:v>9.6203707235237593E-2</c:v>
                </c:pt>
                <c:pt idx="388">
                  <c:v>9.6203707235237593E-2</c:v>
                </c:pt>
                <c:pt idx="389">
                  <c:v>9.6203707235237593E-2</c:v>
                </c:pt>
                <c:pt idx="390">
                  <c:v>9.6203707235237593E-2</c:v>
                </c:pt>
                <c:pt idx="391">
                  <c:v>9.6203707235237593E-2</c:v>
                </c:pt>
                <c:pt idx="392">
                  <c:v>9.6203707235237593E-2</c:v>
                </c:pt>
                <c:pt idx="393">
                  <c:v>9.6203707235237593E-2</c:v>
                </c:pt>
                <c:pt idx="394">
                  <c:v>9.6203707235237593E-2</c:v>
                </c:pt>
                <c:pt idx="395">
                  <c:v>9.6203707235237593E-2</c:v>
                </c:pt>
                <c:pt idx="396">
                  <c:v>9.6203707235237593E-2</c:v>
                </c:pt>
                <c:pt idx="397">
                  <c:v>9.6203707235237593E-2</c:v>
                </c:pt>
                <c:pt idx="398">
                  <c:v>9.6203707235237593E-2</c:v>
                </c:pt>
                <c:pt idx="399">
                  <c:v>9.6203707235237593E-2</c:v>
                </c:pt>
                <c:pt idx="400">
                  <c:v>9.6203707235237593E-2</c:v>
                </c:pt>
                <c:pt idx="401">
                  <c:v>9.6203707235237593E-2</c:v>
                </c:pt>
                <c:pt idx="402">
                  <c:v>9.6203707235237593E-2</c:v>
                </c:pt>
                <c:pt idx="403">
                  <c:v>9.6203707235237593E-2</c:v>
                </c:pt>
                <c:pt idx="404">
                  <c:v>9.6203707235237593E-2</c:v>
                </c:pt>
                <c:pt idx="405">
                  <c:v>9.6203707235237593E-2</c:v>
                </c:pt>
                <c:pt idx="406">
                  <c:v>9.6203707235237593E-2</c:v>
                </c:pt>
                <c:pt idx="407">
                  <c:v>9.6203707235237593E-2</c:v>
                </c:pt>
                <c:pt idx="408">
                  <c:v>9.6203707235237593E-2</c:v>
                </c:pt>
                <c:pt idx="409">
                  <c:v>9.6203707235237593E-2</c:v>
                </c:pt>
                <c:pt idx="410">
                  <c:v>9.6203707235237593E-2</c:v>
                </c:pt>
                <c:pt idx="411">
                  <c:v>9.6203707235237593E-2</c:v>
                </c:pt>
                <c:pt idx="412">
                  <c:v>9.6203707235237593E-2</c:v>
                </c:pt>
                <c:pt idx="413">
                  <c:v>9.6203707235237593E-2</c:v>
                </c:pt>
                <c:pt idx="414">
                  <c:v>9.6203707235237593E-2</c:v>
                </c:pt>
                <c:pt idx="415">
                  <c:v>9.6203707235237593E-2</c:v>
                </c:pt>
                <c:pt idx="416">
                  <c:v>9.6203707235237593E-2</c:v>
                </c:pt>
                <c:pt idx="417">
                  <c:v>9.6203707235237593E-2</c:v>
                </c:pt>
                <c:pt idx="418">
                  <c:v>9.6203707235237593E-2</c:v>
                </c:pt>
                <c:pt idx="419">
                  <c:v>9.6203707235237593E-2</c:v>
                </c:pt>
                <c:pt idx="420">
                  <c:v>9.6203707235237593E-2</c:v>
                </c:pt>
                <c:pt idx="421">
                  <c:v>9.6203707235237593E-2</c:v>
                </c:pt>
                <c:pt idx="422">
                  <c:v>9.6203707235237593E-2</c:v>
                </c:pt>
                <c:pt idx="423">
                  <c:v>9.6203707235237593E-2</c:v>
                </c:pt>
                <c:pt idx="424">
                  <c:v>9.6203707235237593E-2</c:v>
                </c:pt>
                <c:pt idx="425">
                  <c:v>9.6203707235237593E-2</c:v>
                </c:pt>
                <c:pt idx="426">
                  <c:v>9.6203707235237593E-2</c:v>
                </c:pt>
                <c:pt idx="427">
                  <c:v>9.6203707235237593E-2</c:v>
                </c:pt>
                <c:pt idx="428">
                  <c:v>9.6203707235237593E-2</c:v>
                </c:pt>
                <c:pt idx="429">
                  <c:v>9.6203707235237593E-2</c:v>
                </c:pt>
                <c:pt idx="430">
                  <c:v>9.6203707235237593E-2</c:v>
                </c:pt>
                <c:pt idx="431">
                  <c:v>9.6203707235237593E-2</c:v>
                </c:pt>
                <c:pt idx="432">
                  <c:v>9.6203707235237593E-2</c:v>
                </c:pt>
                <c:pt idx="433">
                  <c:v>9.6203707235237593E-2</c:v>
                </c:pt>
                <c:pt idx="434">
                  <c:v>9.6203707235237593E-2</c:v>
                </c:pt>
                <c:pt idx="435">
                  <c:v>9.6203707235237593E-2</c:v>
                </c:pt>
                <c:pt idx="436">
                  <c:v>9.6203707235237593E-2</c:v>
                </c:pt>
                <c:pt idx="437">
                  <c:v>9.6203707235237593E-2</c:v>
                </c:pt>
                <c:pt idx="438">
                  <c:v>9.6203707235237593E-2</c:v>
                </c:pt>
                <c:pt idx="439">
                  <c:v>9.6203707235237593E-2</c:v>
                </c:pt>
                <c:pt idx="440">
                  <c:v>9.6203707235237593E-2</c:v>
                </c:pt>
                <c:pt idx="441">
                  <c:v>9.6203707235237593E-2</c:v>
                </c:pt>
                <c:pt idx="442">
                  <c:v>9.6203707235237593E-2</c:v>
                </c:pt>
                <c:pt idx="443">
                  <c:v>9.6203707235237593E-2</c:v>
                </c:pt>
                <c:pt idx="444">
                  <c:v>9.6203707235237593E-2</c:v>
                </c:pt>
                <c:pt idx="445">
                  <c:v>9.6203707235237593E-2</c:v>
                </c:pt>
                <c:pt idx="446">
                  <c:v>9.6203707235237593E-2</c:v>
                </c:pt>
                <c:pt idx="447">
                  <c:v>9.6203707235237593E-2</c:v>
                </c:pt>
                <c:pt idx="448">
                  <c:v>9.6203707235237593E-2</c:v>
                </c:pt>
                <c:pt idx="449">
                  <c:v>9.6203707235237593E-2</c:v>
                </c:pt>
                <c:pt idx="450">
                  <c:v>9.6203707235237593E-2</c:v>
                </c:pt>
                <c:pt idx="451">
                  <c:v>9.6203707235237593E-2</c:v>
                </c:pt>
                <c:pt idx="452">
                  <c:v>9.6203707235237593E-2</c:v>
                </c:pt>
                <c:pt idx="453">
                  <c:v>9.6203707235237593E-2</c:v>
                </c:pt>
                <c:pt idx="454">
                  <c:v>9.6203707235237593E-2</c:v>
                </c:pt>
                <c:pt idx="455">
                  <c:v>9.6203707235237593E-2</c:v>
                </c:pt>
                <c:pt idx="456">
                  <c:v>9.6203707235237593E-2</c:v>
                </c:pt>
                <c:pt idx="457">
                  <c:v>9.6203707235237593E-2</c:v>
                </c:pt>
                <c:pt idx="458">
                  <c:v>9.6203707235237593E-2</c:v>
                </c:pt>
                <c:pt idx="459">
                  <c:v>9.6203707235237593E-2</c:v>
                </c:pt>
                <c:pt idx="460">
                  <c:v>9.6203707235237593E-2</c:v>
                </c:pt>
                <c:pt idx="461">
                  <c:v>9.6203707235237593E-2</c:v>
                </c:pt>
                <c:pt idx="462">
                  <c:v>9.6203707235237593E-2</c:v>
                </c:pt>
                <c:pt idx="463">
                  <c:v>9.6203707235237593E-2</c:v>
                </c:pt>
                <c:pt idx="464">
                  <c:v>9.6203707235237593E-2</c:v>
                </c:pt>
                <c:pt idx="465">
                  <c:v>9.6203707235237593E-2</c:v>
                </c:pt>
                <c:pt idx="466">
                  <c:v>9.6203707235237593E-2</c:v>
                </c:pt>
                <c:pt idx="467">
                  <c:v>9.6203707235237593E-2</c:v>
                </c:pt>
                <c:pt idx="468">
                  <c:v>9.6203707235237593E-2</c:v>
                </c:pt>
                <c:pt idx="469">
                  <c:v>9.6203707235237593E-2</c:v>
                </c:pt>
                <c:pt idx="470">
                  <c:v>9.6203707235237593E-2</c:v>
                </c:pt>
                <c:pt idx="471">
                  <c:v>9.6203707235237593E-2</c:v>
                </c:pt>
                <c:pt idx="472">
                  <c:v>9.6203707235237593E-2</c:v>
                </c:pt>
                <c:pt idx="473">
                  <c:v>9.6203707235237593E-2</c:v>
                </c:pt>
                <c:pt idx="474">
                  <c:v>9.6203707235237593E-2</c:v>
                </c:pt>
                <c:pt idx="475">
                  <c:v>9.6203707235237593E-2</c:v>
                </c:pt>
                <c:pt idx="476">
                  <c:v>9.6203707235237593E-2</c:v>
                </c:pt>
                <c:pt idx="477">
                  <c:v>9.6203707235237593E-2</c:v>
                </c:pt>
                <c:pt idx="478">
                  <c:v>9.6203707235237593E-2</c:v>
                </c:pt>
                <c:pt idx="479">
                  <c:v>9.6203707235237593E-2</c:v>
                </c:pt>
                <c:pt idx="480">
                  <c:v>9.6203707235237593E-2</c:v>
                </c:pt>
                <c:pt idx="481">
                  <c:v>9.6203707235237593E-2</c:v>
                </c:pt>
                <c:pt idx="482">
                  <c:v>9.6203707235237593E-2</c:v>
                </c:pt>
                <c:pt idx="483">
                  <c:v>9.6203707235237593E-2</c:v>
                </c:pt>
                <c:pt idx="484">
                  <c:v>9.6203707235237593E-2</c:v>
                </c:pt>
                <c:pt idx="485">
                  <c:v>9.6203707235237593E-2</c:v>
                </c:pt>
                <c:pt idx="486">
                  <c:v>9.6203707235237593E-2</c:v>
                </c:pt>
                <c:pt idx="487">
                  <c:v>9.6203707235237593E-2</c:v>
                </c:pt>
                <c:pt idx="488">
                  <c:v>9.6203707235237593E-2</c:v>
                </c:pt>
                <c:pt idx="489">
                  <c:v>9.6203707235237593E-2</c:v>
                </c:pt>
                <c:pt idx="490">
                  <c:v>9.6203707235237593E-2</c:v>
                </c:pt>
                <c:pt idx="491">
                  <c:v>9.6203707235237593E-2</c:v>
                </c:pt>
                <c:pt idx="492">
                  <c:v>9.6203707235237593E-2</c:v>
                </c:pt>
                <c:pt idx="493">
                  <c:v>9.6203707235237593E-2</c:v>
                </c:pt>
                <c:pt idx="494">
                  <c:v>9.6203707235237593E-2</c:v>
                </c:pt>
                <c:pt idx="495">
                  <c:v>9.6203707235237593E-2</c:v>
                </c:pt>
                <c:pt idx="496">
                  <c:v>9.6203707235237593E-2</c:v>
                </c:pt>
                <c:pt idx="497">
                  <c:v>9.6203707235237593E-2</c:v>
                </c:pt>
                <c:pt idx="498">
                  <c:v>9.6203707235237593E-2</c:v>
                </c:pt>
                <c:pt idx="499">
                  <c:v>9.6203707235237593E-2</c:v>
                </c:pt>
                <c:pt idx="500">
                  <c:v>9.6203707235237593E-2</c:v>
                </c:pt>
                <c:pt idx="501">
                  <c:v>9.6203707235237593E-2</c:v>
                </c:pt>
                <c:pt idx="502">
                  <c:v>9.6203707235237593E-2</c:v>
                </c:pt>
                <c:pt idx="503">
                  <c:v>9.6203707235237593E-2</c:v>
                </c:pt>
                <c:pt idx="504">
                  <c:v>9.6203707235237593E-2</c:v>
                </c:pt>
                <c:pt idx="505">
                  <c:v>9.6203707235237593E-2</c:v>
                </c:pt>
                <c:pt idx="506">
                  <c:v>9.6203707235237593E-2</c:v>
                </c:pt>
                <c:pt idx="507">
                  <c:v>9.6203707235237593E-2</c:v>
                </c:pt>
                <c:pt idx="508">
                  <c:v>9.6203707235237593E-2</c:v>
                </c:pt>
                <c:pt idx="509">
                  <c:v>9.6203707235237593E-2</c:v>
                </c:pt>
                <c:pt idx="510">
                  <c:v>9.6203707235237593E-2</c:v>
                </c:pt>
                <c:pt idx="511">
                  <c:v>9.6203707235237593E-2</c:v>
                </c:pt>
                <c:pt idx="512">
                  <c:v>9.6203707235237593E-2</c:v>
                </c:pt>
                <c:pt idx="513">
                  <c:v>9.6203707235237593E-2</c:v>
                </c:pt>
                <c:pt idx="514">
                  <c:v>9.6203707235237593E-2</c:v>
                </c:pt>
                <c:pt idx="515">
                  <c:v>9.6203707235237593E-2</c:v>
                </c:pt>
                <c:pt idx="516">
                  <c:v>9.6203707235237593E-2</c:v>
                </c:pt>
                <c:pt idx="517">
                  <c:v>9.6203707235237593E-2</c:v>
                </c:pt>
                <c:pt idx="518">
                  <c:v>9.6203707235237593E-2</c:v>
                </c:pt>
                <c:pt idx="519">
                  <c:v>9.6203707235237593E-2</c:v>
                </c:pt>
                <c:pt idx="520">
                  <c:v>9.6203707235237593E-2</c:v>
                </c:pt>
                <c:pt idx="521">
                  <c:v>9.6203707235237593E-2</c:v>
                </c:pt>
                <c:pt idx="522">
                  <c:v>9.6203707235237593E-2</c:v>
                </c:pt>
                <c:pt idx="523">
                  <c:v>9.6203707235237593E-2</c:v>
                </c:pt>
                <c:pt idx="524">
                  <c:v>9.6203707235237593E-2</c:v>
                </c:pt>
                <c:pt idx="525">
                  <c:v>9.6203707235237593E-2</c:v>
                </c:pt>
                <c:pt idx="526">
                  <c:v>9.6203707235237593E-2</c:v>
                </c:pt>
                <c:pt idx="527">
                  <c:v>9.6203707235237593E-2</c:v>
                </c:pt>
                <c:pt idx="528">
                  <c:v>9.6203707235237593E-2</c:v>
                </c:pt>
                <c:pt idx="529">
                  <c:v>9.6203707235237593E-2</c:v>
                </c:pt>
                <c:pt idx="530">
                  <c:v>9.6203707235237593E-2</c:v>
                </c:pt>
                <c:pt idx="531">
                  <c:v>9.6203707235237593E-2</c:v>
                </c:pt>
                <c:pt idx="532">
                  <c:v>9.6203707235237593E-2</c:v>
                </c:pt>
                <c:pt idx="533">
                  <c:v>9.6203707235237593E-2</c:v>
                </c:pt>
                <c:pt idx="534">
                  <c:v>9.6203707235237593E-2</c:v>
                </c:pt>
                <c:pt idx="535">
                  <c:v>9.6203707235237593E-2</c:v>
                </c:pt>
                <c:pt idx="536">
                  <c:v>9.6203707235237593E-2</c:v>
                </c:pt>
                <c:pt idx="537">
                  <c:v>9.6203707235237593E-2</c:v>
                </c:pt>
                <c:pt idx="538">
                  <c:v>9.6203707235237593E-2</c:v>
                </c:pt>
                <c:pt idx="539">
                  <c:v>9.6203707235237593E-2</c:v>
                </c:pt>
                <c:pt idx="540">
                  <c:v>9.6203707235237593E-2</c:v>
                </c:pt>
              </c:numCache>
            </c:numRef>
          </c:yVal>
          <c:smooth val="0"/>
        </c:ser>
        <c:dLbls>
          <c:showLegendKey val="0"/>
          <c:showVal val="0"/>
          <c:showCatName val="0"/>
          <c:showSerName val="0"/>
          <c:showPercent val="0"/>
          <c:showBubbleSize val="0"/>
        </c:dLbls>
        <c:axId val="173973504"/>
        <c:axId val="173975424"/>
      </c:scatterChart>
      <c:valAx>
        <c:axId val="173973504"/>
        <c:scaling>
          <c:orientation val="minMax"/>
        </c:scaling>
        <c:delete val="0"/>
        <c:axPos val="b"/>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baseline="0"/>
                  <a:t>V</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975424"/>
        <c:crosses val="autoZero"/>
        <c:crossBetween val="midCat"/>
      </c:valAx>
      <c:valAx>
        <c:axId val="173975424"/>
        <c:scaling>
          <c:orientation val="minMax"/>
        </c:scaling>
        <c:delete val="0"/>
        <c:axPos val="l"/>
        <c:majorGridlines>
          <c:spPr>
            <a:ln w="3175">
              <a:solidFill>
                <a:srgbClr val="969696"/>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3973504"/>
        <c:crosses val="autoZero"/>
        <c:crossBetween val="midCat"/>
        <c:minorUnit val="0.01"/>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GB" sz="800" baseline="0"/>
              <a:t>tsw vs Vin  - for calculator development only</a:t>
            </a:r>
          </a:p>
        </c:rich>
      </c:tx>
      <c:overlay val="0"/>
      <c:spPr>
        <a:noFill/>
        <a:ln w="25400">
          <a:noFill/>
        </a:ln>
      </c:spPr>
    </c:title>
    <c:autoTitleDeleted val="0"/>
    <c:plotArea>
      <c:layout/>
      <c:scatterChart>
        <c:scatterStyle val="lineMarker"/>
        <c:varyColors val="0"/>
        <c:ser>
          <c:idx val="0"/>
          <c:order val="0"/>
          <c:tx>
            <c:strRef>
              <c:f>Calculator!$AN$119</c:f>
              <c:strCache>
                <c:ptCount val="1"/>
                <c:pt idx="0">
                  <c:v>tsw, ns</c:v>
                </c:pt>
              </c:strCache>
            </c:strRef>
          </c:tx>
          <c:spPr>
            <a:ln w="38100">
              <a:solidFill>
                <a:srgbClr val="000080"/>
              </a:solidFill>
              <a:prstDash val="solid"/>
            </a:ln>
          </c:spPr>
          <c:marker>
            <c:symbol val="none"/>
          </c:marker>
          <c:xVal>
            <c:numRef>
              <c:f>Calculator!$R$120:$R$660</c:f>
              <c:numCache>
                <c:formatCode>General</c:formatCode>
                <c:ptCount val="541"/>
                <c:pt idx="0">
                  <c:v>8</c:v>
                </c:pt>
                <c:pt idx="1">
                  <c:v>8.1</c:v>
                </c:pt>
                <c:pt idx="2">
                  <c:v>8.1999999999999993</c:v>
                </c:pt>
                <c:pt idx="3">
                  <c:v>8.2999999999999989</c:v>
                </c:pt>
                <c:pt idx="4">
                  <c:v>8.3999999999999986</c:v>
                </c:pt>
                <c:pt idx="5">
                  <c:v>8.4999999999999982</c:v>
                </c:pt>
                <c:pt idx="6">
                  <c:v>8.5999999999999979</c:v>
                </c:pt>
                <c:pt idx="7">
                  <c:v>8.6999999999999975</c:v>
                </c:pt>
                <c:pt idx="8">
                  <c:v>8.7999999999999972</c:v>
                </c:pt>
                <c:pt idx="9">
                  <c:v>8.8999999999999968</c:v>
                </c:pt>
                <c:pt idx="10">
                  <c:v>8.9999999999999964</c:v>
                </c:pt>
                <c:pt idx="11">
                  <c:v>9.0999999999999961</c:v>
                </c:pt>
                <c:pt idx="12">
                  <c:v>9.1999999999999957</c:v>
                </c:pt>
                <c:pt idx="13">
                  <c:v>9.2999999999999954</c:v>
                </c:pt>
                <c:pt idx="14">
                  <c:v>9.399999999999995</c:v>
                </c:pt>
                <c:pt idx="15">
                  <c:v>9.4999999999999947</c:v>
                </c:pt>
                <c:pt idx="16">
                  <c:v>9.5999999999999943</c:v>
                </c:pt>
                <c:pt idx="17">
                  <c:v>9.699999999999994</c:v>
                </c:pt>
                <c:pt idx="18">
                  <c:v>9.7999999999999936</c:v>
                </c:pt>
                <c:pt idx="19">
                  <c:v>9.8999999999999932</c:v>
                </c:pt>
                <c:pt idx="20">
                  <c:v>9.9999999999999929</c:v>
                </c:pt>
                <c:pt idx="21">
                  <c:v>10.099999999999993</c:v>
                </c:pt>
                <c:pt idx="22">
                  <c:v>10.199999999999992</c:v>
                </c:pt>
                <c:pt idx="23">
                  <c:v>10.299999999999992</c:v>
                </c:pt>
                <c:pt idx="24">
                  <c:v>10.399999999999991</c:v>
                </c:pt>
                <c:pt idx="25">
                  <c:v>10.499999999999991</c:v>
                </c:pt>
                <c:pt idx="26">
                  <c:v>10.599999999999991</c:v>
                </c:pt>
                <c:pt idx="27">
                  <c:v>10.69999999999999</c:v>
                </c:pt>
                <c:pt idx="28">
                  <c:v>10.79999999999999</c:v>
                </c:pt>
                <c:pt idx="29">
                  <c:v>10.89999999999999</c:v>
                </c:pt>
                <c:pt idx="30">
                  <c:v>10.999999999999989</c:v>
                </c:pt>
                <c:pt idx="31">
                  <c:v>11.099999999999989</c:v>
                </c:pt>
                <c:pt idx="32">
                  <c:v>11.199999999999989</c:v>
                </c:pt>
                <c:pt idx="33">
                  <c:v>11.299999999999988</c:v>
                </c:pt>
                <c:pt idx="34">
                  <c:v>11.399999999999988</c:v>
                </c:pt>
                <c:pt idx="35">
                  <c:v>11.499999999999988</c:v>
                </c:pt>
                <c:pt idx="36">
                  <c:v>11.599999999999987</c:v>
                </c:pt>
                <c:pt idx="37">
                  <c:v>11.699999999999987</c:v>
                </c:pt>
                <c:pt idx="38">
                  <c:v>11.799999999999986</c:v>
                </c:pt>
                <c:pt idx="39">
                  <c:v>11.899999999999986</c:v>
                </c:pt>
                <c:pt idx="40">
                  <c:v>11.999999999999986</c:v>
                </c:pt>
                <c:pt idx="41">
                  <c:v>12.099999999999985</c:v>
                </c:pt>
                <c:pt idx="42">
                  <c:v>12.199999999999985</c:v>
                </c:pt>
                <c:pt idx="43">
                  <c:v>12.299999999999985</c:v>
                </c:pt>
                <c:pt idx="44">
                  <c:v>12.399999999999984</c:v>
                </c:pt>
                <c:pt idx="45">
                  <c:v>12.499999999999984</c:v>
                </c:pt>
                <c:pt idx="46">
                  <c:v>12.599999999999984</c:v>
                </c:pt>
                <c:pt idx="47">
                  <c:v>12.699999999999983</c:v>
                </c:pt>
                <c:pt idx="48">
                  <c:v>12.799999999999983</c:v>
                </c:pt>
                <c:pt idx="49">
                  <c:v>12.899999999999983</c:v>
                </c:pt>
                <c:pt idx="50">
                  <c:v>12.999999999999982</c:v>
                </c:pt>
                <c:pt idx="51">
                  <c:v>13.099999999999982</c:v>
                </c:pt>
                <c:pt idx="52">
                  <c:v>13.199999999999982</c:v>
                </c:pt>
                <c:pt idx="53">
                  <c:v>13.299999999999981</c:v>
                </c:pt>
                <c:pt idx="54">
                  <c:v>13.399999999999981</c:v>
                </c:pt>
                <c:pt idx="55">
                  <c:v>13.49999999999998</c:v>
                </c:pt>
                <c:pt idx="56">
                  <c:v>13.59999999999998</c:v>
                </c:pt>
                <c:pt idx="57">
                  <c:v>13.69999999999998</c:v>
                </c:pt>
                <c:pt idx="58">
                  <c:v>13.799999999999979</c:v>
                </c:pt>
                <c:pt idx="59">
                  <c:v>13.899999999999979</c:v>
                </c:pt>
                <c:pt idx="60">
                  <c:v>13.999999999999979</c:v>
                </c:pt>
                <c:pt idx="61">
                  <c:v>14.099999999999978</c:v>
                </c:pt>
                <c:pt idx="62">
                  <c:v>14.199999999999978</c:v>
                </c:pt>
                <c:pt idx="63">
                  <c:v>14.299999999999978</c:v>
                </c:pt>
                <c:pt idx="64">
                  <c:v>14.399999999999977</c:v>
                </c:pt>
                <c:pt idx="65">
                  <c:v>14.499999999999977</c:v>
                </c:pt>
                <c:pt idx="66">
                  <c:v>14.599999999999977</c:v>
                </c:pt>
                <c:pt idx="67">
                  <c:v>14.699999999999976</c:v>
                </c:pt>
                <c:pt idx="68">
                  <c:v>14.799999999999976</c:v>
                </c:pt>
                <c:pt idx="69">
                  <c:v>14.899999999999975</c:v>
                </c:pt>
                <c:pt idx="70">
                  <c:v>14.999999999999975</c:v>
                </c:pt>
                <c:pt idx="71">
                  <c:v>15.099999999999975</c:v>
                </c:pt>
                <c:pt idx="72">
                  <c:v>15.199999999999974</c:v>
                </c:pt>
                <c:pt idx="73">
                  <c:v>15.299999999999974</c:v>
                </c:pt>
                <c:pt idx="74">
                  <c:v>15.399999999999974</c:v>
                </c:pt>
                <c:pt idx="75">
                  <c:v>15.499999999999973</c:v>
                </c:pt>
                <c:pt idx="76">
                  <c:v>15.599999999999973</c:v>
                </c:pt>
                <c:pt idx="77">
                  <c:v>15.699999999999973</c:v>
                </c:pt>
                <c:pt idx="78">
                  <c:v>15.799999999999972</c:v>
                </c:pt>
                <c:pt idx="79">
                  <c:v>15.899999999999972</c:v>
                </c:pt>
                <c:pt idx="80">
                  <c:v>15.999999999999972</c:v>
                </c:pt>
                <c:pt idx="81">
                  <c:v>16.099999999999973</c:v>
                </c:pt>
                <c:pt idx="82">
                  <c:v>16.199999999999974</c:v>
                </c:pt>
                <c:pt idx="83">
                  <c:v>16.299999999999976</c:v>
                </c:pt>
                <c:pt idx="84">
                  <c:v>16.399999999999977</c:v>
                </c:pt>
                <c:pt idx="85">
                  <c:v>16.499999999999979</c:v>
                </c:pt>
                <c:pt idx="86">
                  <c:v>16.59999999999998</c:v>
                </c:pt>
                <c:pt idx="87">
                  <c:v>16.699999999999982</c:v>
                </c:pt>
                <c:pt idx="88">
                  <c:v>16.799999999999983</c:v>
                </c:pt>
                <c:pt idx="89">
                  <c:v>16.899999999999984</c:v>
                </c:pt>
                <c:pt idx="90">
                  <c:v>16.999999999999986</c:v>
                </c:pt>
                <c:pt idx="91">
                  <c:v>17.099999999999987</c:v>
                </c:pt>
                <c:pt idx="92">
                  <c:v>17.199999999999989</c:v>
                </c:pt>
                <c:pt idx="93">
                  <c:v>17.29999999999999</c:v>
                </c:pt>
                <c:pt idx="94">
                  <c:v>17.399999999999991</c:v>
                </c:pt>
                <c:pt idx="95">
                  <c:v>17.499999999999993</c:v>
                </c:pt>
                <c:pt idx="96">
                  <c:v>17.599999999999994</c:v>
                </c:pt>
                <c:pt idx="97">
                  <c:v>17.699999999999996</c:v>
                </c:pt>
                <c:pt idx="98">
                  <c:v>17.799999999999997</c:v>
                </c:pt>
                <c:pt idx="99">
                  <c:v>17.899999999999999</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18</c:v>
                </c:pt>
                <c:pt idx="152">
                  <c:v>18</c:v>
                </c:pt>
                <c:pt idx="153">
                  <c:v>18</c:v>
                </c:pt>
                <c:pt idx="154">
                  <c:v>18</c:v>
                </c:pt>
                <c:pt idx="155">
                  <c:v>18</c:v>
                </c:pt>
                <c:pt idx="156">
                  <c:v>18</c:v>
                </c:pt>
                <c:pt idx="157">
                  <c:v>18</c:v>
                </c:pt>
                <c:pt idx="158">
                  <c:v>18</c:v>
                </c:pt>
                <c:pt idx="159">
                  <c:v>18</c:v>
                </c:pt>
                <c:pt idx="160">
                  <c:v>18</c:v>
                </c:pt>
                <c:pt idx="161">
                  <c:v>18</c:v>
                </c:pt>
                <c:pt idx="162">
                  <c:v>18</c:v>
                </c:pt>
                <c:pt idx="163">
                  <c:v>18</c:v>
                </c:pt>
                <c:pt idx="164">
                  <c:v>18</c:v>
                </c:pt>
                <c:pt idx="165">
                  <c:v>18</c:v>
                </c:pt>
                <c:pt idx="166">
                  <c:v>18</c:v>
                </c:pt>
                <c:pt idx="167">
                  <c:v>18</c:v>
                </c:pt>
                <c:pt idx="168">
                  <c:v>18</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pt idx="365">
                  <c:v>18</c:v>
                </c:pt>
                <c:pt idx="366">
                  <c:v>18</c:v>
                </c:pt>
                <c:pt idx="367">
                  <c:v>18</c:v>
                </c:pt>
                <c:pt idx="368">
                  <c:v>18</c:v>
                </c:pt>
                <c:pt idx="369">
                  <c:v>18</c:v>
                </c:pt>
                <c:pt idx="370">
                  <c:v>18</c:v>
                </c:pt>
                <c:pt idx="371">
                  <c:v>18</c:v>
                </c:pt>
                <c:pt idx="372">
                  <c:v>18</c:v>
                </c:pt>
                <c:pt idx="373">
                  <c:v>18</c:v>
                </c:pt>
                <c:pt idx="374">
                  <c:v>18</c:v>
                </c:pt>
                <c:pt idx="375">
                  <c:v>18</c:v>
                </c:pt>
                <c:pt idx="376">
                  <c:v>18</c:v>
                </c:pt>
                <c:pt idx="377">
                  <c:v>18</c:v>
                </c:pt>
                <c:pt idx="378">
                  <c:v>18</c:v>
                </c:pt>
                <c:pt idx="379">
                  <c:v>18</c:v>
                </c:pt>
                <c:pt idx="380">
                  <c:v>18</c:v>
                </c:pt>
                <c:pt idx="381">
                  <c:v>18</c:v>
                </c:pt>
                <c:pt idx="382">
                  <c:v>18</c:v>
                </c:pt>
                <c:pt idx="383">
                  <c:v>18</c:v>
                </c:pt>
                <c:pt idx="384">
                  <c:v>18</c:v>
                </c:pt>
                <c:pt idx="385">
                  <c:v>18</c:v>
                </c:pt>
                <c:pt idx="386">
                  <c:v>18</c:v>
                </c:pt>
                <c:pt idx="387">
                  <c:v>18</c:v>
                </c:pt>
                <c:pt idx="388">
                  <c:v>18</c:v>
                </c:pt>
                <c:pt idx="389">
                  <c:v>18</c:v>
                </c:pt>
                <c:pt idx="390">
                  <c:v>18</c:v>
                </c:pt>
                <c:pt idx="391">
                  <c:v>18</c:v>
                </c:pt>
                <c:pt idx="392">
                  <c:v>18</c:v>
                </c:pt>
                <c:pt idx="393">
                  <c:v>18</c:v>
                </c:pt>
                <c:pt idx="394">
                  <c:v>18</c:v>
                </c:pt>
                <c:pt idx="395">
                  <c:v>18</c:v>
                </c:pt>
                <c:pt idx="396">
                  <c:v>18</c:v>
                </c:pt>
                <c:pt idx="397">
                  <c:v>18</c:v>
                </c:pt>
                <c:pt idx="398">
                  <c:v>18</c:v>
                </c:pt>
                <c:pt idx="399">
                  <c:v>18</c:v>
                </c:pt>
                <c:pt idx="400">
                  <c:v>18</c:v>
                </c:pt>
                <c:pt idx="401">
                  <c:v>18</c:v>
                </c:pt>
                <c:pt idx="402">
                  <c:v>18</c:v>
                </c:pt>
                <c:pt idx="403">
                  <c:v>18</c:v>
                </c:pt>
                <c:pt idx="404">
                  <c:v>18</c:v>
                </c:pt>
                <c:pt idx="405">
                  <c:v>18</c:v>
                </c:pt>
                <c:pt idx="406">
                  <c:v>18</c:v>
                </c:pt>
                <c:pt idx="407">
                  <c:v>18</c:v>
                </c:pt>
                <c:pt idx="408">
                  <c:v>18</c:v>
                </c:pt>
                <c:pt idx="409">
                  <c:v>18</c:v>
                </c:pt>
                <c:pt idx="410">
                  <c:v>18</c:v>
                </c:pt>
                <c:pt idx="411">
                  <c:v>18</c:v>
                </c:pt>
                <c:pt idx="412">
                  <c:v>18</c:v>
                </c:pt>
                <c:pt idx="413">
                  <c:v>18</c:v>
                </c:pt>
                <c:pt idx="414">
                  <c:v>18</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numCache>
            </c:numRef>
          </c:xVal>
          <c:yVal>
            <c:numRef>
              <c:f>Calculator!$AN$120:$AN$660</c:f>
              <c:numCache>
                <c:formatCode>0.000</c:formatCode>
                <c:ptCount val="541"/>
                <c:pt idx="0">
                  <c:v>24.05</c:v>
                </c:pt>
                <c:pt idx="1">
                  <c:v>24.05</c:v>
                </c:pt>
                <c:pt idx="2">
                  <c:v>24.05</c:v>
                </c:pt>
                <c:pt idx="3">
                  <c:v>24.05</c:v>
                </c:pt>
                <c:pt idx="4">
                  <c:v>24.05</c:v>
                </c:pt>
                <c:pt idx="5">
                  <c:v>24.05</c:v>
                </c:pt>
                <c:pt idx="6">
                  <c:v>24.05</c:v>
                </c:pt>
                <c:pt idx="7">
                  <c:v>24.05</c:v>
                </c:pt>
                <c:pt idx="8">
                  <c:v>24.05</c:v>
                </c:pt>
                <c:pt idx="9">
                  <c:v>24.05</c:v>
                </c:pt>
                <c:pt idx="10">
                  <c:v>24.05</c:v>
                </c:pt>
                <c:pt idx="11">
                  <c:v>24.05</c:v>
                </c:pt>
                <c:pt idx="12">
                  <c:v>24.05</c:v>
                </c:pt>
                <c:pt idx="13">
                  <c:v>24.05</c:v>
                </c:pt>
                <c:pt idx="14">
                  <c:v>24.05</c:v>
                </c:pt>
                <c:pt idx="15">
                  <c:v>24.05</c:v>
                </c:pt>
                <c:pt idx="16">
                  <c:v>24.05</c:v>
                </c:pt>
                <c:pt idx="17">
                  <c:v>24.05</c:v>
                </c:pt>
                <c:pt idx="18">
                  <c:v>24.05</c:v>
                </c:pt>
                <c:pt idx="19">
                  <c:v>24.05</c:v>
                </c:pt>
                <c:pt idx="20">
                  <c:v>24.05</c:v>
                </c:pt>
                <c:pt idx="21">
                  <c:v>24.05</c:v>
                </c:pt>
                <c:pt idx="22">
                  <c:v>24.05</c:v>
                </c:pt>
                <c:pt idx="23">
                  <c:v>24.05</c:v>
                </c:pt>
                <c:pt idx="24">
                  <c:v>24.05</c:v>
                </c:pt>
                <c:pt idx="25">
                  <c:v>24.05</c:v>
                </c:pt>
                <c:pt idx="26">
                  <c:v>24.05</c:v>
                </c:pt>
                <c:pt idx="27">
                  <c:v>24.05</c:v>
                </c:pt>
                <c:pt idx="28">
                  <c:v>24.05</c:v>
                </c:pt>
                <c:pt idx="29">
                  <c:v>24.05</c:v>
                </c:pt>
                <c:pt idx="30">
                  <c:v>24.05</c:v>
                </c:pt>
                <c:pt idx="31">
                  <c:v>24.05</c:v>
                </c:pt>
                <c:pt idx="32">
                  <c:v>24.05</c:v>
                </c:pt>
                <c:pt idx="33">
                  <c:v>24.05</c:v>
                </c:pt>
                <c:pt idx="34">
                  <c:v>24.05</c:v>
                </c:pt>
                <c:pt idx="35">
                  <c:v>24.05</c:v>
                </c:pt>
                <c:pt idx="36">
                  <c:v>24.05</c:v>
                </c:pt>
                <c:pt idx="37">
                  <c:v>24.05</c:v>
                </c:pt>
                <c:pt idx="38">
                  <c:v>24.05</c:v>
                </c:pt>
                <c:pt idx="39">
                  <c:v>24.05</c:v>
                </c:pt>
                <c:pt idx="40">
                  <c:v>24.05</c:v>
                </c:pt>
                <c:pt idx="41">
                  <c:v>24.05</c:v>
                </c:pt>
                <c:pt idx="42">
                  <c:v>24.05</c:v>
                </c:pt>
                <c:pt idx="43">
                  <c:v>24.05</c:v>
                </c:pt>
                <c:pt idx="44">
                  <c:v>24.05</c:v>
                </c:pt>
                <c:pt idx="45">
                  <c:v>24.05</c:v>
                </c:pt>
                <c:pt idx="46">
                  <c:v>24.05</c:v>
                </c:pt>
                <c:pt idx="47">
                  <c:v>24.05</c:v>
                </c:pt>
                <c:pt idx="48">
                  <c:v>24.05</c:v>
                </c:pt>
                <c:pt idx="49">
                  <c:v>24.05</c:v>
                </c:pt>
                <c:pt idx="50">
                  <c:v>24.05</c:v>
                </c:pt>
                <c:pt idx="51">
                  <c:v>24.05</c:v>
                </c:pt>
                <c:pt idx="52">
                  <c:v>24.05</c:v>
                </c:pt>
                <c:pt idx="53">
                  <c:v>24.05</c:v>
                </c:pt>
                <c:pt idx="54">
                  <c:v>24.05</c:v>
                </c:pt>
                <c:pt idx="55">
                  <c:v>24.05</c:v>
                </c:pt>
                <c:pt idx="56">
                  <c:v>24.05</c:v>
                </c:pt>
                <c:pt idx="57">
                  <c:v>24.05</c:v>
                </c:pt>
                <c:pt idx="58">
                  <c:v>24.05</c:v>
                </c:pt>
                <c:pt idx="59">
                  <c:v>24.05</c:v>
                </c:pt>
                <c:pt idx="60">
                  <c:v>24.05</c:v>
                </c:pt>
                <c:pt idx="61">
                  <c:v>24.05</c:v>
                </c:pt>
                <c:pt idx="62">
                  <c:v>24.05</c:v>
                </c:pt>
                <c:pt idx="63">
                  <c:v>24.05</c:v>
                </c:pt>
                <c:pt idx="64">
                  <c:v>24.05</c:v>
                </c:pt>
                <c:pt idx="65">
                  <c:v>24.05</c:v>
                </c:pt>
                <c:pt idx="66">
                  <c:v>24.05</c:v>
                </c:pt>
                <c:pt idx="67">
                  <c:v>24.05</c:v>
                </c:pt>
                <c:pt idx="68">
                  <c:v>24.05</c:v>
                </c:pt>
                <c:pt idx="69">
                  <c:v>24.05</c:v>
                </c:pt>
                <c:pt idx="70">
                  <c:v>24.05</c:v>
                </c:pt>
                <c:pt idx="71">
                  <c:v>24.05</c:v>
                </c:pt>
                <c:pt idx="72">
                  <c:v>24.05</c:v>
                </c:pt>
                <c:pt idx="73">
                  <c:v>24.05</c:v>
                </c:pt>
                <c:pt idx="74">
                  <c:v>24.05</c:v>
                </c:pt>
                <c:pt idx="75">
                  <c:v>24.05</c:v>
                </c:pt>
                <c:pt idx="76">
                  <c:v>24.05</c:v>
                </c:pt>
                <c:pt idx="77">
                  <c:v>24.05</c:v>
                </c:pt>
                <c:pt idx="78">
                  <c:v>24.05</c:v>
                </c:pt>
                <c:pt idx="79">
                  <c:v>24.05</c:v>
                </c:pt>
                <c:pt idx="80">
                  <c:v>24.05</c:v>
                </c:pt>
                <c:pt idx="81">
                  <c:v>24.05</c:v>
                </c:pt>
                <c:pt idx="82">
                  <c:v>24.05</c:v>
                </c:pt>
                <c:pt idx="83">
                  <c:v>24.05</c:v>
                </c:pt>
                <c:pt idx="84">
                  <c:v>24.05</c:v>
                </c:pt>
                <c:pt idx="85">
                  <c:v>24.05</c:v>
                </c:pt>
                <c:pt idx="86">
                  <c:v>24.05</c:v>
                </c:pt>
                <c:pt idx="87">
                  <c:v>24.05</c:v>
                </c:pt>
                <c:pt idx="88">
                  <c:v>24.05</c:v>
                </c:pt>
                <c:pt idx="89">
                  <c:v>24.05</c:v>
                </c:pt>
                <c:pt idx="90">
                  <c:v>24.05</c:v>
                </c:pt>
                <c:pt idx="91">
                  <c:v>24.05</c:v>
                </c:pt>
                <c:pt idx="92">
                  <c:v>24.05</c:v>
                </c:pt>
                <c:pt idx="93">
                  <c:v>24.05</c:v>
                </c:pt>
                <c:pt idx="94">
                  <c:v>24.05</c:v>
                </c:pt>
                <c:pt idx="95">
                  <c:v>24.05</c:v>
                </c:pt>
                <c:pt idx="96">
                  <c:v>24.05</c:v>
                </c:pt>
                <c:pt idx="97">
                  <c:v>24.05</c:v>
                </c:pt>
                <c:pt idx="98">
                  <c:v>24.05</c:v>
                </c:pt>
                <c:pt idx="99">
                  <c:v>24.05</c:v>
                </c:pt>
                <c:pt idx="100">
                  <c:v>24.05</c:v>
                </c:pt>
                <c:pt idx="101">
                  <c:v>24.05</c:v>
                </c:pt>
                <c:pt idx="102">
                  <c:v>24.05</c:v>
                </c:pt>
                <c:pt idx="103">
                  <c:v>24.05</c:v>
                </c:pt>
                <c:pt idx="104">
                  <c:v>24.05</c:v>
                </c:pt>
                <c:pt idx="105">
                  <c:v>24.05</c:v>
                </c:pt>
                <c:pt idx="106">
                  <c:v>24.05</c:v>
                </c:pt>
                <c:pt idx="107">
                  <c:v>24.05</c:v>
                </c:pt>
                <c:pt idx="108">
                  <c:v>24.05</c:v>
                </c:pt>
                <c:pt idx="109">
                  <c:v>24.05</c:v>
                </c:pt>
                <c:pt idx="110">
                  <c:v>24.05</c:v>
                </c:pt>
                <c:pt idx="111">
                  <c:v>24.05</c:v>
                </c:pt>
                <c:pt idx="112">
                  <c:v>24.05</c:v>
                </c:pt>
                <c:pt idx="113">
                  <c:v>24.05</c:v>
                </c:pt>
                <c:pt idx="114">
                  <c:v>24.05</c:v>
                </c:pt>
                <c:pt idx="115">
                  <c:v>24.05</c:v>
                </c:pt>
                <c:pt idx="116">
                  <c:v>24.05</c:v>
                </c:pt>
                <c:pt idx="117">
                  <c:v>24.05</c:v>
                </c:pt>
                <c:pt idx="118">
                  <c:v>24.05</c:v>
                </c:pt>
                <c:pt idx="119">
                  <c:v>24.05</c:v>
                </c:pt>
                <c:pt idx="120">
                  <c:v>24.05</c:v>
                </c:pt>
                <c:pt idx="121">
                  <c:v>24.05</c:v>
                </c:pt>
                <c:pt idx="122">
                  <c:v>24.05</c:v>
                </c:pt>
                <c:pt idx="123">
                  <c:v>24.05</c:v>
                </c:pt>
                <c:pt idx="124">
                  <c:v>24.05</c:v>
                </c:pt>
                <c:pt idx="125">
                  <c:v>24.05</c:v>
                </c:pt>
                <c:pt idx="126">
                  <c:v>24.05</c:v>
                </c:pt>
                <c:pt idx="127">
                  <c:v>24.05</c:v>
                </c:pt>
                <c:pt idx="128">
                  <c:v>24.05</c:v>
                </c:pt>
                <c:pt idx="129">
                  <c:v>24.05</c:v>
                </c:pt>
                <c:pt idx="130">
                  <c:v>24.05</c:v>
                </c:pt>
                <c:pt idx="131">
                  <c:v>24.05</c:v>
                </c:pt>
                <c:pt idx="132">
                  <c:v>24.05</c:v>
                </c:pt>
                <c:pt idx="133">
                  <c:v>24.05</c:v>
                </c:pt>
                <c:pt idx="134">
                  <c:v>24.05</c:v>
                </c:pt>
                <c:pt idx="135">
                  <c:v>24.05</c:v>
                </c:pt>
                <c:pt idx="136">
                  <c:v>24.05</c:v>
                </c:pt>
                <c:pt idx="137">
                  <c:v>24.05</c:v>
                </c:pt>
                <c:pt idx="138">
                  <c:v>24.05</c:v>
                </c:pt>
                <c:pt idx="139">
                  <c:v>24.05</c:v>
                </c:pt>
                <c:pt idx="140">
                  <c:v>24.05</c:v>
                </c:pt>
                <c:pt idx="141">
                  <c:v>24.05</c:v>
                </c:pt>
                <c:pt idx="142">
                  <c:v>24.05</c:v>
                </c:pt>
                <c:pt idx="143">
                  <c:v>24.05</c:v>
                </c:pt>
                <c:pt idx="144">
                  <c:v>24.05</c:v>
                </c:pt>
                <c:pt idx="145">
                  <c:v>24.05</c:v>
                </c:pt>
                <c:pt idx="146">
                  <c:v>24.05</c:v>
                </c:pt>
                <c:pt idx="147">
                  <c:v>24.05</c:v>
                </c:pt>
                <c:pt idx="148">
                  <c:v>24.05</c:v>
                </c:pt>
                <c:pt idx="149">
                  <c:v>24.05</c:v>
                </c:pt>
                <c:pt idx="150">
                  <c:v>24.05</c:v>
                </c:pt>
                <c:pt idx="151">
                  <c:v>24.05</c:v>
                </c:pt>
                <c:pt idx="152">
                  <c:v>24.05</c:v>
                </c:pt>
                <c:pt idx="153">
                  <c:v>24.05</c:v>
                </c:pt>
                <c:pt idx="154">
                  <c:v>24.05</c:v>
                </c:pt>
                <c:pt idx="155">
                  <c:v>24.05</c:v>
                </c:pt>
                <c:pt idx="156">
                  <c:v>24.05</c:v>
                </c:pt>
                <c:pt idx="157">
                  <c:v>24.05</c:v>
                </c:pt>
                <c:pt idx="158">
                  <c:v>24.05</c:v>
                </c:pt>
                <c:pt idx="159">
                  <c:v>24.05</c:v>
                </c:pt>
                <c:pt idx="160">
                  <c:v>24.05</c:v>
                </c:pt>
                <c:pt idx="161">
                  <c:v>24.05</c:v>
                </c:pt>
                <c:pt idx="162">
                  <c:v>24.05</c:v>
                </c:pt>
                <c:pt idx="163">
                  <c:v>24.05</c:v>
                </c:pt>
                <c:pt idx="164">
                  <c:v>24.05</c:v>
                </c:pt>
                <c:pt idx="165">
                  <c:v>24.05</c:v>
                </c:pt>
                <c:pt idx="166">
                  <c:v>24.05</c:v>
                </c:pt>
                <c:pt idx="167">
                  <c:v>24.05</c:v>
                </c:pt>
                <c:pt idx="168">
                  <c:v>24.05</c:v>
                </c:pt>
                <c:pt idx="169">
                  <c:v>24.05</c:v>
                </c:pt>
                <c:pt idx="170">
                  <c:v>24.05</c:v>
                </c:pt>
                <c:pt idx="171">
                  <c:v>24.05</c:v>
                </c:pt>
                <c:pt idx="172">
                  <c:v>24.05</c:v>
                </c:pt>
                <c:pt idx="173">
                  <c:v>24.05</c:v>
                </c:pt>
                <c:pt idx="174">
                  <c:v>24.05</c:v>
                </c:pt>
                <c:pt idx="175">
                  <c:v>24.05</c:v>
                </c:pt>
                <c:pt idx="176">
                  <c:v>24.05</c:v>
                </c:pt>
                <c:pt idx="177">
                  <c:v>24.05</c:v>
                </c:pt>
                <c:pt idx="178">
                  <c:v>24.05</c:v>
                </c:pt>
                <c:pt idx="179">
                  <c:v>24.05</c:v>
                </c:pt>
                <c:pt idx="180">
                  <c:v>24.05</c:v>
                </c:pt>
                <c:pt idx="181">
                  <c:v>24.05</c:v>
                </c:pt>
                <c:pt idx="182">
                  <c:v>24.05</c:v>
                </c:pt>
                <c:pt idx="183">
                  <c:v>24.05</c:v>
                </c:pt>
                <c:pt idx="184">
                  <c:v>24.05</c:v>
                </c:pt>
                <c:pt idx="185">
                  <c:v>24.05</c:v>
                </c:pt>
                <c:pt idx="186">
                  <c:v>24.05</c:v>
                </c:pt>
                <c:pt idx="187">
                  <c:v>24.05</c:v>
                </c:pt>
                <c:pt idx="188">
                  <c:v>24.05</c:v>
                </c:pt>
                <c:pt idx="189">
                  <c:v>24.05</c:v>
                </c:pt>
                <c:pt idx="190">
                  <c:v>24.05</c:v>
                </c:pt>
                <c:pt idx="191">
                  <c:v>24.05</c:v>
                </c:pt>
                <c:pt idx="192">
                  <c:v>24.05</c:v>
                </c:pt>
                <c:pt idx="193">
                  <c:v>24.05</c:v>
                </c:pt>
                <c:pt idx="194">
                  <c:v>24.05</c:v>
                </c:pt>
                <c:pt idx="195">
                  <c:v>24.05</c:v>
                </c:pt>
                <c:pt idx="196">
                  <c:v>24.05</c:v>
                </c:pt>
                <c:pt idx="197">
                  <c:v>24.05</c:v>
                </c:pt>
                <c:pt idx="198">
                  <c:v>24.05</c:v>
                </c:pt>
                <c:pt idx="199">
                  <c:v>24.05</c:v>
                </c:pt>
                <c:pt idx="200">
                  <c:v>24.05</c:v>
                </c:pt>
                <c:pt idx="201">
                  <c:v>24.05</c:v>
                </c:pt>
                <c:pt idx="202">
                  <c:v>24.05</c:v>
                </c:pt>
                <c:pt idx="203">
                  <c:v>24.05</c:v>
                </c:pt>
                <c:pt idx="204">
                  <c:v>24.05</c:v>
                </c:pt>
                <c:pt idx="205">
                  <c:v>24.05</c:v>
                </c:pt>
                <c:pt idx="206">
                  <c:v>24.05</c:v>
                </c:pt>
                <c:pt idx="207">
                  <c:v>24.05</c:v>
                </c:pt>
                <c:pt idx="208">
                  <c:v>24.05</c:v>
                </c:pt>
                <c:pt idx="209">
                  <c:v>24.05</c:v>
                </c:pt>
                <c:pt idx="210">
                  <c:v>24.05</c:v>
                </c:pt>
                <c:pt idx="211">
                  <c:v>24.05</c:v>
                </c:pt>
                <c:pt idx="212">
                  <c:v>24.05</c:v>
                </c:pt>
                <c:pt idx="213">
                  <c:v>24.05</c:v>
                </c:pt>
                <c:pt idx="214">
                  <c:v>24.05</c:v>
                </c:pt>
                <c:pt idx="215">
                  <c:v>24.05</c:v>
                </c:pt>
                <c:pt idx="216">
                  <c:v>24.05</c:v>
                </c:pt>
                <c:pt idx="217">
                  <c:v>24.05</c:v>
                </c:pt>
                <c:pt idx="218">
                  <c:v>24.05</c:v>
                </c:pt>
                <c:pt idx="219">
                  <c:v>24.05</c:v>
                </c:pt>
                <c:pt idx="220">
                  <c:v>24.05</c:v>
                </c:pt>
                <c:pt idx="221">
                  <c:v>24.05</c:v>
                </c:pt>
                <c:pt idx="222">
                  <c:v>24.05</c:v>
                </c:pt>
                <c:pt idx="223">
                  <c:v>24.05</c:v>
                </c:pt>
                <c:pt idx="224">
                  <c:v>24.05</c:v>
                </c:pt>
                <c:pt idx="225">
                  <c:v>24.05</c:v>
                </c:pt>
                <c:pt idx="226">
                  <c:v>24.05</c:v>
                </c:pt>
                <c:pt idx="227">
                  <c:v>24.05</c:v>
                </c:pt>
                <c:pt idx="228">
                  <c:v>24.05</c:v>
                </c:pt>
                <c:pt idx="229">
                  <c:v>24.05</c:v>
                </c:pt>
                <c:pt idx="230">
                  <c:v>24.05</c:v>
                </c:pt>
                <c:pt idx="231">
                  <c:v>24.05</c:v>
                </c:pt>
                <c:pt idx="232">
                  <c:v>24.05</c:v>
                </c:pt>
                <c:pt idx="233">
                  <c:v>24.05</c:v>
                </c:pt>
                <c:pt idx="234">
                  <c:v>24.05</c:v>
                </c:pt>
                <c:pt idx="235">
                  <c:v>24.05</c:v>
                </c:pt>
                <c:pt idx="236">
                  <c:v>24.05</c:v>
                </c:pt>
                <c:pt idx="237">
                  <c:v>24.05</c:v>
                </c:pt>
                <c:pt idx="238">
                  <c:v>24.05</c:v>
                </c:pt>
                <c:pt idx="239">
                  <c:v>24.05</c:v>
                </c:pt>
                <c:pt idx="240">
                  <c:v>24.05</c:v>
                </c:pt>
                <c:pt idx="241">
                  <c:v>24.05</c:v>
                </c:pt>
                <c:pt idx="242">
                  <c:v>24.05</c:v>
                </c:pt>
                <c:pt idx="243">
                  <c:v>24.05</c:v>
                </c:pt>
                <c:pt idx="244">
                  <c:v>24.05</c:v>
                </c:pt>
                <c:pt idx="245">
                  <c:v>24.05</c:v>
                </c:pt>
                <c:pt idx="246">
                  <c:v>24.05</c:v>
                </c:pt>
                <c:pt idx="247">
                  <c:v>24.05</c:v>
                </c:pt>
                <c:pt idx="248">
                  <c:v>24.05</c:v>
                </c:pt>
                <c:pt idx="249">
                  <c:v>24.05</c:v>
                </c:pt>
                <c:pt idx="250">
                  <c:v>24.05</c:v>
                </c:pt>
                <c:pt idx="251">
                  <c:v>24.05</c:v>
                </c:pt>
                <c:pt idx="252">
                  <c:v>24.05</c:v>
                </c:pt>
                <c:pt idx="253">
                  <c:v>24.05</c:v>
                </c:pt>
                <c:pt idx="254">
                  <c:v>24.05</c:v>
                </c:pt>
                <c:pt idx="255">
                  <c:v>24.05</c:v>
                </c:pt>
                <c:pt idx="256">
                  <c:v>24.05</c:v>
                </c:pt>
                <c:pt idx="257">
                  <c:v>24.05</c:v>
                </c:pt>
                <c:pt idx="258">
                  <c:v>24.05</c:v>
                </c:pt>
                <c:pt idx="259">
                  <c:v>24.05</c:v>
                </c:pt>
                <c:pt idx="260">
                  <c:v>24.05</c:v>
                </c:pt>
                <c:pt idx="261">
                  <c:v>24.05</c:v>
                </c:pt>
                <c:pt idx="262">
                  <c:v>24.05</c:v>
                </c:pt>
                <c:pt idx="263">
                  <c:v>24.05</c:v>
                </c:pt>
                <c:pt idx="264">
                  <c:v>24.05</c:v>
                </c:pt>
                <c:pt idx="265">
                  <c:v>24.05</c:v>
                </c:pt>
                <c:pt idx="266">
                  <c:v>24.05</c:v>
                </c:pt>
                <c:pt idx="267">
                  <c:v>24.05</c:v>
                </c:pt>
                <c:pt idx="268">
                  <c:v>24.05</c:v>
                </c:pt>
                <c:pt idx="269">
                  <c:v>24.05</c:v>
                </c:pt>
                <c:pt idx="270">
                  <c:v>24.05</c:v>
                </c:pt>
                <c:pt idx="271">
                  <c:v>24.05</c:v>
                </c:pt>
                <c:pt idx="272">
                  <c:v>24.05</c:v>
                </c:pt>
                <c:pt idx="273">
                  <c:v>24.05</c:v>
                </c:pt>
                <c:pt idx="274">
                  <c:v>24.05</c:v>
                </c:pt>
                <c:pt idx="275">
                  <c:v>24.05</c:v>
                </c:pt>
                <c:pt idx="276">
                  <c:v>24.05</c:v>
                </c:pt>
                <c:pt idx="277">
                  <c:v>24.05</c:v>
                </c:pt>
                <c:pt idx="278">
                  <c:v>24.05</c:v>
                </c:pt>
                <c:pt idx="279">
                  <c:v>24.05</c:v>
                </c:pt>
                <c:pt idx="280">
                  <c:v>24.05</c:v>
                </c:pt>
                <c:pt idx="281">
                  <c:v>24.05</c:v>
                </c:pt>
                <c:pt idx="282">
                  <c:v>24.05</c:v>
                </c:pt>
                <c:pt idx="283">
                  <c:v>24.05</c:v>
                </c:pt>
                <c:pt idx="284">
                  <c:v>24.05</c:v>
                </c:pt>
                <c:pt idx="285">
                  <c:v>24.05</c:v>
                </c:pt>
                <c:pt idx="286">
                  <c:v>24.05</c:v>
                </c:pt>
                <c:pt idx="287">
                  <c:v>24.05</c:v>
                </c:pt>
                <c:pt idx="288">
                  <c:v>24.05</c:v>
                </c:pt>
                <c:pt idx="289">
                  <c:v>24.05</c:v>
                </c:pt>
                <c:pt idx="290">
                  <c:v>24.05</c:v>
                </c:pt>
                <c:pt idx="291">
                  <c:v>24.05</c:v>
                </c:pt>
                <c:pt idx="292">
                  <c:v>24.05</c:v>
                </c:pt>
                <c:pt idx="293">
                  <c:v>24.05</c:v>
                </c:pt>
                <c:pt idx="294">
                  <c:v>24.05</c:v>
                </c:pt>
                <c:pt idx="295">
                  <c:v>24.05</c:v>
                </c:pt>
                <c:pt idx="296">
                  <c:v>24.05</c:v>
                </c:pt>
                <c:pt idx="297">
                  <c:v>24.05</c:v>
                </c:pt>
                <c:pt idx="298">
                  <c:v>24.05</c:v>
                </c:pt>
                <c:pt idx="299">
                  <c:v>24.05</c:v>
                </c:pt>
                <c:pt idx="300">
                  <c:v>24.05</c:v>
                </c:pt>
                <c:pt idx="301">
                  <c:v>24.05</c:v>
                </c:pt>
                <c:pt idx="302">
                  <c:v>24.05</c:v>
                </c:pt>
                <c:pt idx="303">
                  <c:v>24.05</c:v>
                </c:pt>
                <c:pt idx="304">
                  <c:v>24.05</c:v>
                </c:pt>
                <c:pt idx="305">
                  <c:v>24.05</c:v>
                </c:pt>
                <c:pt idx="306">
                  <c:v>24.05</c:v>
                </c:pt>
                <c:pt idx="307">
                  <c:v>24.05</c:v>
                </c:pt>
                <c:pt idx="308">
                  <c:v>24.05</c:v>
                </c:pt>
                <c:pt idx="309">
                  <c:v>24.05</c:v>
                </c:pt>
                <c:pt idx="310">
                  <c:v>24.05</c:v>
                </c:pt>
                <c:pt idx="311">
                  <c:v>24.05</c:v>
                </c:pt>
                <c:pt idx="312">
                  <c:v>24.05</c:v>
                </c:pt>
                <c:pt idx="313">
                  <c:v>24.05</c:v>
                </c:pt>
                <c:pt idx="314">
                  <c:v>24.05</c:v>
                </c:pt>
                <c:pt idx="315">
                  <c:v>24.05</c:v>
                </c:pt>
                <c:pt idx="316">
                  <c:v>24.05</c:v>
                </c:pt>
                <c:pt idx="317">
                  <c:v>24.05</c:v>
                </c:pt>
                <c:pt idx="318">
                  <c:v>24.05</c:v>
                </c:pt>
                <c:pt idx="319">
                  <c:v>24.05</c:v>
                </c:pt>
                <c:pt idx="320">
                  <c:v>24.05</c:v>
                </c:pt>
                <c:pt idx="321">
                  <c:v>24.05</c:v>
                </c:pt>
                <c:pt idx="322">
                  <c:v>24.05</c:v>
                </c:pt>
                <c:pt idx="323">
                  <c:v>24.05</c:v>
                </c:pt>
                <c:pt idx="324">
                  <c:v>24.05</c:v>
                </c:pt>
                <c:pt idx="325">
                  <c:v>24.05</c:v>
                </c:pt>
                <c:pt idx="326">
                  <c:v>24.05</c:v>
                </c:pt>
                <c:pt idx="327">
                  <c:v>24.05</c:v>
                </c:pt>
                <c:pt idx="328">
                  <c:v>24.05</c:v>
                </c:pt>
                <c:pt idx="329">
                  <c:v>24.05</c:v>
                </c:pt>
                <c:pt idx="330">
                  <c:v>24.05</c:v>
                </c:pt>
                <c:pt idx="331">
                  <c:v>24.05</c:v>
                </c:pt>
                <c:pt idx="332">
                  <c:v>24.05</c:v>
                </c:pt>
                <c:pt idx="333">
                  <c:v>24.05</c:v>
                </c:pt>
                <c:pt idx="334">
                  <c:v>24.05</c:v>
                </c:pt>
                <c:pt idx="335">
                  <c:v>24.05</c:v>
                </c:pt>
                <c:pt idx="336">
                  <c:v>24.05</c:v>
                </c:pt>
                <c:pt idx="337">
                  <c:v>24.05</c:v>
                </c:pt>
                <c:pt idx="338">
                  <c:v>24.05</c:v>
                </c:pt>
                <c:pt idx="339">
                  <c:v>24.05</c:v>
                </c:pt>
                <c:pt idx="340">
                  <c:v>24.05</c:v>
                </c:pt>
                <c:pt idx="341">
                  <c:v>24.05</c:v>
                </c:pt>
                <c:pt idx="342">
                  <c:v>24.05</c:v>
                </c:pt>
                <c:pt idx="343">
                  <c:v>24.05</c:v>
                </c:pt>
                <c:pt idx="344">
                  <c:v>24.05</c:v>
                </c:pt>
                <c:pt idx="345">
                  <c:v>24.05</c:v>
                </c:pt>
                <c:pt idx="346">
                  <c:v>24.05</c:v>
                </c:pt>
                <c:pt idx="347">
                  <c:v>24.05</c:v>
                </c:pt>
                <c:pt idx="348">
                  <c:v>24.05</c:v>
                </c:pt>
                <c:pt idx="349">
                  <c:v>24.05</c:v>
                </c:pt>
                <c:pt idx="350">
                  <c:v>24.05</c:v>
                </c:pt>
                <c:pt idx="351">
                  <c:v>24.05</c:v>
                </c:pt>
                <c:pt idx="352">
                  <c:v>24.05</c:v>
                </c:pt>
                <c:pt idx="353">
                  <c:v>24.05</c:v>
                </c:pt>
                <c:pt idx="354">
                  <c:v>24.05</c:v>
                </c:pt>
                <c:pt idx="355">
                  <c:v>24.05</c:v>
                </c:pt>
                <c:pt idx="356">
                  <c:v>24.05</c:v>
                </c:pt>
                <c:pt idx="357">
                  <c:v>24.05</c:v>
                </c:pt>
                <c:pt idx="358">
                  <c:v>24.05</c:v>
                </c:pt>
                <c:pt idx="359">
                  <c:v>24.05</c:v>
                </c:pt>
                <c:pt idx="360">
                  <c:v>24.05</c:v>
                </c:pt>
                <c:pt idx="361">
                  <c:v>24.05</c:v>
                </c:pt>
                <c:pt idx="362">
                  <c:v>24.05</c:v>
                </c:pt>
                <c:pt idx="363">
                  <c:v>24.05</c:v>
                </c:pt>
                <c:pt idx="364">
                  <c:v>24.05</c:v>
                </c:pt>
                <c:pt idx="365">
                  <c:v>24.05</c:v>
                </c:pt>
                <c:pt idx="366">
                  <c:v>24.05</c:v>
                </c:pt>
                <c:pt idx="367">
                  <c:v>24.05</c:v>
                </c:pt>
                <c:pt idx="368">
                  <c:v>24.05</c:v>
                </c:pt>
                <c:pt idx="369">
                  <c:v>24.05</c:v>
                </c:pt>
                <c:pt idx="370">
                  <c:v>24.05</c:v>
                </c:pt>
                <c:pt idx="371">
                  <c:v>24.05</c:v>
                </c:pt>
                <c:pt idx="372">
                  <c:v>24.05</c:v>
                </c:pt>
                <c:pt idx="373">
                  <c:v>24.05</c:v>
                </c:pt>
                <c:pt idx="374">
                  <c:v>24.05</c:v>
                </c:pt>
                <c:pt idx="375">
                  <c:v>24.05</c:v>
                </c:pt>
                <c:pt idx="376">
                  <c:v>24.05</c:v>
                </c:pt>
                <c:pt idx="377">
                  <c:v>24.05</c:v>
                </c:pt>
                <c:pt idx="378">
                  <c:v>24.05</c:v>
                </c:pt>
                <c:pt idx="379">
                  <c:v>24.05</c:v>
                </c:pt>
                <c:pt idx="380">
                  <c:v>24.05</c:v>
                </c:pt>
                <c:pt idx="381">
                  <c:v>24.05</c:v>
                </c:pt>
                <c:pt idx="382">
                  <c:v>24.05</c:v>
                </c:pt>
                <c:pt idx="383">
                  <c:v>24.05</c:v>
                </c:pt>
                <c:pt idx="384">
                  <c:v>24.05</c:v>
                </c:pt>
                <c:pt idx="385">
                  <c:v>24.05</c:v>
                </c:pt>
                <c:pt idx="386">
                  <c:v>24.05</c:v>
                </c:pt>
                <c:pt idx="387">
                  <c:v>24.05</c:v>
                </c:pt>
                <c:pt idx="388">
                  <c:v>24.05</c:v>
                </c:pt>
                <c:pt idx="389">
                  <c:v>24.05</c:v>
                </c:pt>
                <c:pt idx="390">
                  <c:v>24.05</c:v>
                </c:pt>
                <c:pt idx="391">
                  <c:v>24.05</c:v>
                </c:pt>
                <c:pt idx="392">
                  <c:v>24.05</c:v>
                </c:pt>
                <c:pt idx="393">
                  <c:v>24.05</c:v>
                </c:pt>
                <c:pt idx="394">
                  <c:v>24.05</c:v>
                </c:pt>
                <c:pt idx="395">
                  <c:v>24.05</c:v>
                </c:pt>
                <c:pt idx="396">
                  <c:v>24.05</c:v>
                </c:pt>
                <c:pt idx="397">
                  <c:v>24.05</c:v>
                </c:pt>
                <c:pt idx="398">
                  <c:v>24.05</c:v>
                </c:pt>
                <c:pt idx="399">
                  <c:v>24.05</c:v>
                </c:pt>
                <c:pt idx="400">
                  <c:v>24.05</c:v>
                </c:pt>
                <c:pt idx="401">
                  <c:v>24.05</c:v>
                </c:pt>
                <c:pt idx="402">
                  <c:v>24.05</c:v>
                </c:pt>
                <c:pt idx="403">
                  <c:v>24.05</c:v>
                </c:pt>
                <c:pt idx="404">
                  <c:v>24.05</c:v>
                </c:pt>
                <c:pt idx="405">
                  <c:v>24.05</c:v>
                </c:pt>
                <c:pt idx="406">
                  <c:v>24.05</c:v>
                </c:pt>
                <c:pt idx="407">
                  <c:v>24.05</c:v>
                </c:pt>
                <c:pt idx="408">
                  <c:v>24.05</c:v>
                </c:pt>
                <c:pt idx="409">
                  <c:v>24.05</c:v>
                </c:pt>
                <c:pt idx="410">
                  <c:v>24.05</c:v>
                </c:pt>
                <c:pt idx="411">
                  <c:v>24.05</c:v>
                </c:pt>
                <c:pt idx="412">
                  <c:v>24.05</c:v>
                </c:pt>
                <c:pt idx="413">
                  <c:v>24.05</c:v>
                </c:pt>
                <c:pt idx="414">
                  <c:v>24.05</c:v>
                </c:pt>
                <c:pt idx="415">
                  <c:v>24.05</c:v>
                </c:pt>
                <c:pt idx="416">
                  <c:v>24.05</c:v>
                </c:pt>
                <c:pt idx="417">
                  <c:v>24.05</c:v>
                </c:pt>
                <c:pt idx="418">
                  <c:v>24.05</c:v>
                </c:pt>
                <c:pt idx="419">
                  <c:v>24.05</c:v>
                </c:pt>
                <c:pt idx="420">
                  <c:v>24.05</c:v>
                </c:pt>
                <c:pt idx="421">
                  <c:v>24.05</c:v>
                </c:pt>
                <c:pt idx="422">
                  <c:v>24.05</c:v>
                </c:pt>
                <c:pt idx="423">
                  <c:v>24.05</c:v>
                </c:pt>
                <c:pt idx="424">
                  <c:v>24.05</c:v>
                </c:pt>
                <c:pt idx="425">
                  <c:v>24.05</c:v>
                </c:pt>
                <c:pt idx="426">
                  <c:v>24.05</c:v>
                </c:pt>
                <c:pt idx="427">
                  <c:v>24.05</c:v>
                </c:pt>
                <c:pt idx="428">
                  <c:v>24.05</c:v>
                </c:pt>
                <c:pt idx="429">
                  <c:v>24.05</c:v>
                </c:pt>
                <c:pt idx="430">
                  <c:v>24.05</c:v>
                </c:pt>
                <c:pt idx="431">
                  <c:v>24.05</c:v>
                </c:pt>
                <c:pt idx="432">
                  <c:v>24.05</c:v>
                </c:pt>
                <c:pt idx="433">
                  <c:v>24.05</c:v>
                </c:pt>
                <c:pt idx="434">
                  <c:v>24.05</c:v>
                </c:pt>
                <c:pt idx="435">
                  <c:v>24.05</c:v>
                </c:pt>
                <c:pt idx="436">
                  <c:v>24.05</c:v>
                </c:pt>
                <c:pt idx="437">
                  <c:v>24.05</c:v>
                </c:pt>
                <c:pt idx="438">
                  <c:v>24.05</c:v>
                </c:pt>
                <c:pt idx="439">
                  <c:v>24.05</c:v>
                </c:pt>
                <c:pt idx="440">
                  <c:v>24.05</c:v>
                </c:pt>
                <c:pt idx="441">
                  <c:v>24.05</c:v>
                </c:pt>
                <c:pt idx="442">
                  <c:v>24.05</c:v>
                </c:pt>
                <c:pt idx="443">
                  <c:v>24.05</c:v>
                </c:pt>
                <c:pt idx="444">
                  <c:v>24.05</c:v>
                </c:pt>
                <c:pt idx="445">
                  <c:v>24.05</c:v>
                </c:pt>
                <c:pt idx="446">
                  <c:v>24.05</c:v>
                </c:pt>
                <c:pt idx="447">
                  <c:v>24.05</c:v>
                </c:pt>
                <c:pt idx="448">
                  <c:v>24.05</c:v>
                </c:pt>
                <c:pt idx="449">
                  <c:v>24.05</c:v>
                </c:pt>
                <c:pt idx="450">
                  <c:v>24.05</c:v>
                </c:pt>
                <c:pt idx="451">
                  <c:v>24.05</c:v>
                </c:pt>
                <c:pt idx="452">
                  <c:v>24.05</c:v>
                </c:pt>
                <c:pt idx="453">
                  <c:v>24.05</c:v>
                </c:pt>
                <c:pt idx="454">
                  <c:v>24.05</c:v>
                </c:pt>
                <c:pt idx="455">
                  <c:v>24.05</c:v>
                </c:pt>
                <c:pt idx="456">
                  <c:v>24.05</c:v>
                </c:pt>
                <c:pt idx="457">
                  <c:v>24.05</c:v>
                </c:pt>
                <c:pt idx="458">
                  <c:v>24.05</c:v>
                </c:pt>
                <c:pt idx="459">
                  <c:v>24.05</c:v>
                </c:pt>
                <c:pt idx="460">
                  <c:v>24.05</c:v>
                </c:pt>
                <c:pt idx="461">
                  <c:v>24.05</c:v>
                </c:pt>
                <c:pt idx="462">
                  <c:v>24.05</c:v>
                </c:pt>
                <c:pt idx="463">
                  <c:v>24.05</c:v>
                </c:pt>
                <c:pt idx="464">
                  <c:v>24.05</c:v>
                </c:pt>
                <c:pt idx="465">
                  <c:v>24.05</c:v>
                </c:pt>
                <c:pt idx="466">
                  <c:v>24.05</c:v>
                </c:pt>
                <c:pt idx="467">
                  <c:v>24.05</c:v>
                </c:pt>
                <c:pt idx="468">
                  <c:v>24.05</c:v>
                </c:pt>
                <c:pt idx="469">
                  <c:v>24.05</c:v>
                </c:pt>
                <c:pt idx="470">
                  <c:v>24.05</c:v>
                </c:pt>
                <c:pt idx="471">
                  <c:v>24.05</c:v>
                </c:pt>
                <c:pt idx="472">
                  <c:v>24.05</c:v>
                </c:pt>
                <c:pt idx="473">
                  <c:v>24.05</c:v>
                </c:pt>
                <c:pt idx="474">
                  <c:v>24.05</c:v>
                </c:pt>
                <c:pt idx="475">
                  <c:v>24.05</c:v>
                </c:pt>
                <c:pt idx="476">
                  <c:v>24.05</c:v>
                </c:pt>
                <c:pt idx="477">
                  <c:v>24.05</c:v>
                </c:pt>
                <c:pt idx="478">
                  <c:v>24.05</c:v>
                </c:pt>
                <c:pt idx="479">
                  <c:v>24.05</c:v>
                </c:pt>
                <c:pt idx="480">
                  <c:v>24.05</c:v>
                </c:pt>
                <c:pt idx="481">
                  <c:v>24.05</c:v>
                </c:pt>
                <c:pt idx="482">
                  <c:v>24.05</c:v>
                </c:pt>
                <c:pt idx="483">
                  <c:v>24.05</c:v>
                </c:pt>
                <c:pt idx="484">
                  <c:v>24.05</c:v>
                </c:pt>
                <c:pt idx="485">
                  <c:v>24.05</c:v>
                </c:pt>
                <c:pt idx="486">
                  <c:v>24.05</c:v>
                </c:pt>
                <c:pt idx="487">
                  <c:v>24.05</c:v>
                </c:pt>
                <c:pt idx="488">
                  <c:v>24.05</c:v>
                </c:pt>
                <c:pt idx="489">
                  <c:v>24.05</c:v>
                </c:pt>
                <c:pt idx="490">
                  <c:v>24.05</c:v>
                </c:pt>
                <c:pt idx="491">
                  <c:v>24.05</c:v>
                </c:pt>
                <c:pt idx="492">
                  <c:v>24.05</c:v>
                </c:pt>
                <c:pt idx="493">
                  <c:v>24.05</c:v>
                </c:pt>
                <c:pt idx="494">
                  <c:v>24.05</c:v>
                </c:pt>
                <c:pt idx="495">
                  <c:v>24.05</c:v>
                </c:pt>
                <c:pt idx="496">
                  <c:v>24.05</c:v>
                </c:pt>
                <c:pt idx="497">
                  <c:v>24.05</c:v>
                </c:pt>
                <c:pt idx="498">
                  <c:v>24.05</c:v>
                </c:pt>
                <c:pt idx="499">
                  <c:v>24.05</c:v>
                </c:pt>
                <c:pt idx="500">
                  <c:v>24.05</c:v>
                </c:pt>
                <c:pt idx="501">
                  <c:v>24.05</c:v>
                </c:pt>
                <c:pt idx="502">
                  <c:v>24.05</c:v>
                </c:pt>
                <c:pt idx="503">
                  <c:v>24.05</c:v>
                </c:pt>
                <c:pt idx="504">
                  <c:v>24.05</c:v>
                </c:pt>
                <c:pt idx="505">
                  <c:v>24.05</c:v>
                </c:pt>
                <c:pt idx="506">
                  <c:v>24.05</c:v>
                </c:pt>
                <c:pt idx="507">
                  <c:v>24.05</c:v>
                </c:pt>
                <c:pt idx="508">
                  <c:v>24.05</c:v>
                </c:pt>
                <c:pt idx="509">
                  <c:v>24.05</c:v>
                </c:pt>
                <c:pt idx="510">
                  <c:v>24.05</c:v>
                </c:pt>
                <c:pt idx="511">
                  <c:v>24.05</c:v>
                </c:pt>
                <c:pt idx="512">
                  <c:v>24.05</c:v>
                </c:pt>
                <c:pt idx="513">
                  <c:v>24.05</c:v>
                </c:pt>
                <c:pt idx="514">
                  <c:v>24.05</c:v>
                </c:pt>
                <c:pt idx="515">
                  <c:v>24.05</c:v>
                </c:pt>
                <c:pt idx="516">
                  <c:v>24.05</c:v>
                </c:pt>
                <c:pt idx="517">
                  <c:v>24.05</c:v>
                </c:pt>
                <c:pt idx="518">
                  <c:v>24.05</c:v>
                </c:pt>
                <c:pt idx="519">
                  <c:v>24.05</c:v>
                </c:pt>
                <c:pt idx="520">
                  <c:v>24.05</c:v>
                </c:pt>
                <c:pt idx="521">
                  <c:v>24.05</c:v>
                </c:pt>
                <c:pt idx="522">
                  <c:v>24.05</c:v>
                </c:pt>
                <c:pt idx="523">
                  <c:v>24.05</c:v>
                </c:pt>
                <c:pt idx="524">
                  <c:v>24.05</c:v>
                </c:pt>
                <c:pt idx="525">
                  <c:v>24.05</c:v>
                </c:pt>
                <c:pt idx="526">
                  <c:v>24.05</c:v>
                </c:pt>
                <c:pt idx="527">
                  <c:v>24.05</c:v>
                </c:pt>
                <c:pt idx="528">
                  <c:v>24.05</c:v>
                </c:pt>
                <c:pt idx="529">
                  <c:v>24.05</c:v>
                </c:pt>
                <c:pt idx="530">
                  <c:v>24.05</c:v>
                </c:pt>
                <c:pt idx="531">
                  <c:v>24.05</c:v>
                </c:pt>
                <c:pt idx="532">
                  <c:v>24.05</c:v>
                </c:pt>
                <c:pt idx="533">
                  <c:v>24.05</c:v>
                </c:pt>
                <c:pt idx="534">
                  <c:v>24.05</c:v>
                </c:pt>
                <c:pt idx="535">
                  <c:v>24.05</c:v>
                </c:pt>
                <c:pt idx="536">
                  <c:v>24.05</c:v>
                </c:pt>
                <c:pt idx="537">
                  <c:v>24.05</c:v>
                </c:pt>
                <c:pt idx="538">
                  <c:v>24.05</c:v>
                </c:pt>
                <c:pt idx="539">
                  <c:v>24.05</c:v>
                </c:pt>
                <c:pt idx="540">
                  <c:v>24.05</c:v>
                </c:pt>
              </c:numCache>
            </c:numRef>
          </c:yVal>
          <c:smooth val="0"/>
        </c:ser>
        <c:dLbls>
          <c:showLegendKey val="0"/>
          <c:showVal val="0"/>
          <c:showCatName val="0"/>
          <c:showSerName val="0"/>
          <c:showPercent val="0"/>
          <c:showBubbleSize val="0"/>
        </c:dLbls>
        <c:axId val="178083328"/>
        <c:axId val="178085248"/>
      </c:scatterChart>
      <c:valAx>
        <c:axId val="178083328"/>
        <c:scaling>
          <c:orientation val="minMax"/>
        </c:scaling>
        <c:delete val="0"/>
        <c:axPos val="b"/>
        <c:majorGridlines>
          <c:spPr>
            <a:ln w="3175">
              <a:solidFill>
                <a:srgbClr val="969696"/>
              </a:solidFill>
              <a:prstDash val="solid"/>
            </a:ln>
          </c:spPr>
        </c:majorGridlines>
        <c:title>
          <c:tx>
            <c:rich>
              <a:bodyPr/>
              <a:lstStyle/>
              <a:p>
                <a:pPr>
                  <a:defRPr sz="800" b="1" i="0" u="none" strike="noStrike" baseline="0">
                    <a:solidFill>
                      <a:srgbClr val="000000"/>
                    </a:solidFill>
                    <a:latin typeface="Arial"/>
                    <a:ea typeface="Arial"/>
                    <a:cs typeface="Arial"/>
                  </a:defRPr>
                </a:pPr>
                <a:r>
                  <a:rPr lang="en-GB" sz="800"/>
                  <a:t>V</a:t>
                </a:r>
              </a:p>
            </c:rich>
          </c:tx>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085248"/>
        <c:crosses val="autoZero"/>
        <c:crossBetween val="midCat"/>
      </c:valAx>
      <c:valAx>
        <c:axId val="178085248"/>
        <c:scaling>
          <c:orientation val="minMax"/>
        </c:scaling>
        <c:delete val="0"/>
        <c:axPos val="l"/>
        <c:majorGridlines>
          <c:spPr>
            <a:ln w="3175">
              <a:solidFill>
                <a:srgbClr val="969696"/>
              </a:solidFill>
              <a:prstDash val="solid"/>
            </a:ln>
          </c:spPr>
        </c:majorGridlines>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8083328"/>
        <c:crosses val="autoZero"/>
        <c:crossBetween val="midCat"/>
        <c:minorUnit val="0.35385"/>
      </c:valAx>
      <c:spPr>
        <a:solidFill>
          <a:srgbClr val="CCFFFF"/>
        </a:soli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120650</xdr:rowOff>
    </xdr:from>
    <xdr:to>
      <xdr:col>5</xdr:col>
      <xdr:colOff>1517650</xdr:colOff>
      <xdr:row>6</xdr:row>
      <xdr:rowOff>127000</xdr:rowOff>
    </xdr:to>
    <xdr:sp macro="" textlink="">
      <xdr:nvSpPr>
        <xdr:cNvPr id="3978010" name="Rectangle 1"/>
        <xdr:cNvSpPr>
          <a:spLocks noChangeArrowheads="1"/>
        </xdr:cNvSpPr>
      </xdr:nvSpPr>
      <xdr:spPr bwMode="auto">
        <a:xfrm>
          <a:off x="336550" y="749300"/>
          <a:ext cx="5943600" cy="520700"/>
        </a:xfrm>
        <a:prstGeom prst="rect">
          <a:avLst/>
        </a:prstGeom>
        <a:solidFill>
          <a:srgbClr xmlns:mc="http://schemas.openxmlformats.org/markup-compatibility/2006" xmlns:a14="http://schemas.microsoft.com/office/drawing/2010/main" val="FFFFFF" mc:Ignorable="a14" a14:legacySpreadsheetColorIndex="65"/>
        </a:solidFill>
        <a:ln w="1587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36830</xdr:colOff>
      <xdr:row>3</xdr:row>
      <xdr:rowOff>148590</xdr:rowOff>
    </xdr:from>
    <xdr:to>
      <xdr:col>5</xdr:col>
      <xdr:colOff>1456114</xdr:colOff>
      <xdr:row>6</xdr:row>
      <xdr:rowOff>83813</xdr:rowOff>
    </xdr:to>
    <xdr:sp macro="" textlink="">
      <xdr:nvSpPr>
        <xdr:cNvPr id="2050" name="Text Box 2"/>
        <xdr:cNvSpPr txBox="1">
          <a:spLocks noChangeArrowheads="1"/>
        </xdr:cNvSpPr>
      </xdr:nvSpPr>
      <xdr:spPr bwMode="auto">
        <a:xfrm>
          <a:off x="365760" y="716280"/>
          <a:ext cx="5379720" cy="4648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GB" sz="1000" b="0" i="0" u="none" strike="noStrike" baseline="0">
              <a:solidFill>
                <a:srgbClr val="000000"/>
              </a:solidFill>
              <a:latin typeface="Trebuchet MS"/>
            </a:rPr>
            <a:t>For explanation, please click the </a:t>
          </a:r>
          <a:r>
            <a:rPr lang="en-GB" sz="1000" b="0" i="0" u="none" strike="noStrike" baseline="0">
              <a:solidFill>
                <a:srgbClr val="3366FF"/>
              </a:solidFill>
              <a:latin typeface="Trebuchet MS"/>
            </a:rPr>
            <a:t>Notes</a:t>
          </a:r>
          <a:r>
            <a:rPr lang="en-GB" sz="1000" b="0" i="0" u="none" strike="noStrike" baseline="0">
              <a:solidFill>
                <a:srgbClr val="000000"/>
              </a:solidFill>
              <a:latin typeface="Trebuchet MS"/>
            </a:rPr>
            <a:t> tab.  Note that this calculator only provides a guide to estimated performance, and is not a substitute for practical performance testing.</a:t>
          </a:r>
        </a:p>
      </xdr:txBody>
    </xdr:sp>
    <xdr:clientData/>
  </xdr:twoCellAnchor>
  <xdr:twoCellAnchor editAs="oneCell">
    <xdr:from>
      <xdr:col>1</xdr:col>
      <xdr:colOff>0</xdr:colOff>
      <xdr:row>0</xdr:row>
      <xdr:rowOff>38100</xdr:rowOff>
    </xdr:from>
    <xdr:to>
      <xdr:col>2</xdr:col>
      <xdr:colOff>1168400</xdr:colOff>
      <xdr:row>2</xdr:row>
      <xdr:rowOff>146050</xdr:rowOff>
    </xdr:to>
    <xdr:pic>
      <xdr:nvPicPr>
        <xdr:cNvPr id="3978012" name="Picture 3"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 y="38100"/>
          <a:ext cx="22288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209550</xdr:colOff>
      <xdr:row>15</xdr:row>
      <xdr:rowOff>0</xdr:rowOff>
    </xdr:from>
    <xdr:to>
      <xdr:col>15</xdr:col>
      <xdr:colOff>381000</xdr:colOff>
      <xdr:row>25</xdr:row>
      <xdr:rowOff>171450</xdr:rowOff>
    </xdr:to>
    <xdr:graphicFrame macro="">
      <xdr:nvGraphicFramePr>
        <xdr:cNvPr id="397801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222250</xdr:colOff>
      <xdr:row>3</xdr:row>
      <xdr:rowOff>0</xdr:rowOff>
    </xdr:from>
    <xdr:to>
      <xdr:col>15</xdr:col>
      <xdr:colOff>381000</xdr:colOff>
      <xdr:row>14</xdr:row>
      <xdr:rowOff>38100</xdr:rowOff>
    </xdr:to>
    <xdr:graphicFrame macro="">
      <xdr:nvGraphicFramePr>
        <xdr:cNvPr id="3978014"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222250</xdr:colOff>
      <xdr:row>38</xdr:row>
      <xdr:rowOff>120650</xdr:rowOff>
    </xdr:from>
    <xdr:to>
      <xdr:col>15</xdr:col>
      <xdr:colOff>381000</xdr:colOff>
      <xdr:row>49</xdr:row>
      <xdr:rowOff>31750</xdr:rowOff>
    </xdr:to>
    <xdr:graphicFrame macro="">
      <xdr:nvGraphicFramePr>
        <xdr:cNvPr id="3978015"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1365250</xdr:colOff>
      <xdr:row>72</xdr:row>
      <xdr:rowOff>57150</xdr:rowOff>
    </xdr:from>
    <xdr:to>
      <xdr:col>9</xdr:col>
      <xdr:colOff>190500</xdr:colOff>
      <xdr:row>83</xdr:row>
      <xdr:rowOff>95250</xdr:rowOff>
    </xdr:to>
    <xdr:graphicFrame macro="">
      <xdr:nvGraphicFramePr>
        <xdr:cNvPr id="3978016" name="Chart 26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222250</xdr:colOff>
      <xdr:row>26</xdr:row>
      <xdr:rowOff>127000</xdr:rowOff>
    </xdr:from>
    <xdr:to>
      <xdr:col>15</xdr:col>
      <xdr:colOff>361950</xdr:colOff>
      <xdr:row>37</xdr:row>
      <xdr:rowOff>165100</xdr:rowOff>
    </xdr:to>
    <xdr:graphicFrame macro="">
      <xdr:nvGraphicFramePr>
        <xdr:cNvPr id="3978017" name="Chart 26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69850</xdr:colOff>
      <xdr:row>72</xdr:row>
      <xdr:rowOff>50800</xdr:rowOff>
    </xdr:from>
    <xdr:to>
      <xdr:col>2</xdr:col>
      <xdr:colOff>1676400</xdr:colOff>
      <xdr:row>83</xdr:row>
      <xdr:rowOff>19050</xdr:rowOff>
    </xdr:to>
    <xdr:graphicFrame macro="">
      <xdr:nvGraphicFramePr>
        <xdr:cNvPr id="3978018" name="Chart 26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1746250</xdr:colOff>
      <xdr:row>72</xdr:row>
      <xdr:rowOff>50800</xdr:rowOff>
    </xdr:from>
    <xdr:to>
      <xdr:col>5</xdr:col>
      <xdr:colOff>1314450</xdr:colOff>
      <xdr:row>83</xdr:row>
      <xdr:rowOff>44450</xdr:rowOff>
    </xdr:to>
    <xdr:graphicFrame macro="">
      <xdr:nvGraphicFramePr>
        <xdr:cNvPr id="3978019" name="Chart 196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xdr:colOff>
      <xdr:row>5</xdr:row>
      <xdr:rowOff>0</xdr:rowOff>
    </xdr:from>
    <xdr:to>
      <xdr:col>13</xdr:col>
      <xdr:colOff>605117</xdr:colOff>
      <xdr:row>28</xdr:row>
      <xdr:rowOff>116920</xdr:rowOff>
    </xdr:to>
    <xdr:sp macro="" textlink="">
      <xdr:nvSpPr>
        <xdr:cNvPr id="3074" name="Text Box 2"/>
        <xdr:cNvSpPr txBox="1">
          <a:spLocks noChangeArrowheads="1"/>
        </xdr:cNvSpPr>
      </xdr:nvSpPr>
      <xdr:spPr bwMode="auto">
        <a:xfrm>
          <a:off x="622263" y="1008529"/>
          <a:ext cx="7849383" cy="38996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defRPr sz="1000"/>
          </a:pPr>
          <a:r>
            <a:rPr lang="en-GB" sz="1000" b="0" i="0" u="none" strike="noStrike" baseline="0">
              <a:solidFill>
                <a:srgbClr val="000000"/>
              </a:solidFill>
              <a:latin typeface="Trebuchet MS"/>
            </a:rPr>
            <a:t>This calculator provides automatic application circuit design of a lamp system using the AL8871Q LED driver. A brief Electrical Description is given below.  You will not normally need to refer to the data sheet.  Please note that the performance is sensitive to printed circuit board (PCB) layout.  Some guidance on this is provided in a separate box below.  In the Calculator sheet (the first tab) of ths Excel workbook, you simply enter the design requirements of input voltage, number of LEDs, LED current and maximum ambient temperature.  The correct topology is automatically selected, i.e., Buck, Boost or Buck-Boost.  The inductor and semiconductors are selected from optimised drop-down lists.  From these you can easily find your best compromise between cost and performance in terms of device packages, operating junction temperatures and electrical power efficiency.</a:t>
          </a:r>
        </a:p>
        <a:p>
          <a:pPr algn="l" rtl="0">
            <a:lnSpc>
              <a:spcPts val="1100"/>
            </a:lnSpc>
            <a:defRPr sz="1000"/>
          </a:pPr>
          <a:endParaRPr lang="en-GB" sz="1000" b="0" i="0" u="none" strike="noStrike" baseline="0">
            <a:solidFill>
              <a:srgbClr val="000000"/>
            </a:solidFill>
            <a:latin typeface="Trebuchet MS"/>
          </a:endParaRPr>
        </a:p>
        <a:p>
          <a:pPr algn="l" rtl="0">
            <a:defRPr sz="1000"/>
          </a:pPr>
          <a:r>
            <a:rPr lang="en-GB" sz="1000" b="0" i="0" u="none" strike="noStrike" baseline="0">
              <a:solidFill>
                <a:srgbClr val="000000"/>
              </a:solidFill>
              <a:latin typeface="Trebuchet MS"/>
            </a:rPr>
            <a:t>This leads to the selection of a suitable schematic sheet within the Excel workbook, depending on dissipation and voltage conditions.  Together with each schematic, a list of required components is generated, including the MOSFET, Schottky freewheel diode, inductor, resistors and capacitors.  The electrical conditions and performance are summarised on the schematic sheet.</a:t>
          </a:r>
        </a:p>
        <a:p>
          <a:pPr algn="l" rtl="0">
            <a:lnSpc>
              <a:spcPts val="1100"/>
            </a:lnSpc>
            <a:defRPr sz="1000"/>
          </a:pPr>
          <a:endParaRPr lang="en-GB" sz="1000" b="0" i="0" u="none" strike="noStrike" baseline="0">
            <a:solidFill>
              <a:srgbClr val="000000"/>
            </a:solidFill>
            <a:latin typeface="Trebuchet MS"/>
          </a:endParaRPr>
        </a:p>
        <a:p>
          <a:pPr algn="l" rtl="0">
            <a:defRPr sz="1000"/>
          </a:pPr>
          <a:r>
            <a:rPr lang="en-GB" sz="1000" b="0" i="0" u="none" strike="noStrike" baseline="0">
              <a:solidFill>
                <a:srgbClr val="000000"/>
              </a:solidFill>
              <a:latin typeface="Trebuchet MS"/>
            </a:rPr>
            <a:t>Each schematic includes optional temperature limiting control of the LED susbstrate using a thermistor, and also output voltage limiting for Boost and Buck-Boost modes, to protect the system against the event of an LED open-circuit failure.  Where necessary, additional circuitry is included for Bootstrap circuit or Dissipation limiting - see Description below.</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 calculation is performed for a desired steady stated LED current without dimming.  Dimming may then be applied as described in the data sheet.  Many applications require additional EMC filtering.  Advice can be provided on this if desired.</a:t>
          </a:r>
        </a:p>
        <a:p>
          <a:pPr algn="l" rtl="0">
            <a:defRPr sz="1000"/>
          </a:pPr>
          <a:endParaRPr lang="en-GB" sz="1000" b="0" i="0" u="none" strike="noStrike" baseline="0">
            <a:solidFill>
              <a:srgbClr val="000000"/>
            </a:solidFill>
            <a:latin typeface="Trebuchet MS"/>
          </a:endParaRPr>
        </a:p>
        <a:p>
          <a:pPr algn="l" rtl="0">
            <a:defRPr sz="1000"/>
          </a:pPr>
          <a:r>
            <a:rPr lang="en-GB" sz="1000" b="0" i="0" u="none" strike="noStrike" baseline="0">
              <a:solidFill>
                <a:srgbClr val="000000"/>
              </a:solidFill>
              <a:latin typeface="Trebuchet MS"/>
            </a:rPr>
            <a:t>Some flexibility for analysis is provided by allowing the user to manually select the GI resistor ratio, if desired, or let the calculator do this automatically.  In applications where performance needs to be evaluated over an extended input voltage range, it is useful initially to optimise the GI value for a limited voltage range using the Automatic setting.  The GI ratio can then be fixed at a desired value before evaluating over a wider input voltage range.</a:t>
          </a:r>
        </a:p>
        <a:p>
          <a:pPr algn="l" rtl="0">
            <a:lnSpc>
              <a:spcPts val="1100"/>
            </a:lnSpc>
            <a:defRPr sz="1000"/>
          </a:pPr>
          <a:endParaRPr lang="en-GB" sz="1000" b="0" i="0" u="none" strike="noStrike" baseline="0">
            <a:solidFill>
              <a:srgbClr val="000000"/>
            </a:solidFill>
            <a:latin typeface="Trebuchet MS"/>
          </a:endParaRPr>
        </a:p>
        <a:p>
          <a:pPr algn="l" rtl="0">
            <a:defRPr sz="1000"/>
          </a:pPr>
          <a:r>
            <a:rPr lang="en-GB" sz="1000" b="0" i="0" u="none" strike="noStrike" baseline="0">
              <a:solidFill>
                <a:srgbClr val="000000"/>
              </a:solidFill>
              <a:latin typeface="Trebuchet MS"/>
            </a:rPr>
            <a:t>This calculator is designed in Microsoft Excel 2010 without using macros or VBA.  No iterative calculations are used, so that convergence is guaranteed.</a:t>
          </a:r>
        </a:p>
      </xdr:txBody>
    </xdr:sp>
    <xdr:clientData/>
  </xdr:twoCellAnchor>
  <xdr:twoCellAnchor editAs="oneCell">
    <xdr:from>
      <xdr:col>1</xdr:col>
      <xdr:colOff>31750</xdr:colOff>
      <xdr:row>0</xdr:row>
      <xdr:rowOff>63500</xdr:rowOff>
    </xdr:from>
    <xdr:to>
      <xdr:col>4</xdr:col>
      <xdr:colOff>152400</xdr:colOff>
      <xdr:row>3</xdr:row>
      <xdr:rowOff>19050</xdr:rowOff>
    </xdr:to>
    <xdr:pic>
      <xdr:nvPicPr>
        <xdr:cNvPr id="3985631" name="Picture 3"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350" y="63500"/>
          <a:ext cx="194945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xdr:colOff>
      <xdr:row>31</xdr:row>
      <xdr:rowOff>0</xdr:rowOff>
    </xdr:from>
    <xdr:to>
      <xdr:col>14</xdr:col>
      <xdr:colOff>13969</xdr:colOff>
      <xdr:row>63</xdr:row>
      <xdr:rowOff>0</xdr:rowOff>
    </xdr:to>
    <xdr:sp macro="" textlink="">
      <xdr:nvSpPr>
        <xdr:cNvPr id="3077" name="Text Box 5"/>
        <xdr:cNvSpPr txBox="1">
          <a:spLocks noChangeArrowheads="1"/>
        </xdr:cNvSpPr>
      </xdr:nvSpPr>
      <xdr:spPr bwMode="auto">
        <a:xfrm>
          <a:off x="617220" y="5440680"/>
          <a:ext cx="7924800" cy="536448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6576" rIns="0" bIns="0" anchor="t" upright="1"/>
        <a:lstStyle/>
        <a:p>
          <a:pPr algn="l" rtl="0">
            <a:lnSpc>
              <a:spcPts val="1100"/>
            </a:lnSpc>
            <a:defRPr sz="1000"/>
          </a:pPr>
          <a:r>
            <a:rPr lang="en-GB" sz="1000" b="0" i="0" u="none" strike="noStrike" baseline="0">
              <a:solidFill>
                <a:srgbClr val="000000"/>
              </a:solidFill>
              <a:latin typeface="Trebuchet MS"/>
            </a:rPr>
            <a:t>Buck, Boost or Buck-Boost topology is automatically determined in the calculator from the input voltage range and the output voltage.  These topologies are described in detail in the data sheet, but in many cases you will not need to refer to the data sheet.  Some additional input or output filtering may be required for EMC.</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Some component values may require slight adjustment when the first lamp prototype is built and tested.</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 behaviour represented within the calculator includes switching frequency control. The frequency is set to nominally 390kHz if a suitable choice of inductor is made.  When the ripple current exceeds certain limits, the frequency comes out of regulation.  This depends on the topology.  In the calculator, the coil is automatically selected to give maximum frequency regulation.  However there is the option to select suitable alternative values to give a higher switching frequency if desired.</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 optimised list for inductor selection is based on value, winding loss and saturation current which gives 10% drop in inductance.  Core loss is also estimated.  This is normally significantly less than winding loss in this application.</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 MOSFET data sheet provides switching information, ON resistance and other information. The gate charge required to switch, QGSW is used to determine the switching time and hence the switching power loss.  QGSW is approximated by the sum Q</a:t>
          </a:r>
          <a:r>
            <a:rPr lang="en-GB" sz="1000" b="0" i="0" u="none" strike="noStrike" baseline="-25000">
              <a:solidFill>
                <a:srgbClr val="000000"/>
              </a:solidFill>
              <a:latin typeface="Trebuchet MS"/>
            </a:rPr>
            <a:t>GS</a:t>
          </a:r>
          <a:r>
            <a:rPr lang="en-GB" sz="1000" b="0" i="0" u="none" strike="noStrike" baseline="0">
              <a:solidFill>
                <a:srgbClr val="000000"/>
              </a:solidFill>
              <a:latin typeface="Trebuchet MS"/>
            </a:rPr>
            <a:t> + Q</a:t>
          </a:r>
          <a:r>
            <a:rPr lang="en-GB" sz="1000" b="0" i="0" u="none" strike="noStrike" baseline="-25000">
              <a:solidFill>
                <a:srgbClr val="000000"/>
              </a:solidFill>
              <a:latin typeface="Trebuchet MS"/>
            </a:rPr>
            <a:t>GD</a:t>
          </a:r>
          <a:r>
            <a:rPr lang="en-GB" sz="1000" b="0" i="0" u="none" strike="noStrike" baseline="0">
              <a:solidFill>
                <a:srgbClr val="000000"/>
              </a:solidFill>
              <a:latin typeface="Trebuchet MS"/>
            </a:rPr>
            <a:t> for the limiting conditions of drain voltage and current.  This means the calculator sometimes gives a slightly pessimistic result for efficiency.  The total gate charge delivered by the driver, QGDRV is somewhat larger than QGSW and is used to calculate the driver power loss within the AL8871Q.  The MOSFET conduction loss is also calculated.  The RDS(ON) at 100°C is used for this calculation.</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 schottky diode forward and reverse losses are included and shown separately on the Calculator sheet. The reverse leakage current at 80% of VRmax and 100°C is used for this calculation.  The typical forward voltage at I</a:t>
          </a:r>
          <a:r>
            <a:rPr lang="en-GB" sz="1000" b="0" i="0" u="none" strike="noStrike" baseline="-25000">
              <a:solidFill>
                <a:srgbClr val="000000"/>
              </a:solidFill>
              <a:latin typeface="Trebuchet MS"/>
            </a:rPr>
            <a:t>AVmax</a:t>
          </a:r>
          <a:r>
            <a:rPr lang="en-GB" sz="1000" b="0" i="0" u="none" strike="noStrike" baseline="0">
              <a:solidFill>
                <a:srgbClr val="000000"/>
              </a:solidFill>
              <a:latin typeface="Trebuchet MS"/>
            </a:rPr>
            <a:t> and 100°C is used.</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Also calculated are the input current, power dissipations and temperature rise of each semiconductor and the overall electrical power efficiency.  Note that the dissipations and efficiency results provide only a rough guide for comparison.  For thermal resistances, values are used based on maximum copper, in DC steady state still air conditions as given in the component data sheets.</a:t>
          </a:r>
        </a:p>
        <a:p>
          <a:pPr algn="l" rtl="0">
            <a:lnSpc>
              <a:spcPts val="1100"/>
            </a:lnSpc>
            <a:defRPr sz="1000"/>
          </a:pPr>
          <a:endParaRPr lang="en-GB" sz="1000" b="0" i="0" u="none" strike="noStrike" baseline="0">
            <a:solidFill>
              <a:srgbClr val="000000"/>
            </a:solidFill>
            <a:latin typeface="Trebuchet MS"/>
          </a:endParaRPr>
        </a:p>
        <a:p>
          <a:pPr algn="l" rtl="0">
            <a:lnSpc>
              <a:spcPts val="1100"/>
            </a:lnSpc>
            <a:defRPr sz="1000"/>
          </a:pPr>
          <a:r>
            <a:rPr lang="en-GB" sz="1000" b="0" i="0" u="none" strike="noStrike" baseline="0">
              <a:solidFill>
                <a:srgbClr val="000000"/>
              </a:solidFill>
              <a:latin typeface="Trebuchet MS"/>
            </a:rPr>
            <a:t>There is a circuit option to limit the AL8871Q dissipation in some circumstances.  If input voltage is higher than about 12V, dissipation limiting may be needed in any topology.  This is automatically included in the schematic where necessary.</a:t>
          </a:r>
        </a:p>
        <a:p>
          <a:pPr algn="l" rtl="0">
            <a:lnSpc>
              <a:spcPts val="1000"/>
            </a:lnSpc>
            <a:defRPr sz="1000"/>
          </a:pPr>
          <a:endParaRPr lang="en-GB" sz="1000" b="0" i="0" u="none" strike="noStrike" baseline="0">
            <a:solidFill>
              <a:srgbClr val="000000"/>
            </a:solidFill>
            <a:latin typeface="Trebuchet MS"/>
          </a:endParaRPr>
        </a:p>
        <a:p>
          <a:pPr algn="l" rtl="0">
            <a:lnSpc>
              <a:spcPts val="1000"/>
            </a:lnSpc>
            <a:defRPr sz="1000"/>
          </a:pPr>
          <a:r>
            <a:rPr lang="en-GB" sz="1000" b="0" i="0" u="none" strike="noStrike" baseline="0">
              <a:solidFill>
                <a:srgbClr val="000000"/>
              </a:solidFill>
              <a:latin typeface="Trebuchet MS"/>
            </a:rPr>
            <a:t>If input voltage is lower than about 10V, bootstrap may be needed in Boost or Buck-Boost (not possible in Buck with a single supply). Bootstrap  is automatically included in the Boost or Buck-Boost schematic where necessary.  If the input voltage is lower than 5.4V, it is possible that the converter may not start to oscillate.  After starting, the converter will operate for an input of 5.0V or greater.  In order to achieve this, the supply impedance must be sufficiently low to limit the ripple voltage at the oscillation frequency of typically 400kHz.  This low impedance is normally controlled using power supply decoupling capacitance.  The Calculator gives values of capacitance for desired input and output voltage ripple.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222250</xdr:colOff>
      <xdr:row>1</xdr:row>
      <xdr:rowOff>25400</xdr:rowOff>
    </xdr:from>
    <xdr:to>
      <xdr:col>3</xdr:col>
      <xdr:colOff>196850</xdr:colOff>
      <xdr:row>3</xdr:row>
      <xdr:rowOff>190500</xdr:rowOff>
    </xdr:to>
    <xdr:pic>
      <xdr:nvPicPr>
        <xdr:cNvPr id="3986580" name="Picture 3"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184150"/>
          <a:ext cx="21590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7</xdr:row>
      <xdr:rowOff>76200</xdr:rowOff>
    </xdr:from>
    <xdr:to>
      <xdr:col>9</xdr:col>
      <xdr:colOff>342900</xdr:colOff>
      <xdr:row>28</xdr:row>
      <xdr:rowOff>165100</xdr:rowOff>
    </xdr:to>
    <xdr:pic>
      <xdr:nvPicPr>
        <xdr:cNvPr id="3986581"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644650"/>
          <a:ext cx="762000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1</xdr:row>
      <xdr:rowOff>25400</xdr:rowOff>
    </xdr:from>
    <xdr:to>
      <xdr:col>3</xdr:col>
      <xdr:colOff>158750</xdr:colOff>
      <xdr:row>3</xdr:row>
      <xdr:rowOff>196850</xdr:rowOff>
    </xdr:to>
    <xdr:pic>
      <xdr:nvPicPr>
        <xdr:cNvPr id="3987604" name="Picture 1"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7800"/>
          <a:ext cx="22225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95250</xdr:rowOff>
    </xdr:from>
    <xdr:to>
      <xdr:col>9</xdr:col>
      <xdr:colOff>279400</xdr:colOff>
      <xdr:row>30</xdr:row>
      <xdr:rowOff>69850</xdr:rowOff>
    </xdr:to>
    <xdr:pic>
      <xdr:nvPicPr>
        <xdr:cNvPr id="3987605"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1500"/>
          <a:ext cx="800100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1</xdr:row>
      <xdr:rowOff>25400</xdr:rowOff>
    </xdr:from>
    <xdr:to>
      <xdr:col>3</xdr:col>
      <xdr:colOff>158750</xdr:colOff>
      <xdr:row>3</xdr:row>
      <xdr:rowOff>209550</xdr:rowOff>
    </xdr:to>
    <xdr:pic>
      <xdr:nvPicPr>
        <xdr:cNvPr id="3988702" name="Picture 1"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7800"/>
          <a:ext cx="22288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969736</xdr:colOff>
      <xdr:row>22</xdr:row>
      <xdr:rowOff>144236</xdr:rowOff>
    </xdr:from>
    <xdr:to>
      <xdr:col>4</xdr:col>
      <xdr:colOff>332273</xdr:colOff>
      <xdr:row>23</xdr:row>
      <xdr:rowOff>47473</xdr:rowOff>
    </xdr:to>
    <xdr:sp macro="" textlink="">
      <xdr:nvSpPr>
        <xdr:cNvPr id="2" name="Rectangle 1"/>
        <xdr:cNvSpPr/>
      </xdr:nvSpPr>
      <xdr:spPr>
        <a:xfrm>
          <a:off x="3116036" y="4667250"/>
          <a:ext cx="394607" cy="108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69850</xdr:colOff>
      <xdr:row>8</xdr:row>
      <xdr:rowOff>57150</xdr:rowOff>
    </xdr:from>
    <xdr:to>
      <xdr:col>9</xdr:col>
      <xdr:colOff>482600</xdr:colOff>
      <xdr:row>28</xdr:row>
      <xdr:rowOff>31750</xdr:rowOff>
    </xdr:to>
    <xdr:pic>
      <xdr:nvPicPr>
        <xdr:cNvPr id="3988704"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850" y="1790700"/>
          <a:ext cx="8013700" cy="353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95250</xdr:rowOff>
    </xdr:from>
    <xdr:to>
      <xdr:col>3</xdr:col>
      <xdr:colOff>190500</xdr:colOff>
      <xdr:row>3</xdr:row>
      <xdr:rowOff>165100</xdr:rowOff>
    </xdr:to>
    <xdr:pic>
      <xdr:nvPicPr>
        <xdr:cNvPr id="3989726" name="Picture 1"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95250"/>
          <a:ext cx="223520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996950</xdr:colOff>
      <xdr:row>23</xdr:row>
      <xdr:rowOff>164193</xdr:rowOff>
    </xdr:from>
    <xdr:to>
      <xdr:col>4</xdr:col>
      <xdr:colOff>298598</xdr:colOff>
      <xdr:row>24</xdr:row>
      <xdr:rowOff>136979</xdr:rowOff>
    </xdr:to>
    <xdr:sp macro="" textlink="">
      <xdr:nvSpPr>
        <xdr:cNvPr id="4" name="Rectangle 3"/>
        <xdr:cNvSpPr/>
      </xdr:nvSpPr>
      <xdr:spPr>
        <a:xfrm flipV="1">
          <a:off x="3143250" y="4640036"/>
          <a:ext cx="340178"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8</xdr:row>
      <xdr:rowOff>114300</xdr:rowOff>
    </xdr:from>
    <xdr:to>
      <xdr:col>9</xdr:col>
      <xdr:colOff>400050</xdr:colOff>
      <xdr:row>29</xdr:row>
      <xdr:rowOff>139700</xdr:rowOff>
    </xdr:to>
    <xdr:pic>
      <xdr:nvPicPr>
        <xdr:cNvPr id="3989728" name="图片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25600"/>
          <a:ext cx="7994650" cy="372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241300</xdr:colOff>
      <xdr:row>0</xdr:row>
      <xdr:rowOff>76200</xdr:rowOff>
    </xdr:from>
    <xdr:to>
      <xdr:col>3</xdr:col>
      <xdr:colOff>177800</xdr:colOff>
      <xdr:row>3</xdr:row>
      <xdr:rowOff>203200</xdr:rowOff>
    </xdr:to>
    <xdr:pic>
      <xdr:nvPicPr>
        <xdr:cNvPr id="3990750" name="Picture 1" descr="Diod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 y="76200"/>
          <a:ext cx="22288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908958</xdr:colOff>
      <xdr:row>22</xdr:row>
      <xdr:rowOff>40822</xdr:rowOff>
    </xdr:from>
    <xdr:to>
      <xdr:col>4</xdr:col>
      <xdr:colOff>210606</xdr:colOff>
      <xdr:row>23</xdr:row>
      <xdr:rowOff>40822</xdr:rowOff>
    </xdr:to>
    <xdr:sp macro="" textlink="">
      <xdr:nvSpPr>
        <xdr:cNvPr id="4" name="Rectangle 3"/>
        <xdr:cNvSpPr/>
      </xdr:nvSpPr>
      <xdr:spPr>
        <a:xfrm flipV="1">
          <a:off x="3061608" y="4259036"/>
          <a:ext cx="340178"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8</xdr:row>
      <xdr:rowOff>120650</xdr:rowOff>
    </xdr:from>
    <xdr:to>
      <xdr:col>10</xdr:col>
      <xdr:colOff>19050</xdr:colOff>
      <xdr:row>29</xdr:row>
      <xdr:rowOff>50800</xdr:rowOff>
    </xdr:to>
    <xdr:pic>
      <xdr:nvPicPr>
        <xdr:cNvPr id="3990752"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250"/>
          <a:ext cx="8134350" cy="393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C28"/>
  <sheetViews>
    <sheetView workbookViewId="0">
      <selection activeCell="C7" sqref="C7"/>
    </sheetView>
  </sheetViews>
  <sheetFormatPr defaultRowHeight="13" x14ac:dyDescent="0.3"/>
  <cols>
    <col min="1" max="1" width="8.7265625" style="143" customWidth="1"/>
    <col min="2" max="2" width="50.1796875" customWidth="1"/>
    <col min="3" max="3" width="108.26953125" customWidth="1"/>
  </cols>
  <sheetData>
    <row r="1" spans="1:3" s="136" customFormat="1" x14ac:dyDescent="0.3">
      <c r="A1" s="139" t="s">
        <v>563</v>
      </c>
      <c r="B1" s="136" t="s">
        <v>564</v>
      </c>
    </row>
    <row r="2" spans="1:3" x14ac:dyDescent="0.3">
      <c r="B2" t="s">
        <v>530</v>
      </c>
    </row>
    <row r="3" spans="1:3" x14ac:dyDescent="0.3">
      <c r="B3" s="137" t="s">
        <v>532</v>
      </c>
      <c r="C3" s="138" t="s">
        <v>531</v>
      </c>
    </row>
    <row r="4" spans="1:3" x14ac:dyDescent="0.3">
      <c r="C4" s="138" t="s">
        <v>533</v>
      </c>
    </row>
    <row r="5" spans="1:3" s="136" customFormat="1" x14ac:dyDescent="0.3">
      <c r="A5" s="139"/>
    </row>
    <row r="6" spans="1:3" x14ac:dyDescent="0.3">
      <c r="B6" s="137"/>
      <c r="C6" s="137"/>
    </row>
    <row r="7" spans="1:3" x14ac:dyDescent="0.3">
      <c r="B7" s="137"/>
    </row>
    <row r="8" spans="1:3" x14ac:dyDescent="0.3">
      <c r="B8" s="137"/>
    </row>
    <row r="9" spans="1:3" x14ac:dyDescent="0.3">
      <c r="B9" s="137"/>
    </row>
    <row r="10" spans="1:3" x14ac:dyDescent="0.3">
      <c r="B10" s="137"/>
    </row>
    <row r="11" spans="1:3" x14ac:dyDescent="0.3">
      <c r="B11" s="137"/>
    </row>
    <row r="12" spans="1:3" x14ac:dyDescent="0.3">
      <c r="B12" s="137"/>
    </row>
    <row r="13" spans="1:3" x14ac:dyDescent="0.3">
      <c r="B13" s="137"/>
    </row>
    <row r="14" spans="1:3" x14ac:dyDescent="0.3">
      <c r="B14" s="137"/>
      <c r="C14" s="137"/>
    </row>
    <row r="15" spans="1:3" x14ac:dyDescent="0.3">
      <c r="B15" s="137"/>
    </row>
    <row r="16" spans="1:3" x14ac:dyDescent="0.3">
      <c r="B16" s="137"/>
    </row>
    <row r="17" spans="2:2" x14ac:dyDescent="0.3">
      <c r="B17" s="137"/>
    </row>
    <row r="18" spans="2:2" x14ac:dyDescent="0.3">
      <c r="B18" s="137"/>
    </row>
    <row r="19" spans="2:2" x14ac:dyDescent="0.3">
      <c r="B19" s="137"/>
    </row>
    <row r="20" spans="2:2" x14ac:dyDescent="0.3">
      <c r="B20" s="137"/>
    </row>
    <row r="21" spans="2:2" x14ac:dyDescent="0.3">
      <c r="B21" s="136"/>
    </row>
    <row r="22" spans="2:2" x14ac:dyDescent="0.3">
      <c r="B22" s="137"/>
    </row>
    <row r="23" spans="2:2" x14ac:dyDescent="0.3">
      <c r="B23" s="137"/>
    </row>
    <row r="24" spans="2:2" x14ac:dyDescent="0.3">
      <c r="B24" s="144"/>
    </row>
    <row r="25" spans="2:2" x14ac:dyDescent="0.3">
      <c r="B25" s="144"/>
    </row>
    <row r="26" spans="2:2" x14ac:dyDescent="0.3">
      <c r="B26" s="136"/>
    </row>
    <row r="27" spans="2:2" x14ac:dyDescent="0.3">
      <c r="B27" s="144"/>
    </row>
    <row r="28" spans="2:2" x14ac:dyDescent="0.3">
      <c r="B28" s="144"/>
    </row>
  </sheetData>
  <phoneticPr fontId="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5"/>
    <pageSetUpPr fitToPage="1"/>
  </sheetPr>
  <dimension ref="A1:ED671"/>
  <sheetViews>
    <sheetView showGridLines="0" tabSelected="1" zoomScale="85" zoomScaleNormal="85" workbookViewId="0">
      <selection activeCell="D10" sqref="D10"/>
    </sheetView>
  </sheetViews>
  <sheetFormatPr defaultColWidth="0" defaultRowHeight="13.5" zeroHeight="1" x14ac:dyDescent="0.2"/>
  <cols>
    <col min="1" max="1" width="4.81640625" style="4" customWidth="1"/>
    <col min="2" max="2" width="15.1796875" style="30" customWidth="1"/>
    <col min="3" max="3" width="31.26953125" style="30" customWidth="1"/>
    <col min="4" max="4" width="9.453125" style="4" customWidth="1"/>
    <col min="5" max="5" width="7.453125" style="4" customWidth="1"/>
    <col min="6" max="6" width="22.26953125" style="4" customWidth="1"/>
    <col min="7" max="7" width="4.1796875" style="4" customWidth="1"/>
    <col min="8" max="8" width="13.26953125" style="4" customWidth="1"/>
    <col min="9" max="9" width="18.7265625" style="4" customWidth="1"/>
    <col min="10" max="10" width="7.26953125" style="4" customWidth="1"/>
    <col min="11" max="11" width="2.81640625" style="4" customWidth="1"/>
    <col min="12" max="12" width="3.1796875" style="192" customWidth="1"/>
    <col min="13" max="13" width="26" style="192" customWidth="1"/>
    <col min="14" max="15" width="6.54296875" style="192" customWidth="1"/>
    <col min="16" max="16" width="10" style="192" customWidth="1"/>
    <col min="17" max="17" width="11" style="193" hidden="1" customWidth="1"/>
    <col min="18" max="18" width="11.54296875" style="194" hidden="1" customWidth="1"/>
    <col min="19" max="19" width="46.1796875" style="194" hidden="1" customWidth="1"/>
    <col min="20" max="20" width="9.453125" style="194" hidden="1" customWidth="1"/>
    <col min="21" max="21" width="12.1796875" style="194" hidden="1" customWidth="1"/>
    <col min="22" max="22" width="14.1796875" style="195" hidden="1" customWidth="1"/>
    <col min="23" max="23" width="14.453125" style="195" hidden="1" customWidth="1"/>
    <col min="24" max="24" width="15.26953125" style="192" hidden="1" customWidth="1"/>
    <col min="25" max="25" width="21.7265625" style="196" hidden="1" customWidth="1"/>
    <col min="26" max="26" width="25.453125" style="192" hidden="1" customWidth="1"/>
    <col min="27" max="27" width="16.81640625" style="192" hidden="1" customWidth="1"/>
    <col min="28" max="28" width="14.1796875" style="192" hidden="1" customWidth="1"/>
    <col min="29" max="29" width="15" style="192" hidden="1" customWidth="1"/>
    <col min="30" max="30" width="15.7265625" style="192" hidden="1" customWidth="1"/>
    <col min="31" max="31" width="17.7265625" style="269" hidden="1" customWidth="1"/>
    <col min="32" max="32" width="18" style="197" hidden="1" customWidth="1"/>
    <col min="33" max="33" width="17.54296875" style="197" hidden="1" customWidth="1"/>
    <col min="34" max="34" width="14.453125" style="194" hidden="1" customWidth="1"/>
    <col min="35" max="35" width="17.7265625" style="194" hidden="1" customWidth="1"/>
    <col min="36" max="36" width="17.81640625" style="197" hidden="1" customWidth="1"/>
    <col min="37" max="37" width="20" style="194" hidden="1" customWidth="1"/>
    <col min="38" max="38" width="11.54296875" style="194" hidden="1" customWidth="1"/>
    <col min="39" max="39" width="12.26953125" style="194" hidden="1" customWidth="1"/>
    <col min="40" max="40" width="11.1796875" style="194" hidden="1" customWidth="1"/>
    <col min="41" max="41" width="8.7265625" style="194" hidden="1" customWidth="1"/>
    <col min="42" max="42" width="14.7265625" style="194" hidden="1" customWidth="1"/>
    <col min="43" max="43" width="11.54296875" style="194" hidden="1" customWidth="1"/>
    <col min="44" max="44" width="11.26953125" style="194" hidden="1" customWidth="1"/>
    <col min="45" max="45" width="11.453125" style="194" hidden="1" customWidth="1"/>
    <col min="46" max="47" width="12" style="194" hidden="1" customWidth="1"/>
    <col min="48" max="48" width="12.453125" style="194" hidden="1" customWidth="1"/>
    <col min="49" max="49" width="12.26953125" style="194" hidden="1" customWidth="1"/>
    <col min="50" max="50" width="11.81640625" style="194" hidden="1" customWidth="1"/>
    <col min="51" max="51" width="10" style="197" hidden="1" customWidth="1"/>
    <col min="52" max="52" width="19.54296875" style="194" hidden="1" customWidth="1"/>
    <col min="53" max="53" width="15.453125" style="194" hidden="1" customWidth="1"/>
    <col min="54" max="54" width="11.7265625" style="194" hidden="1" customWidth="1"/>
    <col min="55" max="55" width="13.453125" style="194" hidden="1" customWidth="1"/>
    <col min="56" max="56" width="11.26953125" style="194" hidden="1" customWidth="1"/>
    <col min="57" max="57" width="15.54296875" style="194" hidden="1" customWidth="1"/>
    <col min="58" max="58" width="11.7265625" style="194" hidden="1" customWidth="1"/>
    <col min="59" max="59" width="15.453125" style="194" hidden="1" customWidth="1"/>
    <col min="60" max="60" width="10.1796875" style="194" hidden="1" customWidth="1"/>
    <col min="61" max="61" width="8.54296875" style="197" hidden="1" customWidth="1"/>
    <col min="62" max="62" width="10.453125" style="194" hidden="1" customWidth="1"/>
    <col min="63" max="63" width="9.1796875" style="194" hidden="1" customWidth="1"/>
    <col min="64" max="64" width="15.81640625" style="194" hidden="1" customWidth="1"/>
    <col min="65" max="65" width="13.1796875" style="194" hidden="1" customWidth="1"/>
    <col min="66" max="66" width="11.81640625" style="194" hidden="1" customWidth="1"/>
    <col min="67" max="67" width="13.1796875" style="194" hidden="1" customWidth="1"/>
    <col min="68" max="68" width="10.1796875" style="194" hidden="1" customWidth="1"/>
    <col min="69" max="69" width="12.81640625" style="194" hidden="1" customWidth="1"/>
    <col min="70" max="70" width="13.1796875" style="194" hidden="1" customWidth="1"/>
    <col min="71" max="71" width="11.26953125" style="194" hidden="1" customWidth="1"/>
    <col min="72" max="72" width="13.453125" style="194" hidden="1" customWidth="1"/>
    <col min="73" max="73" width="9.81640625" style="194" hidden="1" customWidth="1"/>
    <col min="74" max="74" width="10.81640625" style="194" hidden="1" customWidth="1"/>
    <col min="75" max="78" width="9.1796875" style="194" hidden="1" customWidth="1"/>
    <col min="79" max="107" width="0" style="194" hidden="1" customWidth="1"/>
    <col min="108" max="134" width="0" style="192" hidden="1" customWidth="1"/>
    <col min="135" max="16384" width="0" style="4" hidden="1"/>
  </cols>
  <sheetData>
    <row r="1" spans="1:110" ht="14.5" customHeight="1" x14ac:dyDescent="0.2">
      <c r="X1" s="194"/>
      <c r="Z1" s="194"/>
      <c r="AA1" s="194"/>
      <c r="AB1" s="194"/>
      <c r="AC1" s="194"/>
      <c r="AD1" s="194"/>
      <c r="AE1" s="197"/>
      <c r="AJ1" s="198"/>
      <c r="AY1" s="194"/>
      <c r="AZ1" s="197"/>
      <c r="BI1" s="194"/>
      <c r="BJ1" s="197"/>
      <c r="DD1" s="194"/>
    </row>
    <row r="2" spans="1:110" ht="21.75" customHeight="1" x14ac:dyDescent="0.2">
      <c r="D2" s="31" t="str">
        <f>DRIVER&amp;" Calculator"</f>
        <v>AL8871Q Calculator</v>
      </c>
      <c r="G2" s="32" t="s">
        <v>6</v>
      </c>
      <c r="H2" s="122">
        <v>1.2</v>
      </c>
      <c r="I2" s="132"/>
      <c r="M2" s="194"/>
      <c r="N2" s="194"/>
      <c r="O2" s="194"/>
      <c r="P2" s="194"/>
      <c r="Q2" s="194"/>
      <c r="S2" s="195" t="str">
        <f>IF($C$19="AUTOMATIC SELECTION","AUTO",$C$19)</f>
        <v>AUTO</v>
      </c>
      <c r="T2" s="199" t="str">
        <f>IF(VINMIN&gt;VLEDS+0.6,"BUCK",IF(VINMAX&lt;VLEDS+0.5,"BOOST","BUCK-BOOST"))</f>
        <v>BOOST</v>
      </c>
      <c r="X2" s="194"/>
      <c r="Z2" s="194"/>
      <c r="AA2" s="194"/>
      <c r="AB2" s="194"/>
      <c r="AC2" s="194"/>
      <c r="AD2" s="194"/>
      <c r="AE2" s="197"/>
      <c r="AJ2" s="198"/>
      <c r="AK2" s="194" t="s">
        <v>291</v>
      </c>
      <c r="AY2" s="194"/>
      <c r="AZ2" s="197"/>
      <c r="BI2" s="194"/>
      <c r="BJ2" s="197"/>
      <c r="DD2" s="194"/>
    </row>
    <row r="3" spans="1:110" x14ac:dyDescent="0.2">
      <c r="G3" s="33" t="s">
        <v>707</v>
      </c>
      <c r="L3" s="194"/>
      <c r="M3" s="194"/>
      <c r="N3" s="194"/>
      <c r="O3" s="194"/>
      <c r="P3" s="194"/>
      <c r="Q3" s="194"/>
      <c r="R3" s="200" t="s">
        <v>143</v>
      </c>
      <c r="S3" s="199"/>
      <c r="T3" s="199"/>
      <c r="U3" s="199"/>
      <c r="V3" s="201" t="s">
        <v>65</v>
      </c>
      <c r="W3" s="201" t="s">
        <v>64</v>
      </c>
      <c r="X3" s="194"/>
      <c r="Z3" s="194"/>
      <c r="AA3" s="194"/>
      <c r="AB3" s="194"/>
      <c r="AC3" s="194"/>
      <c r="AD3" s="194"/>
      <c r="AE3" s="197"/>
      <c r="AJ3" s="198"/>
      <c r="AY3" s="194"/>
      <c r="AZ3" s="197"/>
      <c r="BI3" s="194"/>
      <c r="BJ3" s="197"/>
      <c r="BM3" s="202" t="s">
        <v>672</v>
      </c>
      <c r="DD3" s="194"/>
    </row>
    <row r="4" spans="1:110" x14ac:dyDescent="0.2">
      <c r="L4" s="194"/>
      <c r="M4" s="194"/>
      <c r="N4" s="194"/>
      <c r="O4" s="194"/>
      <c r="P4" s="194"/>
      <c r="Q4" s="194"/>
      <c r="R4" s="200" t="s">
        <v>565</v>
      </c>
      <c r="S4" s="199"/>
      <c r="T4" s="199" t="s">
        <v>569</v>
      </c>
      <c r="U4" s="199"/>
      <c r="V4" s="201"/>
      <c r="W4" s="201"/>
      <c r="X4" s="194"/>
      <c r="Z4" s="203" t="s">
        <v>127</v>
      </c>
      <c r="AA4" s="204"/>
      <c r="AB4" s="204"/>
      <c r="AC4" s="204"/>
      <c r="AD4" s="204"/>
      <c r="AE4" s="204"/>
      <c r="AH4" s="197"/>
      <c r="AJ4" s="194"/>
      <c r="AK4" s="205" t="s">
        <v>86</v>
      </c>
      <c r="AL4" s="206"/>
      <c r="AM4" s="207"/>
      <c r="AN4" s="207"/>
      <c r="AO4" s="207"/>
      <c r="AP4" s="207"/>
      <c r="AQ4" s="207"/>
      <c r="AR4" s="207"/>
      <c r="AS4" s="207"/>
      <c r="AT4" s="207"/>
      <c r="AU4" s="207"/>
      <c r="AV4" s="207"/>
      <c r="AW4" s="207"/>
      <c r="AX4" s="207"/>
      <c r="AY4" s="208"/>
      <c r="AZ4" s="197"/>
      <c r="BA4" s="209" t="s">
        <v>87</v>
      </c>
      <c r="BB4" s="210"/>
      <c r="BC4" s="211" t="s">
        <v>138</v>
      </c>
      <c r="BD4" s="210"/>
      <c r="BE4" s="210"/>
      <c r="BF4" s="209"/>
      <c r="BG4" s="210"/>
      <c r="BH4" s="210"/>
      <c r="BI4" s="210"/>
      <c r="BK4" s="202" t="s">
        <v>461</v>
      </c>
      <c r="BL4" s="197"/>
      <c r="BM4" s="202" t="s">
        <v>251</v>
      </c>
      <c r="BN4" s="202" t="s">
        <v>653</v>
      </c>
      <c r="BO4" s="202" t="s">
        <v>660</v>
      </c>
      <c r="DD4" s="194"/>
      <c r="DE4" s="194"/>
      <c r="DF4" s="194"/>
    </row>
    <row r="5" spans="1:110" x14ac:dyDescent="0.2">
      <c r="I5" s="34" t="s">
        <v>549</v>
      </c>
      <c r="L5" s="194"/>
      <c r="M5" s="194"/>
      <c r="N5" s="194"/>
      <c r="O5" s="194"/>
      <c r="P5" s="194"/>
      <c r="Q5" s="194"/>
      <c r="R5" s="199" t="s">
        <v>382</v>
      </c>
      <c r="S5" s="199" t="s">
        <v>383</v>
      </c>
      <c r="T5" s="199" t="str">
        <f>IF($C$19="AUTOMATIC SELECTION",$T$2,$C$19)</f>
        <v>BOOST</v>
      </c>
      <c r="U5" s="199"/>
      <c r="V5" s="199"/>
      <c r="W5" s="199"/>
      <c r="Z5" s="203" t="s">
        <v>90</v>
      </c>
      <c r="AA5" s="203" t="s">
        <v>103</v>
      </c>
      <c r="AB5" s="203" t="s">
        <v>105</v>
      </c>
      <c r="AC5" s="203" t="s">
        <v>91</v>
      </c>
      <c r="AD5" s="203" t="s">
        <v>315</v>
      </c>
      <c r="AE5" s="203" t="s">
        <v>92</v>
      </c>
      <c r="AF5" s="212" t="s">
        <v>281</v>
      </c>
      <c r="AG5" s="212" t="s">
        <v>283</v>
      </c>
      <c r="AH5" s="212" t="s">
        <v>99</v>
      </c>
      <c r="AI5" s="212" t="s">
        <v>100</v>
      </c>
      <c r="AJ5" s="202"/>
      <c r="AK5" s="205" t="s">
        <v>90</v>
      </c>
      <c r="AL5" s="213" t="s">
        <v>103</v>
      </c>
      <c r="AM5" s="205" t="s">
        <v>105</v>
      </c>
      <c r="AN5" s="205" t="s">
        <v>551</v>
      </c>
      <c r="AO5" s="205" t="s">
        <v>552</v>
      </c>
      <c r="AP5" s="205" t="s">
        <v>554</v>
      </c>
      <c r="AQ5" s="205" t="s">
        <v>555</v>
      </c>
      <c r="AR5" s="205" t="s">
        <v>108</v>
      </c>
      <c r="AS5" s="205" t="s">
        <v>109</v>
      </c>
      <c r="AT5" s="205" t="s">
        <v>110</v>
      </c>
      <c r="AU5" s="205" t="s">
        <v>111</v>
      </c>
      <c r="AV5" s="205" t="s">
        <v>112</v>
      </c>
      <c r="AW5" s="205" t="s">
        <v>125</v>
      </c>
      <c r="AX5" s="205" t="s">
        <v>134</v>
      </c>
      <c r="AY5" s="214" t="s">
        <v>629</v>
      </c>
      <c r="AZ5" s="212"/>
      <c r="BA5" s="209" t="s">
        <v>90</v>
      </c>
      <c r="BB5" s="209" t="s">
        <v>103</v>
      </c>
      <c r="BC5" s="209" t="s">
        <v>105</v>
      </c>
      <c r="BD5" s="209" t="s">
        <v>133</v>
      </c>
      <c r="BE5" s="209" t="s">
        <v>124</v>
      </c>
      <c r="BF5" s="209" t="s">
        <v>129</v>
      </c>
      <c r="BG5" s="209" t="s">
        <v>132</v>
      </c>
      <c r="BH5" s="209" t="s">
        <v>125</v>
      </c>
      <c r="BI5" s="209" t="s">
        <v>134</v>
      </c>
      <c r="BJ5" s="202"/>
      <c r="BL5" s="212"/>
      <c r="BM5" s="215" t="s">
        <v>671</v>
      </c>
      <c r="BN5" s="215" t="s">
        <v>671</v>
      </c>
      <c r="BO5" s="215" t="s">
        <v>671</v>
      </c>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DC5" s="192"/>
    </row>
    <row r="6" spans="1:110" x14ac:dyDescent="0.2">
      <c r="I6" s="54" t="s">
        <v>578</v>
      </c>
      <c r="L6" s="194"/>
      <c r="M6" s="194"/>
      <c r="N6" s="194"/>
      <c r="O6" s="194"/>
      <c r="P6" s="194"/>
      <c r="Q6" s="194"/>
      <c r="R6" s="199" t="s">
        <v>57</v>
      </c>
      <c r="S6" s="199" t="s">
        <v>59</v>
      </c>
      <c r="T6" s="216">
        <f>(VLEDS/VINMIN)*ILED/0.9</f>
        <v>0.875</v>
      </c>
      <c r="U6" s="199" t="s">
        <v>2</v>
      </c>
      <c r="V6" s="217" t="s">
        <v>75</v>
      </c>
      <c r="W6" s="217"/>
      <c r="X6" s="194"/>
      <c r="Z6" s="204" t="s">
        <v>639</v>
      </c>
      <c r="AA6" s="204"/>
      <c r="AB6" s="204"/>
      <c r="AC6" s="204" t="s">
        <v>128</v>
      </c>
      <c r="AD6" s="204"/>
      <c r="AE6" s="204"/>
      <c r="AH6" s="197"/>
      <c r="AI6" s="197"/>
      <c r="AJ6" s="202"/>
      <c r="AK6" s="207" t="s">
        <v>639</v>
      </c>
      <c r="AL6" s="206"/>
      <c r="AM6" s="207"/>
      <c r="AN6" s="205" t="s">
        <v>0</v>
      </c>
      <c r="AO6" s="205" t="s">
        <v>2</v>
      </c>
      <c r="AP6" s="205" t="s">
        <v>553</v>
      </c>
      <c r="AQ6" s="207" t="s">
        <v>499</v>
      </c>
      <c r="AR6" s="207"/>
      <c r="AS6" s="207"/>
      <c r="AT6" s="207"/>
      <c r="AU6" s="207"/>
      <c r="AV6" s="207"/>
      <c r="AW6" s="207" t="s">
        <v>126</v>
      </c>
      <c r="AX6" s="205"/>
      <c r="AY6" s="214"/>
      <c r="AZ6" s="212"/>
      <c r="BA6" s="210" t="s">
        <v>639</v>
      </c>
      <c r="BB6" s="210"/>
      <c r="BC6" s="210"/>
      <c r="BD6" s="210"/>
      <c r="BE6" s="210"/>
      <c r="BF6" s="210" t="s">
        <v>140</v>
      </c>
      <c r="BG6" s="210" t="s">
        <v>499</v>
      </c>
      <c r="BH6" s="210" t="s">
        <v>126</v>
      </c>
      <c r="BI6" s="209"/>
      <c r="BJ6" s="202"/>
      <c r="BK6" s="202" t="s">
        <v>460</v>
      </c>
      <c r="BL6" s="212"/>
      <c r="BM6" s="215" t="s">
        <v>639</v>
      </c>
      <c r="BN6" s="215" t="s">
        <v>639</v>
      </c>
      <c r="BO6" s="215" t="s">
        <v>639</v>
      </c>
      <c r="BP6" s="202"/>
      <c r="BQ6" s="202"/>
      <c r="BR6" s="202"/>
      <c r="BS6" s="202"/>
      <c r="BT6" s="202"/>
      <c r="BU6" s="202"/>
      <c r="BV6" s="202"/>
      <c r="BW6" s="202"/>
      <c r="BX6" s="202"/>
      <c r="BY6" s="202"/>
      <c r="BZ6" s="202"/>
      <c r="CA6" s="202"/>
      <c r="CB6" s="202"/>
      <c r="DC6" s="192"/>
    </row>
    <row r="7" spans="1:110" ht="21.65" customHeight="1" x14ac:dyDescent="0.45">
      <c r="B7" s="68"/>
      <c r="P7" s="194"/>
      <c r="Q7" s="194"/>
      <c r="R7" s="199" t="s">
        <v>58</v>
      </c>
      <c r="S7" s="199" t="s">
        <v>60</v>
      </c>
      <c r="T7" s="216">
        <f>VLEDS*ILED/0.9</f>
        <v>7</v>
      </c>
      <c r="U7" s="199" t="s">
        <v>27</v>
      </c>
      <c r="V7" s="217">
        <v>2</v>
      </c>
      <c r="W7" s="217"/>
      <c r="X7" s="194"/>
      <c r="Z7" s="199" t="s">
        <v>580</v>
      </c>
      <c r="AA7" s="199">
        <v>1</v>
      </c>
      <c r="AB7" s="199" t="s">
        <v>278</v>
      </c>
      <c r="AC7" s="199">
        <v>1000</v>
      </c>
      <c r="AD7" s="199">
        <v>2090</v>
      </c>
      <c r="AE7" s="199">
        <v>0.56000000000000005</v>
      </c>
      <c r="AF7" s="197">
        <f>AC7-LEST</f>
        <v>925.30363064731478</v>
      </c>
      <c r="AG7" s="218"/>
      <c r="AH7" s="197">
        <f>(AD7/1000)-RCOILEST</f>
        <v>1.1242857142857141</v>
      </c>
      <c r="AI7" s="197">
        <f>AE7-ILMAXEST</f>
        <v>-0.40250000000000008</v>
      </c>
      <c r="AJ7" s="194"/>
      <c r="AK7" s="219" t="s">
        <v>610</v>
      </c>
      <c r="AL7" s="220">
        <v>1</v>
      </c>
      <c r="AM7" s="219" t="s">
        <v>611</v>
      </c>
      <c r="AN7" s="219">
        <v>30</v>
      </c>
      <c r="AO7" s="219">
        <v>14.1</v>
      </c>
      <c r="AP7" s="219">
        <v>7.0000000000000001E-3</v>
      </c>
      <c r="AQ7" s="219">
        <v>1.6</v>
      </c>
      <c r="AR7" s="219">
        <v>8.4</v>
      </c>
      <c r="AS7" s="219">
        <v>2.2000000000000002</v>
      </c>
      <c r="AT7" s="219">
        <v>3.5</v>
      </c>
      <c r="AU7" s="219">
        <v>5.5</v>
      </c>
      <c r="AV7" s="219">
        <v>4.5999999999999996</v>
      </c>
      <c r="AW7" s="219">
        <v>60</v>
      </c>
      <c r="AX7" s="219">
        <v>150</v>
      </c>
      <c r="AY7" s="221">
        <f t="shared" ref="AY7:AY16" si="0">AP7*AR7</f>
        <v>5.8800000000000005E-2</v>
      </c>
      <c r="AZ7" s="197"/>
      <c r="BA7" s="222" t="s">
        <v>621</v>
      </c>
      <c r="BB7" s="222">
        <v>1</v>
      </c>
      <c r="BC7" s="222" t="s">
        <v>141</v>
      </c>
      <c r="BD7" s="222">
        <v>100</v>
      </c>
      <c r="BE7" s="222">
        <v>2</v>
      </c>
      <c r="BF7" s="222">
        <v>0.15</v>
      </c>
      <c r="BG7" s="222">
        <v>0.69</v>
      </c>
      <c r="BH7" s="222">
        <v>75</v>
      </c>
      <c r="BI7" s="222">
        <v>150</v>
      </c>
      <c r="BK7" s="194">
        <v>15</v>
      </c>
      <c r="BL7" s="197"/>
      <c r="BM7" s="215" t="str">
        <f t="array" ref="BM7:BM17">AK7:AK17</f>
        <v xml:space="preserve">DMT3006LFDFQ	</v>
      </c>
      <c r="BN7" s="215" t="str">
        <f t="array" ref="BN7:BN14">BA7:BA14</f>
        <v>B2100Q</v>
      </c>
      <c r="BO7" s="215" t="str">
        <f t="array" ref="BO7:BO85">Z7:Z85</f>
        <v>Coilcraft MSS1246-105KL [1000µH]</v>
      </c>
      <c r="DC7" s="192"/>
    </row>
    <row r="8" spans="1:110" ht="14" thickBot="1" x14ac:dyDescent="0.25">
      <c r="B8" s="5" t="s">
        <v>7</v>
      </c>
      <c r="C8" s="60"/>
      <c r="D8" s="35" t="s">
        <v>8</v>
      </c>
      <c r="F8" s="150"/>
      <c r="H8" s="5" t="s">
        <v>9</v>
      </c>
      <c r="J8" s="69"/>
      <c r="L8" s="194"/>
      <c r="P8" s="194"/>
      <c r="Q8" s="194"/>
      <c r="R8" s="199" t="s">
        <v>53</v>
      </c>
      <c r="S8" s="199" t="s">
        <v>54</v>
      </c>
      <c r="T8" s="216">
        <f>IF(CONFIG="BUCK",(VLEDS+1)/(VINMIN+0.4),IF(CONFIG="BOOST",(VLEDS-VINMIN+1)/(VLEDS+0.4),(VLEDS+1.6)/(VLEDS+VINMIN+0.4)))</f>
        <v>0.65420560747663559</v>
      </c>
      <c r="U8" s="199" t="s">
        <v>55</v>
      </c>
      <c r="V8" s="217" t="s">
        <v>71</v>
      </c>
      <c r="W8" s="217"/>
      <c r="X8" s="194"/>
      <c r="Z8" s="199" t="s">
        <v>581</v>
      </c>
      <c r="AA8" s="199">
        <f t="shared" ref="AA8:AA29" si="1">AA7+1</f>
        <v>2</v>
      </c>
      <c r="AB8" s="199" t="s">
        <v>278</v>
      </c>
      <c r="AC8" s="199">
        <v>680</v>
      </c>
      <c r="AD8" s="199">
        <v>1370</v>
      </c>
      <c r="AE8" s="199">
        <v>0.68</v>
      </c>
      <c r="AF8" s="197">
        <f>AC8-LEST</f>
        <v>605.30363064731478</v>
      </c>
      <c r="AG8" s="218"/>
      <c r="AH8" s="197">
        <f>(AD8/1000)-RCOILEST</f>
        <v>0.40428571428571425</v>
      </c>
      <c r="AI8" s="197">
        <f>AE8-ILMAXEST</f>
        <v>-0.28250000000000008</v>
      </c>
      <c r="AJ8" s="194"/>
      <c r="AK8" s="219" t="s">
        <v>609</v>
      </c>
      <c r="AL8" s="220">
        <v>2</v>
      </c>
      <c r="AM8" s="219" t="s">
        <v>608</v>
      </c>
      <c r="AN8" s="219">
        <v>40</v>
      </c>
      <c r="AO8" s="219">
        <v>49.8</v>
      </c>
      <c r="AP8" s="219">
        <v>1.37E-2</v>
      </c>
      <c r="AQ8" s="219">
        <v>1.6</v>
      </c>
      <c r="AR8" s="219">
        <v>11.2</v>
      </c>
      <c r="AS8" s="219">
        <v>2</v>
      </c>
      <c r="AT8" s="219">
        <v>2.2000000000000002</v>
      </c>
      <c r="AU8" s="219">
        <v>4.5999999999999996</v>
      </c>
      <c r="AV8" s="219">
        <v>4.9000000000000004</v>
      </c>
      <c r="AW8" s="219">
        <v>48.6</v>
      </c>
      <c r="AX8" s="219">
        <v>175</v>
      </c>
      <c r="AY8" s="221">
        <f t="shared" si="0"/>
        <v>0.15343999999999999</v>
      </c>
      <c r="AZ8" s="197"/>
      <c r="BA8" s="222" t="s">
        <v>622</v>
      </c>
      <c r="BB8" s="222">
        <f t="shared" ref="BB8:BB14" si="2">BB7+1</f>
        <v>2</v>
      </c>
      <c r="BC8" s="222" t="s">
        <v>142</v>
      </c>
      <c r="BD8" s="222">
        <v>100</v>
      </c>
      <c r="BE8" s="222">
        <v>3</v>
      </c>
      <c r="BF8" s="222">
        <v>0.4</v>
      </c>
      <c r="BG8" s="222">
        <v>0.61</v>
      </c>
      <c r="BH8" s="222">
        <v>50</v>
      </c>
      <c r="BI8" s="222">
        <v>150</v>
      </c>
      <c r="BK8" s="194">
        <v>22</v>
      </c>
      <c r="BL8" s="197"/>
      <c r="BM8" s="215" t="str">
        <v>DMTH4014LFVWQ</v>
      </c>
      <c r="BN8" s="215" t="str">
        <v>PDS3100Q</v>
      </c>
      <c r="BO8" s="215" t="str">
        <v>Coilcraft MSS1246-684KL [680µH]</v>
      </c>
      <c r="DC8" s="192"/>
    </row>
    <row r="9" spans="1:110" ht="14" thickBot="1" x14ac:dyDescent="0.25">
      <c r="B9" s="21" t="s">
        <v>346</v>
      </c>
      <c r="C9" s="14"/>
      <c r="D9" s="14"/>
      <c r="E9" s="22"/>
      <c r="F9" s="13"/>
      <c r="G9" s="17"/>
      <c r="H9" s="21" t="str">
        <f>"Voltages and currents, TA = "&amp;TAMB&amp;"°C"</f>
        <v>Voltages and currents, TA = 50°C</v>
      </c>
      <c r="I9" s="21"/>
      <c r="J9" s="14"/>
      <c r="K9" s="22"/>
      <c r="L9" s="194"/>
      <c r="P9" s="194"/>
      <c r="Q9" s="194"/>
      <c r="R9" s="199" t="s">
        <v>45</v>
      </c>
      <c r="S9" s="199" t="s">
        <v>343</v>
      </c>
      <c r="T9" s="199">
        <f>IF(CONFIG="BUCK",390,390)</f>
        <v>390</v>
      </c>
      <c r="U9" s="199" t="s">
        <v>4</v>
      </c>
      <c r="V9" s="217">
        <v>4</v>
      </c>
      <c r="W9" s="217" t="s">
        <v>559</v>
      </c>
      <c r="X9" s="194"/>
      <c r="Z9" s="199" t="s">
        <v>582</v>
      </c>
      <c r="AA9" s="199">
        <f t="shared" si="1"/>
        <v>3</v>
      </c>
      <c r="AB9" s="199" t="s">
        <v>278</v>
      </c>
      <c r="AC9" s="199">
        <v>470</v>
      </c>
      <c r="AD9" s="199">
        <v>935.1</v>
      </c>
      <c r="AE9" s="199">
        <v>0.81</v>
      </c>
      <c r="AF9" s="197">
        <f t="shared" ref="AF9:AF70" si="3">AC9-LEST</f>
        <v>395.30363064731472</v>
      </c>
      <c r="AG9" s="218"/>
      <c r="AH9" s="197">
        <f t="shared" ref="AH9:AH70" si="4">(AD9/1000)-RCOILEST</f>
        <v>-3.0614285714285816E-2</v>
      </c>
      <c r="AI9" s="197">
        <f t="shared" ref="AI9:AI70" si="5">AE9-ILMAXEST</f>
        <v>-0.15250000000000008</v>
      </c>
      <c r="AJ9" s="194"/>
      <c r="AK9" s="219" t="s">
        <v>607</v>
      </c>
      <c r="AL9" s="220">
        <v>3</v>
      </c>
      <c r="AM9" s="219" t="s">
        <v>608</v>
      </c>
      <c r="AN9" s="219">
        <v>80</v>
      </c>
      <c r="AO9" s="219">
        <v>27</v>
      </c>
      <c r="AP9" s="219">
        <v>2.5000000000000001E-2</v>
      </c>
      <c r="AQ9" s="219">
        <v>1.6</v>
      </c>
      <c r="AR9" s="219">
        <v>10.4</v>
      </c>
      <c r="AS9" s="219">
        <v>1.8</v>
      </c>
      <c r="AT9" s="219">
        <v>2.4</v>
      </c>
      <c r="AU9" s="219">
        <v>9.6999999999999993</v>
      </c>
      <c r="AV9" s="219">
        <v>8.6</v>
      </c>
      <c r="AW9" s="219">
        <v>42</v>
      </c>
      <c r="AX9" s="219">
        <v>175</v>
      </c>
      <c r="AY9" s="221">
        <f t="shared" si="0"/>
        <v>0.26</v>
      </c>
      <c r="AZ9" s="197"/>
      <c r="BA9" s="222" t="s">
        <v>623</v>
      </c>
      <c r="BB9" s="222">
        <f t="shared" si="2"/>
        <v>3</v>
      </c>
      <c r="BC9" s="222" t="s">
        <v>142</v>
      </c>
      <c r="BD9" s="222">
        <v>100</v>
      </c>
      <c r="BE9" s="222">
        <v>5</v>
      </c>
      <c r="BF9" s="222">
        <v>0.5</v>
      </c>
      <c r="BG9" s="222">
        <v>0.64</v>
      </c>
      <c r="BH9" s="222">
        <v>50</v>
      </c>
      <c r="BI9" s="222">
        <v>150</v>
      </c>
      <c r="BK9" s="194">
        <v>33</v>
      </c>
      <c r="BL9" s="197"/>
      <c r="BM9" s="215" t="str">
        <v>DMTH8028LFVWQ</v>
      </c>
      <c r="BN9" s="215" t="str">
        <v>PDS5100Q</v>
      </c>
      <c r="BO9" s="215" t="str">
        <v>Coilcraft MSS1246-474KL [470µH]</v>
      </c>
      <c r="DC9" s="192"/>
    </row>
    <row r="10" spans="1:110" x14ac:dyDescent="0.2">
      <c r="B10" s="10" t="s">
        <v>14</v>
      </c>
      <c r="C10" s="10" t="s">
        <v>16</v>
      </c>
      <c r="D10" s="11">
        <v>18</v>
      </c>
      <c r="E10" s="12" t="s">
        <v>0</v>
      </c>
      <c r="F10" s="13" t="s">
        <v>290</v>
      </c>
      <c r="G10" s="17"/>
      <c r="H10" s="71" t="s">
        <v>21</v>
      </c>
      <c r="I10" s="70"/>
      <c r="J10" s="56">
        <f>(VINMIN+VINMAX)/2</f>
        <v>13</v>
      </c>
      <c r="K10" s="24" t="s">
        <v>0</v>
      </c>
      <c r="L10" s="194"/>
      <c r="P10" s="194"/>
      <c r="Q10" s="194"/>
      <c r="R10" s="199" t="s">
        <v>67</v>
      </c>
      <c r="S10" s="199" t="s">
        <v>68</v>
      </c>
      <c r="T10" s="199">
        <f>DMAXEST/(FINIT*1000)</f>
        <v>1.6774502755811169E-6</v>
      </c>
      <c r="U10" s="199" t="s">
        <v>44</v>
      </c>
      <c r="V10" s="217" t="s">
        <v>83</v>
      </c>
      <c r="W10" s="217"/>
      <c r="X10" s="223"/>
      <c r="Z10" s="199" t="s">
        <v>583</v>
      </c>
      <c r="AA10" s="199">
        <f t="shared" si="1"/>
        <v>4</v>
      </c>
      <c r="AB10" s="199" t="s">
        <v>278</v>
      </c>
      <c r="AC10" s="199">
        <v>330</v>
      </c>
      <c r="AD10" s="199">
        <v>731.4</v>
      </c>
      <c r="AE10" s="199">
        <v>1</v>
      </c>
      <c r="AF10" s="197">
        <f t="shared" si="3"/>
        <v>255.30363064731472</v>
      </c>
      <c r="AG10" s="218"/>
      <c r="AH10" s="197">
        <f t="shared" si="4"/>
        <v>-0.23431428571428592</v>
      </c>
      <c r="AI10" s="197">
        <f t="shared" si="5"/>
        <v>3.7499999999999867E-2</v>
      </c>
      <c r="AJ10" s="194"/>
      <c r="AK10" s="219" t="s">
        <v>613</v>
      </c>
      <c r="AL10" s="220">
        <v>4</v>
      </c>
      <c r="AM10" s="219" t="s">
        <v>606</v>
      </c>
      <c r="AN10" s="219">
        <v>60</v>
      </c>
      <c r="AO10" s="219">
        <v>37.1</v>
      </c>
      <c r="AP10" s="219">
        <v>1.6E-2</v>
      </c>
      <c r="AQ10" s="219">
        <v>1.6</v>
      </c>
      <c r="AR10" s="219">
        <v>17</v>
      </c>
      <c r="AS10" s="219">
        <v>3.1</v>
      </c>
      <c r="AT10" s="219">
        <v>4.3</v>
      </c>
      <c r="AU10" s="219">
        <v>5.2</v>
      </c>
      <c r="AV10" s="219">
        <v>7</v>
      </c>
      <c r="AW10" s="219">
        <v>37.5</v>
      </c>
      <c r="AX10" s="219">
        <v>175</v>
      </c>
      <c r="AY10" s="221">
        <f t="shared" si="0"/>
        <v>0.27200000000000002</v>
      </c>
      <c r="AZ10" s="197"/>
      <c r="BA10" s="222" t="s">
        <v>624</v>
      </c>
      <c r="BB10" s="222">
        <f t="shared" si="2"/>
        <v>4</v>
      </c>
      <c r="BC10" s="222" t="s">
        <v>142</v>
      </c>
      <c r="BD10" s="222">
        <v>60</v>
      </c>
      <c r="BE10" s="222">
        <v>7</v>
      </c>
      <c r="BF10" s="222">
        <v>1</v>
      </c>
      <c r="BG10" s="222">
        <v>0.54</v>
      </c>
      <c r="BH10" s="222">
        <v>85</v>
      </c>
      <c r="BI10" s="222">
        <v>150</v>
      </c>
      <c r="BK10" s="194">
        <v>47</v>
      </c>
      <c r="BL10" s="197"/>
      <c r="BM10" s="215" t="str">
        <v>DMTH6016LPSQ</v>
      </c>
      <c r="BN10" s="215" t="str">
        <v>PDS760Q</v>
      </c>
      <c r="BO10" s="215" t="str">
        <v>Coilcraft MSS1246-334KL [330µH]</v>
      </c>
      <c r="DC10" s="192"/>
    </row>
    <row r="11" spans="1:110" x14ac:dyDescent="0.2">
      <c r="A11" s="35"/>
      <c r="B11" s="10" t="s">
        <v>13</v>
      </c>
      <c r="C11" s="10" t="s">
        <v>15</v>
      </c>
      <c r="D11" s="11">
        <v>8</v>
      </c>
      <c r="E11" s="12" t="s">
        <v>0</v>
      </c>
      <c r="F11" s="13" t="s">
        <v>566</v>
      </c>
      <c r="G11" s="17"/>
      <c r="H11" s="62" t="s">
        <v>513</v>
      </c>
      <c r="I11" s="70"/>
      <c r="J11" s="57">
        <f>VFLED*N</f>
        <v>21</v>
      </c>
      <c r="K11" s="26" t="s">
        <v>0</v>
      </c>
      <c r="L11" s="194"/>
      <c r="P11" s="194"/>
      <c r="Q11" s="194"/>
      <c r="R11" s="199" t="s">
        <v>509</v>
      </c>
      <c r="S11" s="199" t="s">
        <v>510</v>
      </c>
      <c r="T11" s="199">
        <v>1</v>
      </c>
      <c r="U11" s="199"/>
      <c r="V11" s="199" t="s">
        <v>542</v>
      </c>
      <c r="W11" s="199"/>
      <c r="X11" s="223"/>
      <c r="Z11" s="199" t="s">
        <v>584</v>
      </c>
      <c r="AA11" s="199">
        <f t="shared" si="1"/>
        <v>5</v>
      </c>
      <c r="AB11" s="199" t="s">
        <v>278</v>
      </c>
      <c r="AC11" s="199">
        <v>220</v>
      </c>
      <c r="AD11" s="199">
        <v>488.2</v>
      </c>
      <c r="AE11" s="199">
        <v>1.18</v>
      </c>
      <c r="AF11" s="197">
        <f t="shared" si="3"/>
        <v>145.30363064731472</v>
      </c>
      <c r="AG11" s="218"/>
      <c r="AH11" s="197">
        <f t="shared" si="4"/>
        <v>-0.47751428571428589</v>
      </c>
      <c r="AI11" s="197">
        <f t="shared" si="5"/>
        <v>0.2174999999999998</v>
      </c>
      <c r="AJ11" s="194"/>
      <c r="AK11" s="219" t="s">
        <v>615</v>
      </c>
      <c r="AL11" s="220">
        <v>5</v>
      </c>
      <c r="AM11" s="219" t="s">
        <v>611</v>
      </c>
      <c r="AN11" s="219">
        <v>100</v>
      </c>
      <c r="AO11" s="219">
        <v>4</v>
      </c>
      <c r="AP11" s="219">
        <v>6.2E-2</v>
      </c>
      <c r="AQ11" s="219">
        <v>1.6</v>
      </c>
      <c r="AR11" s="219">
        <v>4.5</v>
      </c>
      <c r="AS11" s="219">
        <v>0.6</v>
      </c>
      <c r="AT11" s="219">
        <v>1.3</v>
      </c>
      <c r="AU11" s="219">
        <v>3.1</v>
      </c>
      <c r="AV11" s="219">
        <v>4.3</v>
      </c>
      <c r="AW11" s="219">
        <v>71</v>
      </c>
      <c r="AX11" s="219">
        <v>150</v>
      </c>
      <c r="AY11" s="221">
        <f t="shared" si="0"/>
        <v>0.27900000000000003</v>
      </c>
      <c r="AZ11" s="197"/>
      <c r="BA11" s="222" t="s">
        <v>627</v>
      </c>
      <c r="BB11" s="222">
        <f t="shared" si="2"/>
        <v>5</v>
      </c>
      <c r="BC11" s="222" t="s">
        <v>142</v>
      </c>
      <c r="BD11" s="222">
        <v>40</v>
      </c>
      <c r="BE11" s="222">
        <v>10</v>
      </c>
      <c r="BF11" s="222">
        <v>6.5</v>
      </c>
      <c r="BG11" s="222">
        <v>0.47</v>
      </c>
      <c r="BH11" s="222">
        <v>50</v>
      </c>
      <c r="BI11" s="222">
        <v>150</v>
      </c>
      <c r="BK11" s="194">
        <v>1000</v>
      </c>
      <c r="BL11" s="197" t="s">
        <v>511</v>
      </c>
      <c r="BM11" s="215" t="str">
        <v>DMT10H072LFDFQ</v>
      </c>
      <c r="BN11" s="215" t="str">
        <v>PDS1040Q</v>
      </c>
      <c r="BO11" s="215" t="str">
        <v>Coilcraft MSS1246-224KL [220µH]</v>
      </c>
      <c r="DC11" s="192"/>
    </row>
    <row r="12" spans="1:110" x14ac:dyDescent="0.2">
      <c r="A12" s="35"/>
      <c r="B12" s="10" t="s">
        <v>20</v>
      </c>
      <c r="C12" s="10" t="s">
        <v>12</v>
      </c>
      <c r="D12" s="11">
        <v>3.5</v>
      </c>
      <c r="E12" s="12" t="s">
        <v>0</v>
      </c>
      <c r="F12" s="13" t="s">
        <v>558</v>
      </c>
      <c r="G12" s="17"/>
      <c r="H12" s="62" t="s">
        <v>271</v>
      </c>
      <c r="I12" s="70"/>
      <c r="J12" s="25">
        <f>IINMAX</f>
        <v>0.88975759887546491</v>
      </c>
      <c r="K12" s="26" t="s">
        <v>2</v>
      </c>
      <c r="L12" s="194"/>
      <c r="P12" s="194"/>
      <c r="Q12" s="194"/>
      <c r="R12" s="199" t="s">
        <v>149</v>
      </c>
      <c r="S12" s="199" t="s">
        <v>527</v>
      </c>
      <c r="T12" s="216">
        <f>IF(CONFIG="BUCK",1,IF((1-DMAXEST)*GIFACT&lt;0.2,0.2,IF((1-DMAXEST)*GIFACT&gt;0.5,0.5,(1-DMAXEST)*GIFACT)))</f>
        <v>0.34579439252336441</v>
      </c>
      <c r="U12" s="199"/>
      <c r="V12" s="217">
        <v>54</v>
      </c>
      <c r="W12" s="217"/>
      <c r="X12" s="223"/>
      <c r="Z12" s="199" t="s">
        <v>585</v>
      </c>
      <c r="AA12" s="199">
        <f t="shared" si="1"/>
        <v>6</v>
      </c>
      <c r="AB12" s="199" t="s">
        <v>278</v>
      </c>
      <c r="AC12" s="199">
        <v>150</v>
      </c>
      <c r="AD12" s="199">
        <v>326.7</v>
      </c>
      <c r="AE12" s="199">
        <v>1.36</v>
      </c>
      <c r="AF12" s="197">
        <f t="shared" si="3"/>
        <v>75.303630647314719</v>
      </c>
      <c r="AG12" s="218"/>
      <c r="AH12" s="197">
        <f t="shared" si="4"/>
        <v>-0.63901428571428587</v>
      </c>
      <c r="AI12" s="197">
        <f t="shared" si="5"/>
        <v>0.39749999999999996</v>
      </c>
      <c r="AJ12" s="194"/>
      <c r="AK12" s="219" t="s">
        <v>612</v>
      </c>
      <c r="AL12" s="220">
        <v>6</v>
      </c>
      <c r="AM12" s="219" t="s">
        <v>118</v>
      </c>
      <c r="AN12" s="219">
        <v>60</v>
      </c>
      <c r="AO12" s="219">
        <v>46.9</v>
      </c>
      <c r="AP12" s="219">
        <v>1.7000000000000001E-2</v>
      </c>
      <c r="AQ12" s="219">
        <v>1.6</v>
      </c>
      <c r="AR12" s="219">
        <v>17</v>
      </c>
      <c r="AS12" s="219">
        <v>3.1</v>
      </c>
      <c r="AT12" s="219">
        <v>4.3</v>
      </c>
      <c r="AU12" s="219">
        <v>5.2</v>
      </c>
      <c r="AV12" s="219">
        <v>6.8</v>
      </c>
      <c r="AW12" s="219">
        <v>47</v>
      </c>
      <c r="AX12" s="219">
        <v>175</v>
      </c>
      <c r="AY12" s="221">
        <f t="shared" si="0"/>
        <v>0.28900000000000003</v>
      </c>
      <c r="AZ12" s="197"/>
      <c r="BA12" s="222" t="s">
        <v>625</v>
      </c>
      <c r="BB12" s="222">
        <f t="shared" si="2"/>
        <v>6</v>
      </c>
      <c r="BC12" s="222" t="s">
        <v>556</v>
      </c>
      <c r="BD12" s="222">
        <v>150</v>
      </c>
      <c r="BE12" s="222">
        <v>1</v>
      </c>
      <c r="BF12" s="222">
        <v>0.02</v>
      </c>
      <c r="BG12" s="222">
        <v>0.65</v>
      </c>
      <c r="BH12" s="222">
        <v>125</v>
      </c>
      <c r="BI12" s="222">
        <v>175</v>
      </c>
      <c r="BL12" s="197"/>
      <c r="BM12" s="215" t="str">
        <v>DMTH6016LK3Q</v>
      </c>
      <c r="BN12" s="215" t="str">
        <v>DFLS1150Q</v>
      </c>
      <c r="BO12" s="215" t="str">
        <v>Coilcraft MSS1246-154KL [150µH]</v>
      </c>
      <c r="DC12" s="192"/>
    </row>
    <row r="13" spans="1:110" x14ac:dyDescent="0.2">
      <c r="A13" s="35"/>
      <c r="B13" s="10" t="s">
        <v>10</v>
      </c>
      <c r="C13" s="10" t="s">
        <v>11</v>
      </c>
      <c r="D13" s="11">
        <v>6</v>
      </c>
      <c r="E13" s="12"/>
      <c r="F13" s="13" t="s">
        <v>550</v>
      </c>
      <c r="G13" s="17"/>
      <c r="H13" s="62" t="s">
        <v>535</v>
      </c>
      <c r="I13" s="70"/>
      <c r="J13" s="63">
        <f>VDSMAX</f>
        <v>24.724999999999998</v>
      </c>
      <c r="K13" s="26" t="s">
        <v>0</v>
      </c>
      <c r="L13" s="194"/>
      <c r="P13" s="194"/>
      <c r="Q13" s="194"/>
      <c r="R13" s="199" t="s">
        <v>525</v>
      </c>
      <c r="S13" s="199" t="s">
        <v>526</v>
      </c>
      <c r="T13" s="216">
        <f>IF(CONFIG="BUCK",1,IF(GITARGET="Automatic",GI_ADJ_INIT,GITARGET))</f>
        <v>0.34579439252336441</v>
      </c>
      <c r="U13" s="199"/>
      <c r="V13" s="217"/>
      <c r="W13" s="217"/>
      <c r="X13" s="223"/>
      <c r="Z13" s="199" t="s">
        <v>586</v>
      </c>
      <c r="AA13" s="199">
        <f t="shared" si="1"/>
        <v>7</v>
      </c>
      <c r="AB13" s="199" t="s">
        <v>278</v>
      </c>
      <c r="AC13" s="199">
        <v>100</v>
      </c>
      <c r="AD13" s="199">
        <v>216.8</v>
      </c>
      <c r="AE13" s="199">
        <v>1.64</v>
      </c>
      <c r="AF13" s="197">
        <f t="shared" si="3"/>
        <v>25.303630647314719</v>
      </c>
      <c r="AG13" s="218"/>
      <c r="AH13" s="197">
        <f t="shared" si="4"/>
        <v>-0.74891428571428587</v>
      </c>
      <c r="AI13" s="197">
        <f t="shared" si="5"/>
        <v>0.67749999999999977</v>
      </c>
      <c r="AJ13" s="194"/>
      <c r="AK13" s="219" t="s">
        <v>614</v>
      </c>
      <c r="AL13" s="220">
        <v>7</v>
      </c>
      <c r="AM13" s="219" t="s">
        <v>606</v>
      </c>
      <c r="AN13" s="219">
        <v>100</v>
      </c>
      <c r="AO13" s="219">
        <v>45</v>
      </c>
      <c r="AP13" s="219">
        <v>2.3E-2</v>
      </c>
      <c r="AQ13" s="219">
        <v>1.6</v>
      </c>
      <c r="AR13" s="219">
        <v>21</v>
      </c>
      <c r="AS13" s="219">
        <v>5.7</v>
      </c>
      <c r="AT13" s="219">
        <v>3.8</v>
      </c>
      <c r="AU13" s="219">
        <v>9.4</v>
      </c>
      <c r="AV13" s="219">
        <v>8.1999999999999993</v>
      </c>
      <c r="AW13" s="219">
        <v>46</v>
      </c>
      <c r="AX13" s="219">
        <v>175</v>
      </c>
      <c r="AY13" s="221">
        <f t="shared" si="0"/>
        <v>0.48299999999999998</v>
      </c>
      <c r="AZ13" s="197"/>
      <c r="BA13" s="222" t="s">
        <v>626</v>
      </c>
      <c r="BB13" s="222">
        <f t="shared" si="2"/>
        <v>7</v>
      </c>
      <c r="BC13" s="222" t="s">
        <v>142</v>
      </c>
      <c r="BD13" s="222">
        <v>150</v>
      </c>
      <c r="BE13" s="222">
        <v>4</v>
      </c>
      <c r="BF13" s="222">
        <v>0.35</v>
      </c>
      <c r="BG13" s="222">
        <v>0.6</v>
      </c>
      <c r="BH13" s="222">
        <v>40</v>
      </c>
      <c r="BI13" s="222">
        <v>175</v>
      </c>
      <c r="BL13" s="197"/>
      <c r="BM13" s="215" t="str">
        <v>DMTH10H025LPSQ</v>
      </c>
      <c r="BN13" s="215" t="str">
        <v>PDS4150Q</v>
      </c>
      <c r="BO13" s="215" t="str">
        <v>Coilcraft MSS1246-104ML [100µH]</v>
      </c>
      <c r="DC13" s="192"/>
    </row>
    <row r="14" spans="1:110" x14ac:dyDescent="0.2">
      <c r="A14" s="35"/>
      <c r="B14" s="10" t="s">
        <v>1</v>
      </c>
      <c r="C14" s="10" t="s">
        <v>145</v>
      </c>
      <c r="D14" s="171">
        <v>0.3</v>
      </c>
      <c r="E14" s="12" t="s">
        <v>2</v>
      </c>
      <c r="F14" s="13" t="s">
        <v>371</v>
      </c>
      <c r="G14" s="17"/>
      <c r="H14" s="62" t="s">
        <v>540</v>
      </c>
      <c r="I14" s="70"/>
      <c r="J14" s="63">
        <f>VRMAX</f>
        <v>24.15</v>
      </c>
      <c r="K14" s="26" t="s">
        <v>0</v>
      </c>
      <c r="L14" s="194"/>
      <c r="P14" s="194"/>
      <c r="Q14" s="194"/>
      <c r="R14" s="199" t="s">
        <v>69</v>
      </c>
      <c r="S14" s="199" t="s">
        <v>70</v>
      </c>
      <c r="T14" s="216">
        <f>IF(CONFIG="BUCK",(VLEDS+1)/(VINAV+0.4),IF(CONFIG="BOOST",(VLEDS-VINAV+1)/(VLEDS+0.4),(VLEDS+1.6)/(VLEDS+VINAV+0.4)))</f>
        <v>0.42056074766355145</v>
      </c>
      <c r="U14" s="199" t="s">
        <v>55</v>
      </c>
      <c r="V14" s="217" t="s">
        <v>72</v>
      </c>
      <c r="W14" s="217"/>
      <c r="X14" s="223"/>
      <c r="Z14" s="199" t="s">
        <v>587</v>
      </c>
      <c r="AA14" s="199">
        <f t="shared" si="1"/>
        <v>8</v>
      </c>
      <c r="AB14" s="199" t="s">
        <v>278</v>
      </c>
      <c r="AC14" s="199">
        <v>68</v>
      </c>
      <c r="AD14" s="199">
        <v>167.3</v>
      </c>
      <c r="AE14" s="199">
        <v>2.1</v>
      </c>
      <c r="AF14" s="197">
        <f t="shared" si="3"/>
        <v>-6.6963693526852808</v>
      </c>
      <c r="AG14" s="218"/>
      <c r="AH14" s="197">
        <f t="shared" si="4"/>
        <v>-0.79841428571428585</v>
      </c>
      <c r="AI14" s="197">
        <f t="shared" si="5"/>
        <v>1.1375</v>
      </c>
      <c r="AJ14" s="194"/>
      <c r="AK14" s="219" t="s">
        <v>617</v>
      </c>
      <c r="AL14" s="220">
        <v>8</v>
      </c>
      <c r="AM14" s="219" t="s">
        <v>618</v>
      </c>
      <c r="AN14" s="219">
        <v>40</v>
      </c>
      <c r="AO14" s="219">
        <v>4.5999999999999996</v>
      </c>
      <c r="AP14" s="219">
        <v>4.2000000000000003E-2</v>
      </c>
      <c r="AQ14" s="219">
        <v>1.6</v>
      </c>
      <c r="AR14" s="219">
        <v>12.5</v>
      </c>
      <c r="AS14" s="219">
        <v>1.7</v>
      </c>
      <c r="AT14" s="219">
        <v>2.2000000000000002</v>
      </c>
      <c r="AU14" s="219">
        <v>2.6</v>
      </c>
      <c r="AV14" s="219">
        <v>5.5</v>
      </c>
      <c r="AW14" s="219">
        <v>93</v>
      </c>
      <c r="AX14" s="219">
        <v>150</v>
      </c>
      <c r="AY14" s="221">
        <f t="shared" si="0"/>
        <v>0.52500000000000002</v>
      </c>
      <c r="AZ14" s="197"/>
      <c r="BA14" s="222" t="s">
        <v>370</v>
      </c>
      <c r="BB14" s="222">
        <f t="shared" si="2"/>
        <v>8</v>
      </c>
      <c r="BC14" s="222"/>
      <c r="BD14" s="222">
        <v>200</v>
      </c>
      <c r="BE14" s="222">
        <v>20</v>
      </c>
      <c r="BF14" s="222">
        <v>0.01</v>
      </c>
      <c r="BG14" s="222">
        <v>0.6</v>
      </c>
      <c r="BH14" s="222">
        <v>5</v>
      </c>
      <c r="BI14" s="222">
        <v>150</v>
      </c>
      <c r="BL14" s="197"/>
      <c r="BM14" s="215" t="str">
        <v>DMN4035LQ</v>
      </c>
      <c r="BN14" s="215" t="str">
        <v>High current Schottky</v>
      </c>
      <c r="BO14" s="215" t="str">
        <v>Coilcraft MSS1246-683ML [68µH]</v>
      </c>
      <c r="DC14" s="192"/>
    </row>
    <row r="15" spans="1:110" ht="15" customHeight="1" x14ac:dyDescent="0.2">
      <c r="A15" s="35"/>
      <c r="B15" s="10" t="s">
        <v>357</v>
      </c>
      <c r="C15" s="10" t="s">
        <v>359</v>
      </c>
      <c r="D15" s="11">
        <v>0.25</v>
      </c>
      <c r="E15" s="12" t="s">
        <v>0</v>
      </c>
      <c r="F15" s="13" t="s">
        <v>562</v>
      </c>
      <c r="G15" s="17"/>
      <c r="H15" s="62" t="s">
        <v>561</v>
      </c>
      <c r="I15" s="70"/>
      <c r="J15" s="141">
        <f>MIN($AB$120:$AB$660)*RS</f>
        <v>9.6203707235237593E-2</v>
      </c>
      <c r="K15" s="26" t="s">
        <v>0</v>
      </c>
      <c r="L15" s="194"/>
      <c r="P15" s="194"/>
      <c r="Q15" s="194"/>
      <c r="R15" s="199" t="s">
        <v>43</v>
      </c>
      <c r="S15" s="199" t="s">
        <v>84</v>
      </c>
      <c r="T15" s="199">
        <f>DMIDEST/(FINIT*1000)</f>
        <v>1.0783608914450036E-6</v>
      </c>
      <c r="U15" s="199" t="s">
        <v>44</v>
      </c>
      <c r="V15" s="217" t="s">
        <v>85</v>
      </c>
      <c r="W15" s="217"/>
      <c r="X15" s="223"/>
      <c r="Z15" s="199" t="s">
        <v>588</v>
      </c>
      <c r="AA15" s="199">
        <f t="shared" si="1"/>
        <v>9</v>
      </c>
      <c r="AB15" s="199" t="s">
        <v>278</v>
      </c>
      <c r="AC15" s="199">
        <v>47</v>
      </c>
      <c r="AD15" s="199">
        <v>120.6</v>
      </c>
      <c r="AE15" s="199">
        <v>2.66</v>
      </c>
      <c r="AF15" s="197">
        <f t="shared" si="3"/>
        <v>-27.696369352685281</v>
      </c>
      <c r="AG15" s="218"/>
      <c r="AH15" s="197">
        <f t="shared" si="4"/>
        <v>-0.84511428571428582</v>
      </c>
      <c r="AI15" s="197">
        <f t="shared" si="5"/>
        <v>1.6975</v>
      </c>
      <c r="AJ15" s="194"/>
      <c r="AK15" s="219" t="s">
        <v>619</v>
      </c>
      <c r="AL15" s="220">
        <v>9</v>
      </c>
      <c r="AM15" s="219" t="s">
        <v>620</v>
      </c>
      <c r="AN15" s="219">
        <v>40</v>
      </c>
      <c r="AO15" s="219">
        <v>6.5</v>
      </c>
      <c r="AP15" s="219">
        <v>3.4000000000000002E-2</v>
      </c>
      <c r="AQ15" s="219">
        <v>1.6</v>
      </c>
      <c r="AR15" s="219">
        <v>15.5</v>
      </c>
      <c r="AS15" s="219">
        <v>2</v>
      </c>
      <c r="AT15" s="219">
        <v>3</v>
      </c>
      <c r="AU15" s="219">
        <v>3</v>
      </c>
      <c r="AV15" s="219">
        <v>7</v>
      </c>
      <c r="AW15" s="219">
        <v>58.9</v>
      </c>
      <c r="AX15" s="219">
        <v>150</v>
      </c>
      <c r="AY15" s="221">
        <f t="shared" si="0"/>
        <v>0.52700000000000002</v>
      </c>
      <c r="AZ15" s="197"/>
      <c r="BA15" s="222"/>
      <c r="BB15" s="222"/>
      <c r="BC15" s="222"/>
      <c r="BD15" s="222"/>
      <c r="BE15" s="222"/>
      <c r="BF15" s="222"/>
      <c r="BG15" s="222"/>
      <c r="BH15" s="222"/>
      <c r="BI15" s="222"/>
      <c r="BL15" s="197"/>
      <c r="BM15" s="215" t="str">
        <v>DMN4034SSSQ</v>
      </c>
      <c r="BN15" s="215"/>
      <c r="BO15" s="215" t="str">
        <v>Coilcraft MSS1246-473ML [47µH]</v>
      </c>
      <c r="DC15" s="192"/>
    </row>
    <row r="16" spans="1:110" x14ac:dyDescent="0.2">
      <c r="B16" s="10" t="s">
        <v>358</v>
      </c>
      <c r="C16" s="10" t="s">
        <v>360</v>
      </c>
      <c r="D16" s="11">
        <v>0.25</v>
      </c>
      <c r="E16" s="12" t="s">
        <v>0</v>
      </c>
      <c r="F16" s="13" t="s">
        <v>562</v>
      </c>
      <c r="G16" s="17"/>
      <c r="H16" s="62" t="s">
        <v>560</v>
      </c>
      <c r="I16" s="70"/>
      <c r="J16" s="141">
        <f>$J$17*RS</f>
        <v>0.24435411596399095</v>
      </c>
      <c r="K16" s="26" t="s">
        <v>0</v>
      </c>
      <c r="P16" s="194"/>
      <c r="Q16" s="194"/>
      <c r="R16" s="199" t="s">
        <v>30</v>
      </c>
      <c r="S16" s="199" t="s">
        <v>94</v>
      </c>
      <c r="T16" s="216">
        <f>(VLEDS/VINAV)*ILED/0.9</f>
        <v>0.53846153846153844</v>
      </c>
      <c r="U16" s="199" t="s">
        <v>2</v>
      </c>
      <c r="V16" s="217" t="s">
        <v>74</v>
      </c>
      <c r="W16" s="224">
        <f>IF(CONFIG="BUCK",ILED*T14,IF(CONFIG="BOOST",ILED/(1-T14),ILED*T14/(1-T14)))</f>
        <v>0.51774193548387104</v>
      </c>
      <c r="X16" s="194"/>
      <c r="Z16" s="199" t="s">
        <v>589</v>
      </c>
      <c r="AA16" s="199">
        <f t="shared" si="1"/>
        <v>10</v>
      </c>
      <c r="AB16" s="199" t="s">
        <v>278</v>
      </c>
      <c r="AC16" s="199">
        <v>33</v>
      </c>
      <c r="AD16" s="199">
        <v>81.7</v>
      </c>
      <c r="AE16" s="199">
        <v>3.14</v>
      </c>
      <c r="AF16" s="197">
        <f t="shared" si="3"/>
        <v>-41.696369352685281</v>
      </c>
      <c r="AG16" s="218"/>
      <c r="AH16" s="197">
        <f t="shared" si="4"/>
        <v>-0.88401428571428586</v>
      </c>
      <c r="AI16" s="197">
        <f t="shared" si="5"/>
        <v>2.1775000000000002</v>
      </c>
      <c r="AJ16" s="194"/>
      <c r="AK16" s="219" t="s">
        <v>616</v>
      </c>
      <c r="AL16" s="220">
        <v>10</v>
      </c>
      <c r="AM16" s="219" t="s">
        <v>118</v>
      </c>
      <c r="AN16" s="219">
        <v>100</v>
      </c>
      <c r="AO16" s="219">
        <v>12</v>
      </c>
      <c r="AP16" s="219">
        <v>0.14000000000000001</v>
      </c>
      <c r="AQ16" s="219">
        <v>1.6</v>
      </c>
      <c r="AR16" s="219">
        <v>9.6999999999999993</v>
      </c>
      <c r="AS16" s="219">
        <v>2</v>
      </c>
      <c r="AT16" s="219">
        <v>2</v>
      </c>
      <c r="AU16" s="219">
        <v>11.1</v>
      </c>
      <c r="AV16" s="219">
        <v>12.8</v>
      </c>
      <c r="AW16" s="219">
        <v>44</v>
      </c>
      <c r="AX16" s="219">
        <v>150</v>
      </c>
      <c r="AY16" s="221">
        <f t="shared" si="0"/>
        <v>1.3580000000000001</v>
      </c>
      <c r="AZ16" s="197"/>
      <c r="BA16" s="222"/>
      <c r="BB16" s="222"/>
      <c r="BC16" s="222"/>
      <c r="BD16" s="222"/>
      <c r="BE16" s="222"/>
      <c r="BF16" s="222"/>
      <c r="BG16" s="222"/>
      <c r="BH16" s="222"/>
      <c r="BI16" s="222"/>
      <c r="BL16" s="197"/>
      <c r="BM16" s="215" t="str">
        <v>DMN10H170SK3Q</v>
      </c>
      <c r="BN16" s="215"/>
      <c r="BO16" s="215" t="str">
        <v>Coilcraft MSS1246-333ML [33µH]</v>
      </c>
      <c r="DC16" s="192"/>
    </row>
    <row r="17" spans="1:133" ht="14" thickBot="1" x14ac:dyDescent="0.25">
      <c r="B17" s="148" t="s">
        <v>41</v>
      </c>
      <c r="C17" s="18" t="s">
        <v>374</v>
      </c>
      <c r="D17" s="19">
        <v>50</v>
      </c>
      <c r="E17" s="20" t="s">
        <v>37</v>
      </c>
      <c r="F17" s="23" t="s">
        <v>42</v>
      </c>
      <c r="G17" s="17"/>
      <c r="H17" s="62" t="s">
        <v>270</v>
      </c>
      <c r="I17" s="70"/>
      <c r="J17" s="25">
        <f>MAX($AQ$120:$AQ$660)</f>
        <v>0.92505486757796573</v>
      </c>
      <c r="K17" s="26" t="s">
        <v>2</v>
      </c>
      <c r="P17" s="194"/>
      <c r="Q17" s="194"/>
      <c r="R17" s="199" t="s">
        <v>73</v>
      </c>
      <c r="S17" s="199" t="s">
        <v>79</v>
      </c>
      <c r="T17" s="216">
        <f>IF(CONFIG="BUCK",ILED,IF(CONFIG="BOOST",IINEST,IINEST+ILED))</f>
        <v>0.53846153846153844</v>
      </c>
      <c r="U17" s="199" t="s">
        <v>2</v>
      </c>
      <c r="V17" s="217" t="s">
        <v>76</v>
      </c>
      <c r="W17" s="217"/>
      <c r="X17" s="194"/>
      <c r="Z17" s="199" t="s">
        <v>590</v>
      </c>
      <c r="AA17" s="199">
        <f t="shared" si="1"/>
        <v>11</v>
      </c>
      <c r="AB17" s="199" t="s">
        <v>278</v>
      </c>
      <c r="AC17" s="199">
        <v>22</v>
      </c>
      <c r="AD17" s="199">
        <v>60.3</v>
      </c>
      <c r="AE17" s="199">
        <v>3.76</v>
      </c>
      <c r="AF17" s="197">
        <f t="shared" si="3"/>
        <v>-52.696369352685281</v>
      </c>
      <c r="AG17" s="218"/>
      <c r="AH17" s="197">
        <f t="shared" si="4"/>
        <v>-0.90541428571428584</v>
      </c>
      <c r="AI17" s="197">
        <f t="shared" si="5"/>
        <v>2.7974999999999994</v>
      </c>
      <c r="AJ17" s="194"/>
      <c r="AK17" s="219" t="s">
        <v>631</v>
      </c>
      <c r="AL17" s="220">
        <v>11</v>
      </c>
      <c r="AM17" s="219"/>
      <c r="AN17" s="219">
        <v>200</v>
      </c>
      <c r="AO17" s="219">
        <v>24</v>
      </c>
      <c r="AP17" s="219">
        <v>0.05</v>
      </c>
      <c r="AQ17" s="219">
        <v>1.6</v>
      </c>
      <c r="AR17" s="219">
        <v>15</v>
      </c>
      <c r="AS17" s="219">
        <v>5</v>
      </c>
      <c r="AT17" s="219">
        <v>2</v>
      </c>
      <c r="AU17" s="219">
        <v>5</v>
      </c>
      <c r="AV17" s="219">
        <v>7</v>
      </c>
      <c r="AW17" s="219">
        <v>50</v>
      </c>
      <c r="AX17" s="219">
        <v>150</v>
      </c>
      <c r="AY17" s="225">
        <v>9999</v>
      </c>
      <c r="AZ17" s="197" t="s">
        <v>630</v>
      </c>
      <c r="BA17" s="222"/>
      <c r="BB17" s="222"/>
      <c r="BC17" s="222"/>
      <c r="BD17" s="222"/>
      <c r="BE17" s="222"/>
      <c r="BF17" s="222"/>
      <c r="BG17" s="222"/>
      <c r="BH17" s="222"/>
      <c r="BI17" s="222"/>
      <c r="BL17" s="197"/>
      <c r="BM17" s="215" t="str">
        <v>High voltage MOSFET</v>
      </c>
      <c r="BN17" s="215"/>
      <c r="BO17" s="215" t="str">
        <v>Coilcraft MSS1246-223ML [22µH]</v>
      </c>
      <c r="DC17" s="192"/>
    </row>
    <row r="18" spans="1:133" ht="16" thickBot="1" x14ac:dyDescent="0.25">
      <c r="B18" s="67" t="str">
        <f>IF(IINMAX&gt;20,"System input current &gt; 20A: reduce ILED, increase VINMIN  or reduce VLEDS.","")</f>
        <v/>
      </c>
      <c r="C18" s="176" t="s">
        <v>8</v>
      </c>
      <c r="G18" s="17"/>
      <c r="H18" s="62" t="s">
        <v>529</v>
      </c>
      <c r="I18" s="70"/>
      <c r="J18" s="25">
        <f>MAX($AI$120:$AI$660)</f>
        <v>0.20168928480781165</v>
      </c>
      <c r="K18" s="26" t="s">
        <v>2</v>
      </c>
      <c r="P18" s="194"/>
      <c r="Q18" s="194"/>
      <c r="R18" s="199" t="s">
        <v>348</v>
      </c>
      <c r="S18" s="199" t="s">
        <v>349</v>
      </c>
      <c r="T18" s="226">
        <f>IF(CONFIG="BUCK",0.02+0.08*(VADJ/1.25),(0.02+0.08*(VADJ/1.25))*(1-DMIDEST)/GI_ADJ_INITM)</f>
        <v>0.1675675675675676</v>
      </c>
      <c r="U18" s="199"/>
      <c r="V18" s="227" t="s">
        <v>543</v>
      </c>
      <c r="W18" s="199"/>
      <c r="X18" s="194"/>
      <c r="Z18" s="199" t="s">
        <v>591</v>
      </c>
      <c r="AA18" s="199">
        <f t="shared" si="1"/>
        <v>12</v>
      </c>
      <c r="AB18" s="199" t="s">
        <v>279</v>
      </c>
      <c r="AC18" s="199">
        <v>100</v>
      </c>
      <c r="AD18" s="199">
        <v>135.1</v>
      </c>
      <c r="AE18" s="199">
        <v>2.88</v>
      </c>
      <c r="AF18" s="197">
        <f t="shared" si="3"/>
        <v>25.303630647314719</v>
      </c>
      <c r="AG18" s="218"/>
      <c r="AH18" s="197">
        <f t="shared" si="4"/>
        <v>-0.83061428571428586</v>
      </c>
      <c r="AI18" s="197">
        <f t="shared" si="5"/>
        <v>1.9174999999999998</v>
      </c>
      <c r="AJ18" s="194"/>
      <c r="AK18" s="219"/>
      <c r="AL18" s="220"/>
      <c r="AM18" s="219"/>
      <c r="AN18" s="219"/>
      <c r="AO18" s="219"/>
      <c r="AP18" s="219"/>
      <c r="AQ18" s="219"/>
      <c r="AR18" s="219"/>
      <c r="AS18" s="219"/>
      <c r="AT18" s="219"/>
      <c r="AU18" s="219"/>
      <c r="AV18" s="219"/>
      <c r="AW18" s="219"/>
      <c r="AX18" s="219"/>
      <c r="AY18" s="221"/>
      <c r="AZ18" s="197"/>
      <c r="BA18" s="222"/>
      <c r="BB18" s="222"/>
      <c r="BC18" s="222"/>
      <c r="BD18" s="222"/>
      <c r="BE18" s="222"/>
      <c r="BF18" s="222"/>
      <c r="BG18" s="222"/>
      <c r="BH18" s="222"/>
      <c r="BI18" s="222"/>
      <c r="BL18" s="197"/>
      <c r="BM18" s="215"/>
      <c r="BN18" s="215"/>
      <c r="BO18" s="215" t="str">
        <v>Coilcraft MSS1278-104ML [100µH]</v>
      </c>
      <c r="DC18" s="192"/>
    </row>
    <row r="19" spans="1:133" ht="14" thickBot="1" x14ac:dyDescent="0.25">
      <c r="B19" s="178" t="s">
        <v>601</v>
      </c>
      <c r="C19" s="188" t="s">
        <v>700</v>
      </c>
      <c r="G19" s="17"/>
      <c r="H19" s="72" t="s">
        <v>544</v>
      </c>
      <c r="I19" s="73"/>
      <c r="J19" s="135">
        <f>(ILEDF-ILED)/ILED</f>
        <v>3.5406403940887086E-3</v>
      </c>
      <c r="K19" s="28"/>
      <c r="L19" s="194"/>
      <c r="P19" s="194"/>
      <c r="Q19" s="194"/>
      <c r="R19" s="199" t="s">
        <v>66</v>
      </c>
      <c r="S19" s="199" t="s">
        <v>347</v>
      </c>
      <c r="T19" s="216">
        <f>(1000000*TONEST/(ICOILEST*RIPMID*2))*IF(CONFIG="BUCK",(VINAV-VLEDS-0.5),IF(CONFIG="BOOST",VINAV-0.5,VINAV-0.8))</f>
        <v>74.696369352685281</v>
      </c>
      <c r="U19" s="199" t="s">
        <v>28</v>
      </c>
      <c r="V19" s="217">
        <v>52</v>
      </c>
      <c r="W19" s="217"/>
      <c r="X19" s="194"/>
      <c r="Z19" s="199" t="s">
        <v>592</v>
      </c>
      <c r="AA19" s="199">
        <f t="shared" si="1"/>
        <v>13</v>
      </c>
      <c r="AB19" s="199" t="s">
        <v>279</v>
      </c>
      <c r="AC19" s="199">
        <v>68</v>
      </c>
      <c r="AD19" s="199">
        <v>91.3</v>
      </c>
      <c r="AE19" s="199">
        <v>3.4</v>
      </c>
      <c r="AF19" s="197">
        <f t="shared" si="3"/>
        <v>-6.6963693526852808</v>
      </c>
      <c r="AG19" s="218"/>
      <c r="AH19" s="197">
        <f t="shared" si="4"/>
        <v>-0.87441428571428581</v>
      </c>
      <c r="AI19" s="197">
        <f t="shared" si="5"/>
        <v>2.4375</v>
      </c>
      <c r="AJ19" s="194"/>
      <c r="AK19" s="219"/>
      <c r="AL19" s="220"/>
      <c r="AM19" s="219"/>
      <c r="AN19" s="219"/>
      <c r="AO19" s="219"/>
      <c r="AP19" s="219"/>
      <c r="AQ19" s="219"/>
      <c r="AR19" s="219"/>
      <c r="AS19" s="219"/>
      <c r="AT19" s="219"/>
      <c r="AU19" s="219"/>
      <c r="AV19" s="219"/>
      <c r="AW19" s="219"/>
      <c r="AX19" s="219"/>
      <c r="AY19" s="221"/>
      <c r="AZ19" s="197"/>
      <c r="BA19" s="222"/>
      <c r="BB19" s="222"/>
      <c r="BC19" s="222"/>
      <c r="BD19" s="222"/>
      <c r="BE19" s="222"/>
      <c r="BF19" s="222"/>
      <c r="BG19" s="222"/>
      <c r="BH19" s="222"/>
      <c r="BI19" s="222"/>
      <c r="BL19" s="197"/>
      <c r="BM19" s="215"/>
      <c r="BN19" s="215"/>
      <c r="BO19" s="215" t="str">
        <v>Coilcraft MSS1278-683ML [68µH]</v>
      </c>
      <c r="DC19" s="192"/>
    </row>
    <row r="20" spans="1:133" ht="14" thickBot="1" x14ac:dyDescent="0.25">
      <c r="B20" s="178" t="s">
        <v>633</v>
      </c>
      <c r="C20" s="188" t="s">
        <v>634</v>
      </c>
      <c r="G20" s="17"/>
      <c r="L20" s="194"/>
      <c r="P20" s="194"/>
      <c r="Q20" s="194"/>
      <c r="R20" s="199" t="s">
        <v>98</v>
      </c>
      <c r="S20" s="199" t="s">
        <v>116</v>
      </c>
      <c r="T20" s="216">
        <f>PINMAXEST*0.04/IINEST^2</f>
        <v>0.96571428571428586</v>
      </c>
      <c r="U20" s="199" t="s">
        <v>3</v>
      </c>
      <c r="V20" s="217"/>
      <c r="W20" s="217"/>
      <c r="Z20" s="199" t="s">
        <v>593</v>
      </c>
      <c r="AA20" s="199">
        <f t="shared" si="1"/>
        <v>14</v>
      </c>
      <c r="AB20" s="199" t="s">
        <v>279</v>
      </c>
      <c r="AC20" s="199">
        <v>47</v>
      </c>
      <c r="AD20" s="199">
        <v>72.3</v>
      </c>
      <c r="AE20" s="199">
        <v>4.4000000000000004</v>
      </c>
      <c r="AF20" s="197">
        <f t="shared" si="3"/>
        <v>-27.696369352685281</v>
      </c>
      <c r="AG20" s="218"/>
      <c r="AH20" s="197">
        <f t="shared" si="4"/>
        <v>-0.89341428571428583</v>
      </c>
      <c r="AI20" s="197">
        <f t="shared" si="5"/>
        <v>3.4375</v>
      </c>
      <c r="AJ20" s="194"/>
      <c r="AK20" s="219"/>
      <c r="AL20" s="220"/>
      <c r="AM20" s="219"/>
      <c r="AN20" s="219"/>
      <c r="AO20" s="219"/>
      <c r="AP20" s="219"/>
      <c r="AQ20" s="219"/>
      <c r="AR20" s="219"/>
      <c r="AS20" s="219"/>
      <c r="AT20" s="219"/>
      <c r="AU20" s="219"/>
      <c r="AV20" s="219"/>
      <c r="AW20" s="219"/>
      <c r="AX20" s="219"/>
      <c r="AY20" s="221"/>
      <c r="AZ20" s="197"/>
      <c r="BA20" s="222"/>
      <c r="BB20" s="222"/>
      <c r="BC20" s="222"/>
      <c r="BD20" s="222"/>
      <c r="BE20" s="222"/>
      <c r="BF20" s="222"/>
      <c r="BG20" s="222"/>
      <c r="BH20" s="222"/>
      <c r="BI20" s="222"/>
      <c r="BL20" s="197"/>
      <c r="BM20" s="215"/>
      <c r="BN20" s="215"/>
      <c r="BO20" s="215" t="str">
        <v>Coilcraft MSS1278-473ML [47µH]</v>
      </c>
      <c r="DC20" s="192"/>
    </row>
    <row r="21" spans="1:133" ht="14" thickBot="1" x14ac:dyDescent="0.25">
      <c r="B21" s="302" t="str">
        <f>CONFIG&amp;" topology has been selected."</f>
        <v>BOOST topology has been selected.</v>
      </c>
      <c r="C21" s="302"/>
      <c r="G21" s="17"/>
      <c r="H21" s="21" t="str">
        <f>"Power dissipation, max,  TA = "&amp;TAMB&amp;"°C"</f>
        <v>Power dissipation, max,  TA = 50°C</v>
      </c>
      <c r="I21" s="21"/>
      <c r="J21" s="14"/>
      <c r="K21" s="22"/>
      <c r="L21" s="194"/>
      <c r="P21" s="194"/>
      <c r="Q21" s="194"/>
      <c r="R21" s="199" t="s">
        <v>101</v>
      </c>
      <c r="S21" s="199" t="s">
        <v>117</v>
      </c>
      <c r="T21" s="216">
        <f>1.1*IF(CONFIG="BUCK",ILED,IF(CONFIG="BOOST",IINMAXEST,IINMAXEST+ILED))</f>
        <v>0.96250000000000013</v>
      </c>
      <c r="U21" s="199" t="s">
        <v>2</v>
      </c>
      <c r="V21" s="217" t="s">
        <v>104</v>
      </c>
      <c r="W21" s="217"/>
      <c r="X21" s="194"/>
      <c r="Z21" s="199" t="s">
        <v>594</v>
      </c>
      <c r="AA21" s="199">
        <f t="shared" si="1"/>
        <v>15</v>
      </c>
      <c r="AB21" s="199" t="s">
        <v>279</v>
      </c>
      <c r="AC21" s="199">
        <v>33</v>
      </c>
      <c r="AD21" s="199">
        <v>61.9</v>
      </c>
      <c r="AE21" s="199">
        <v>5.22</v>
      </c>
      <c r="AF21" s="197">
        <f t="shared" si="3"/>
        <v>-41.696369352685281</v>
      </c>
      <c r="AG21" s="218"/>
      <c r="AH21" s="197">
        <f t="shared" si="4"/>
        <v>-0.9038142857142859</v>
      </c>
      <c r="AI21" s="197">
        <f t="shared" si="5"/>
        <v>4.2574999999999994</v>
      </c>
      <c r="AJ21" s="194"/>
      <c r="AK21" s="219"/>
      <c r="AL21" s="220"/>
      <c r="AM21" s="219"/>
      <c r="AN21" s="219"/>
      <c r="AO21" s="219"/>
      <c r="AP21" s="219"/>
      <c r="AQ21" s="219"/>
      <c r="AR21" s="219"/>
      <c r="AS21" s="219"/>
      <c r="AT21" s="219"/>
      <c r="AU21" s="219"/>
      <c r="AV21" s="219"/>
      <c r="AW21" s="219"/>
      <c r="AX21" s="219"/>
      <c r="AY21" s="221"/>
      <c r="AZ21" s="197"/>
      <c r="BA21" s="222"/>
      <c r="BB21" s="222"/>
      <c r="BC21" s="222"/>
      <c r="BD21" s="222"/>
      <c r="BE21" s="222"/>
      <c r="BF21" s="222"/>
      <c r="BG21" s="222"/>
      <c r="BH21" s="222"/>
      <c r="BI21" s="222"/>
      <c r="BL21" s="197"/>
      <c r="BM21" s="215"/>
      <c r="BN21" s="215"/>
      <c r="BO21" s="215" t="str">
        <v>Coilcraft MSS1278-333ML [33µH]</v>
      </c>
      <c r="DC21" s="192"/>
    </row>
    <row r="22" spans="1:133" x14ac:dyDescent="0.2">
      <c r="B22" s="303" t="str">
        <f>"For your design, Select tab:"</f>
        <v>For your design, Select tab:</v>
      </c>
      <c r="C22" s="303"/>
      <c r="D22" s="151" t="str">
        <f>"Schem"&amp;SCHEM</f>
        <v>Schem5</v>
      </c>
      <c r="G22" s="17"/>
      <c r="H22" s="8" t="str">
        <f>"MOSFET switching: "&amp;TEXT(MAX($AP$120:$AP$660),"0.000")&amp;"W, cond: "&amp;TEXT(MAX(AT120:$AT$660),"0.000")&amp;"W"</f>
        <v>MOSFET switching: 0.170W, cond: 0.005W</v>
      </c>
      <c r="I22" s="8"/>
      <c r="J22" s="25">
        <f>MAX($BM$120:$BM$660)</f>
        <v>0.17448740856406492</v>
      </c>
      <c r="K22" s="26" t="s">
        <v>27</v>
      </c>
      <c r="L22" s="194"/>
      <c r="P22" s="194"/>
      <c r="Q22" s="194"/>
      <c r="R22" s="199"/>
      <c r="S22" s="199"/>
      <c r="T22" s="216"/>
      <c r="U22" s="199"/>
      <c r="V22" s="217"/>
      <c r="W22" s="217"/>
      <c r="X22" s="228"/>
      <c r="Z22" s="199" t="s">
        <v>595</v>
      </c>
      <c r="AA22" s="199">
        <f t="shared" si="1"/>
        <v>16</v>
      </c>
      <c r="AB22" s="199" t="s">
        <v>279</v>
      </c>
      <c r="AC22" s="199">
        <v>22</v>
      </c>
      <c r="AD22" s="199">
        <v>35.5</v>
      </c>
      <c r="AE22" s="199">
        <v>6.04</v>
      </c>
      <c r="AF22" s="197">
        <f t="shared" si="3"/>
        <v>-52.696369352685281</v>
      </c>
      <c r="AG22" s="218"/>
      <c r="AH22" s="197">
        <f t="shared" si="4"/>
        <v>-0.93021428571428588</v>
      </c>
      <c r="AI22" s="197">
        <f t="shared" si="5"/>
        <v>5.0774999999999997</v>
      </c>
      <c r="AJ22" s="194"/>
      <c r="AK22" s="219"/>
      <c r="AL22" s="220"/>
      <c r="AM22" s="219"/>
      <c r="AN22" s="219"/>
      <c r="AO22" s="219"/>
      <c r="AP22" s="219"/>
      <c r="AQ22" s="219"/>
      <c r="AR22" s="219"/>
      <c r="AS22" s="219"/>
      <c r="AT22" s="219"/>
      <c r="AU22" s="219"/>
      <c r="AV22" s="219"/>
      <c r="AW22" s="219"/>
      <c r="AX22" s="219"/>
      <c r="AY22" s="221"/>
      <c r="AZ22" s="197"/>
      <c r="BA22" s="222"/>
      <c r="BB22" s="222"/>
      <c r="BC22" s="222"/>
      <c r="BD22" s="222"/>
      <c r="BE22" s="222"/>
      <c r="BF22" s="222"/>
      <c r="BG22" s="222"/>
      <c r="BH22" s="222"/>
      <c r="BI22" s="222"/>
      <c r="BL22" s="197"/>
      <c r="BM22" s="215"/>
      <c r="BN22" s="215"/>
      <c r="BO22" s="215" t="str">
        <v>Coilcraft MSS1278-223ML [22µH]</v>
      </c>
      <c r="DC22" s="192"/>
    </row>
    <row r="23" spans="1:133" x14ac:dyDescent="0.2">
      <c r="B23" s="303" t="str">
        <f>IF(LOWV,"This includes BST bootstrap for low VIN.",IF(DISSLIM,"This includes AL8871Q dissipation limiting",""))</f>
        <v>This includes BST bootstrap for low VIN.</v>
      </c>
      <c r="C23" s="303"/>
      <c r="G23" s="17"/>
      <c r="H23" s="8" t="str">
        <f>"Schottky forward: "&amp;TEXT(MAX($BF$120:$BF$660),"0.000")&amp;"W, rev: "&amp;TEXT(MAX($BG$120:$BG$660),"0.000")&amp;"W"</f>
        <v>Schottky forward: 0.208W, rev: 0.002W</v>
      </c>
      <c r="I23" s="8"/>
      <c r="J23" s="25">
        <f>MAX($BO$120:$BO$660)</f>
        <v>0.20974467862577315</v>
      </c>
      <c r="K23" s="26" t="s">
        <v>27</v>
      </c>
      <c r="L23" s="194"/>
      <c r="P23" s="194"/>
      <c r="Q23" s="194"/>
      <c r="R23" s="199" t="s">
        <v>63</v>
      </c>
      <c r="S23" s="199" t="s">
        <v>160</v>
      </c>
      <c r="T23" s="216">
        <f>1.15*IF(CONFIG="BUCK",VINMAX+0.5,IF(CONFIG="BOOST",VLEDS+0.5,VINMAX+VLEDS+0.5))</f>
        <v>24.724999999999998</v>
      </c>
      <c r="U23" s="199" t="s">
        <v>0</v>
      </c>
      <c r="V23" s="217" t="s">
        <v>545</v>
      </c>
      <c r="W23" s="217"/>
      <c r="X23" s="194"/>
      <c r="Z23" s="199" t="s">
        <v>596</v>
      </c>
      <c r="AA23" s="199">
        <f t="shared" si="1"/>
        <v>17</v>
      </c>
      <c r="AB23" s="199" t="s">
        <v>279</v>
      </c>
      <c r="AC23" s="199">
        <v>15</v>
      </c>
      <c r="AD23" s="199">
        <v>27.9</v>
      </c>
      <c r="AE23" s="199">
        <v>7.3</v>
      </c>
      <c r="AF23" s="197">
        <f t="shared" si="3"/>
        <v>-59.696369352685281</v>
      </c>
      <c r="AG23" s="218"/>
      <c r="AH23" s="197">
        <f t="shared" si="4"/>
        <v>-0.93781428571428582</v>
      </c>
      <c r="AI23" s="197">
        <f t="shared" si="5"/>
        <v>6.3374999999999995</v>
      </c>
      <c r="AJ23" s="194"/>
      <c r="AK23" s="229"/>
      <c r="AL23" s="230"/>
      <c r="AM23" s="229"/>
      <c r="AN23" s="229"/>
      <c r="AO23" s="229"/>
      <c r="AP23" s="229"/>
      <c r="AQ23" s="229"/>
      <c r="AR23" s="229"/>
      <c r="AS23" s="229"/>
      <c r="AT23" s="229"/>
      <c r="AU23" s="229"/>
      <c r="AV23" s="229"/>
      <c r="AW23" s="229"/>
      <c r="AX23" s="229"/>
      <c r="AY23" s="231"/>
      <c r="AZ23" s="197"/>
      <c r="BA23" s="229"/>
      <c r="BB23" s="229"/>
      <c r="BC23" s="229"/>
      <c r="BD23" s="229"/>
      <c r="BE23" s="229"/>
      <c r="BF23" s="229"/>
      <c r="BG23" s="229"/>
      <c r="BH23" s="229"/>
      <c r="BI23" s="229"/>
      <c r="BL23" s="197"/>
      <c r="BM23" s="215"/>
      <c r="BN23" s="215"/>
      <c r="BO23" s="215" t="str">
        <v>Coilcraft MSS1278-153ML [15µH]</v>
      </c>
      <c r="DC23" s="192"/>
    </row>
    <row r="24" spans="1:133" ht="15.5" x14ac:dyDescent="0.2">
      <c r="F24" s="76"/>
      <c r="G24" s="17"/>
      <c r="H24" s="8" t="s">
        <v>579</v>
      </c>
      <c r="I24" s="8"/>
      <c r="J24" s="25">
        <f t="array" ref="J24">MAX($AV$120:$AV$660+$BA$120:$BA$660)</f>
        <v>9.9596940000000009E-2</v>
      </c>
      <c r="K24" s="26" t="s">
        <v>27</v>
      </c>
      <c r="L24" s="194"/>
      <c r="P24" s="194"/>
      <c r="Q24" s="194"/>
      <c r="R24" s="199" t="s">
        <v>119</v>
      </c>
      <c r="S24" s="199" t="s">
        <v>546</v>
      </c>
      <c r="T24" s="216">
        <f>ILMAXEST*1.1</f>
        <v>1.0587500000000003</v>
      </c>
      <c r="U24" s="199" t="s">
        <v>2</v>
      </c>
      <c r="V24" s="217"/>
      <c r="W24" s="217"/>
      <c r="X24" s="194"/>
      <c r="Z24" s="199" t="s">
        <v>597</v>
      </c>
      <c r="AA24" s="199">
        <f t="shared" si="1"/>
        <v>18</v>
      </c>
      <c r="AB24" s="199" t="s">
        <v>279</v>
      </c>
      <c r="AC24" s="199">
        <v>10</v>
      </c>
      <c r="AD24" s="199">
        <v>21.8</v>
      </c>
      <c r="AE24" s="199">
        <v>9.36</v>
      </c>
      <c r="AF24" s="197">
        <f t="shared" si="3"/>
        <v>-64.696369352685281</v>
      </c>
      <c r="AG24" s="218"/>
      <c r="AH24" s="197">
        <f t="shared" si="4"/>
        <v>-0.94391428571428582</v>
      </c>
      <c r="AI24" s="197">
        <f t="shared" si="5"/>
        <v>8.3974999999999991</v>
      </c>
      <c r="AJ24" s="194"/>
      <c r="AK24" s="229"/>
      <c r="AL24" s="230"/>
      <c r="AM24" s="229"/>
      <c r="AN24" s="229"/>
      <c r="AO24" s="229"/>
      <c r="AP24" s="229"/>
      <c r="AQ24" s="229"/>
      <c r="AR24" s="229"/>
      <c r="AS24" s="229"/>
      <c r="AT24" s="229"/>
      <c r="AU24" s="229"/>
      <c r="AV24" s="229"/>
      <c r="AW24" s="229"/>
      <c r="AX24" s="229"/>
      <c r="AY24" s="231"/>
      <c r="AZ24" s="197"/>
      <c r="BA24" s="229"/>
      <c r="BB24" s="229"/>
      <c r="BC24" s="229"/>
      <c r="BD24" s="229"/>
      <c r="BE24" s="229"/>
      <c r="BF24" s="229"/>
      <c r="BG24" s="229"/>
      <c r="BH24" s="229"/>
      <c r="BI24" s="229"/>
      <c r="BL24" s="197"/>
      <c r="BM24" s="215"/>
      <c r="BN24" s="215"/>
      <c r="BO24" s="215" t="str">
        <v>Coilcraft MSS1278-103ML [10µH]</v>
      </c>
      <c r="DC24" s="192"/>
    </row>
    <row r="25" spans="1:133" ht="14" thickBot="1" x14ac:dyDescent="0.25">
      <c r="B25" s="55" t="s">
        <v>217</v>
      </c>
      <c r="C25" s="16"/>
      <c r="E25" s="177" t="s">
        <v>8</v>
      </c>
      <c r="F25" s="64"/>
      <c r="G25" s="17"/>
      <c r="H25" s="62" t="s">
        <v>274</v>
      </c>
      <c r="I25" s="70"/>
      <c r="J25" s="25">
        <f>MAX($BE$120:$BE$660)</f>
        <v>0.13992801609941216</v>
      </c>
      <c r="K25" s="26" t="s">
        <v>27</v>
      </c>
      <c r="L25" s="194"/>
      <c r="P25" s="194"/>
      <c r="Q25" s="194"/>
      <c r="R25" s="199" t="s">
        <v>77</v>
      </c>
      <c r="S25" s="199" t="s">
        <v>80</v>
      </c>
      <c r="T25" s="216">
        <f>IF(CONFIG="BUCK",ILED,IF(CONFIG="BOOST",IINMAXEST,IINMAXEST+ILED))</f>
        <v>0.875</v>
      </c>
      <c r="U25" s="199" t="s">
        <v>2</v>
      </c>
      <c r="V25" s="217" t="s">
        <v>78</v>
      </c>
      <c r="W25" s="217"/>
      <c r="X25" s="194"/>
      <c r="Z25" s="199" t="s">
        <v>598</v>
      </c>
      <c r="AA25" s="199">
        <f t="shared" si="1"/>
        <v>19</v>
      </c>
      <c r="AB25" s="199" t="s">
        <v>279</v>
      </c>
      <c r="AC25" s="199">
        <v>150</v>
      </c>
      <c r="AD25" s="199">
        <v>216.5</v>
      </c>
      <c r="AE25" s="199">
        <v>2.48</v>
      </c>
      <c r="AF25" s="197">
        <f t="shared" si="3"/>
        <v>75.303630647314719</v>
      </c>
      <c r="AG25" s="218"/>
      <c r="AH25" s="197">
        <f t="shared" si="4"/>
        <v>-0.74921428571428583</v>
      </c>
      <c r="AI25" s="197">
        <f t="shared" si="5"/>
        <v>1.5174999999999998</v>
      </c>
      <c r="AJ25" s="194"/>
      <c r="AK25" s="229" t="s">
        <v>113</v>
      </c>
      <c r="AL25" s="230"/>
      <c r="AM25" s="229"/>
      <c r="AN25" s="229"/>
      <c r="AO25" s="229"/>
      <c r="AP25" s="229"/>
      <c r="AQ25" s="229"/>
      <c r="AR25" s="229"/>
      <c r="AS25" s="229"/>
      <c r="AT25" s="229"/>
      <c r="AU25" s="229"/>
      <c r="AV25" s="229"/>
      <c r="AW25" s="229"/>
      <c r="AX25" s="229"/>
      <c r="AY25" s="231"/>
      <c r="AZ25" s="197"/>
      <c r="BB25" s="229"/>
      <c r="BC25" s="229"/>
      <c r="BD25" s="229"/>
      <c r="BE25" s="229"/>
      <c r="BF25" s="229"/>
      <c r="BG25" s="229"/>
      <c r="BH25" s="229"/>
      <c r="BI25" s="229"/>
      <c r="BL25" s="197"/>
      <c r="BM25" s="215"/>
      <c r="BN25" s="215"/>
      <c r="BO25" s="215" t="str">
        <v>Coilcraft MSS1278-154KL [150µH]</v>
      </c>
      <c r="DC25" s="192"/>
    </row>
    <row r="26" spans="1:133" ht="14" thickBot="1" x14ac:dyDescent="0.25">
      <c r="B26" s="153" t="s">
        <v>635</v>
      </c>
      <c r="C26" s="154" t="s">
        <v>636</v>
      </c>
      <c r="D26" s="154" t="s">
        <v>136</v>
      </c>
      <c r="E26" s="155" t="s">
        <v>637</v>
      </c>
      <c r="F26" s="179" t="s">
        <v>674</v>
      </c>
      <c r="H26" s="62" t="s">
        <v>273</v>
      </c>
      <c r="I26" s="70"/>
      <c r="J26" s="25">
        <f>MAX($BH$120:$BH$660)</f>
        <v>0.18411096563170989</v>
      </c>
      <c r="K26" s="26" t="s">
        <v>27</v>
      </c>
      <c r="Q26" s="194"/>
      <c r="R26" s="199" t="s">
        <v>61</v>
      </c>
      <c r="S26" s="199" t="s">
        <v>62</v>
      </c>
      <c r="T26" s="216">
        <f>ICOILMAXEST*(DMAXEST^0.5)</f>
        <v>0.70772605450435344</v>
      </c>
      <c r="U26" s="199" t="s">
        <v>2</v>
      </c>
      <c r="V26" s="217">
        <v>11</v>
      </c>
      <c r="W26" s="217"/>
      <c r="X26" s="194"/>
      <c r="Z26" s="199" t="s">
        <v>599</v>
      </c>
      <c r="AA26" s="199">
        <f t="shared" si="1"/>
        <v>20</v>
      </c>
      <c r="AB26" s="199" t="s">
        <v>279</v>
      </c>
      <c r="AC26" s="199">
        <v>220</v>
      </c>
      <c r="AD26" s="199">
        <v>323.60000000000002</v>
      </c>
      <c r="AE26" s="199">
        <v>1.96</v>
      </c>
      <c r="AF26" s="197">
        <f t="shared" si="3"/>
        <v>145.30363064731472</v>
      </c>
      <c r="AG26" s="218"/>
      <c r="AH26" s="197">
        <f t="shared" si="4"/>
        <v>-0.64211428571428586</v>
      </c>
      <c r="AI26" s="197">
        <f t="shared" si="5"/>
        <v>0.99749999999999983</v>
      </c>
      <c r="AJ26" s="194"/>
      <c r="AK26" s="229" t="s">
        <v>114</v>
      </c>
      <c r="AL26" s="230"/>
      <c r="AM26" s="229"/>
      <c r="AN26" s="229"/>
      <c r="AO26" s="229"/>
      <c r="AP26" s="229"/>
      <c r="AQ26" s="229"/>
      <c r="AR26" s="229"/>
      <c r="AS26" s="229"/>
      <c r="AT26" s="229"/>
      <c r="AU26" s="229"/>
      <c r="AV26" s="229"/>
      <c r="AW26" s="229"/>
      <c r="AX26" s="229"/>
      <c r="AY26" s="231"/>
      <c r="AZ26" s="197"/>
      <c r="BB26" s="229"/>
      <c r="BC26" s="229"/>
      <c r="BD26" s="229"/>
      <c r="BE26" s="229"/>
      <c r="BF26" s="229"/>
      <c r="BG26" s="229"/>
      <c r="BH26" s="229"/>
      <c r="BI26" s="229"/>
      <c r="BL26" s="197"/>
      <c r="BM26" s="215"/>
      <c r="BN26" s="215"/>
      <c r="BO26" s="215" t="str">
        <v>Coilcraft MSS1278-224KL [220µH]</v>
      </c>
      <c r="DC26" s="192"/>
    </row>
    <row r="27" spans="1:133" x14ac:dyDescent="0.2">
      <c r="A27" s="35"/>
      <c r="B27" s="299" t="s">
        <v>251</v>
      </c>
      <c r="C27" s="300"/>
      <c r="D27" s="300"/>
      <c r="E27" s="301"/>
      <c r="F27" s="180" t="s">
        <v>677</v>
      </c>
      <c r="H27" s="62" t="s">
        <v>455</v>
      </c>
      <c r="I27" s="62"/>
      <c r="J27" s="25">
        <f t="array" ref="J27">MAX($AY$120:$AY$660+$AZ$120:$AZ$660)</f>
        <v>2.8867476000000009E-3</v>
      </c>
      <c r="K27" s="26" t="s">
        <v>27</v>
      </c>
      <c r="Q27" s="194"/>
      <c r="R27" s="199" t="s">
        <v>81</v>
      </c>
      <c r="S27" s="199" t="s">
        <v>354</v>
      </c>
      <c r="T27" s="216">
        <f>PINMAXEST*0.06/(T26^2)</f>
        <v>0.838530612244898</v>
      </c>
      <c r="U27" s="199" t="s">
        <v>3</v>
      </c>
      <c r="V27" s="217">
        <v>13</v>
      </c>
      <c r="W27" s="199" t="s">
        <v>82</v>
      </c>
      <c r="X27" s="194"/>
      <c r="Z27" s="199" t="s">
        <v>600</v>
      </c>
      <c r="AA27" s="199">
        <f t="shared" si="1"/>
        <v>21</v>
      </c>
      <c r="AB27" s="199" t="s">
        <v>279</v>
      </c>
      <c r="AC27" s="199">
        <v>330</v>
      </c>
      <c r="AD27" s="199">
        <v>487.3</v>
      </c>
      <c r="AE27" s="199">
        <v>1.66</v>
      </c>
      <c r="AF27" s="197">
        <f t="shared" si="3"/>
        <v>255.30363064731472</v>
      </c>
      <c r="AG27" s="218"/>
      <c r="AH27" s="197">
        <f t="shared" si="4"/>
        <v>-0.47841428571428585</v>
      </c>
      <c r="AI27" s="197">
        <f t="shared" si="5"/>
        <v>0.69749999999999979</v>
      </c>
      <c r="AJ27" s="194"/>
      <c r="AK27" s="229" t="s">
        <v>131</v>
      </c>
      <c r="AL27" s="230"/>
      <c r="AM27" s="229"/>
      <c r="AN27" s="229"/>
      <c r="AO27" s="229"/>
      <c r="AP27" s="229"/>
      <c r="AQ27" s="229"/>
      <c r="AR27" s="229"/>
      <c r="AS27" s="229"/>
      <c r="AT27" s="229"/>
      <c r="AU27" s="229"/>
      <c r="AV27" s="229"/>
      <c r="AW27" s="229"/>
      <c r="AX27" s="229"/>
      <c r="AY27" s="231"/>
      <c r="AZ27" s="197"/>
      <c r="BA27" s="229" t="s">
        <v>113</v>
      </c>
      <c r="BB27" s="229"/>
      <c r="BC27" s="229"/>
      <c r="BD27" s="229"/>
      <c r="BE27" s="229"/>
      <c r="BF27" s="229"/>
      <c r="BG27" s="229"/>
      <c r="BH27" s="229"/>
      <c r="BI27" s="229"/>
      <c r="BL27" s="197"/>
      <c r="BM27" s="215"/>
      <c r="BN27" s="215"/>
      <c r="BO27" s="215" t="str">
        <v>Coilcraft MSS1278-334KL [330µH]</v>
      </c>
      <c r="DC27" s="192"/>
    </row>
    <row r="28" spans="1:133" x14ac:dyDescent="0.2">
      <c r="A28" s="35"/>
      <c r="B28" s="172" t="s">
        <v>638</v>
      </c>
      <c r="C28" s="294" t="s">
        <v>639</v>
      </c>
      <c r="D28" s="295"/>
      <c r="E28" s="296"/>
      <c r="F28" s="181"/>
      <c r="H28" s="62" t="s">
        <v>276</v>
      </c>
      <c r="I28" s="70"/>
      <c r="J28" s="25">
        <f>MAX($BJ$120:$BJ$660)</f>
        <v>7.1180607910037192</v>
      </c>
      <c r="K28" s="26" t="s">
        <v>27</v>
      </c>
      <c r="R28" s="199" t="s">
        <v>120</v>
      </c>
      <c r="S28" s="199" t="s">
        <v>262</v>
      </c>
      <c r="T28" s="216">
        <f>PINMAXEST*0.08</f>
        <v>0.56000000000000005</v>
      </c>
      <c r="U28" s="199" t="s">
        <v>27</v>
      </c>
      <c r="V28" s="217">
        <v>20</v>
      </c>
      <c r="W28" s="199"/>
      <c r="X28" s="194"/>
      <c r="Z28" s="199" t="s">
        <v>547</v>
      </c>
      <c r="AA28" s="199">
        <f t="shared" si="1"/>
        <v>22</v>
      </c>
      <c r="AB28" s="199" t="s">
        <v>299</v>
      </c>
      <c r="AC28" s="199">
        <v>1000</v>
      </c>
      <c r="AD28" s="199">
        <v>1430</v>
      </c>
      <c r="AE28" s="199">
        <v>0.5</v>
      </c>
      <c r="AF28" s="197">
        <f t="shared" si="3"/>
        <v>925.30363064731478</v>
      </c>
      <c r="AG28" s="218"/>
      <c r="AH28" s="197">
        <f t="shared" si="4"/>
        <v>0.46428571428571408</v>
      </c>
      <c r="AI28" s="197">
        <f t="shared" si="5"/>
        <v>-0.46250000000000013</v>
      </c>
      <c r="AJ28" s="194"/>
      <c r="AK28" s="229" t="s">
        <v>353</v>
      </c>
      <c r="AL28" s="230"/>
      <c r="AM28" s="229"/>
      <c r="AN28" s="229"/>
      <c r="AO28" s="229"/>
      <c r="AP28" s="229"/>
      <c r="AQ28" s="229"/>
      <c r="AR28" s="229"/>
      <c r="AS28" s="229"/>
      <c r="AT28" s="229"/>
      <c r="AU28" s="229"/>
      <c r="AV28" s="229"/>
      <c r="AW28" s="229"/>
      <c r="AX28" s="229"/>
      <c r="AY28" s="231"/>
      <c r="AZ28" s="197"/>
      <c r="BA28" s="229" t="s">
        <v>139</v>
      </c>
      <c r="BB28" s="229"/>
      <c r="BC28" s="229"/>
      <c r="BD28" s="229"/>
      <c r="BE28" s="229"/>
      <c r="BF28" s="229"/>
      <c r="BG28" s="229"/>
      <c r="BH28" s="229"/>
      <c r="BI28" s="229"/>
      <c r="BL28" s="197"/>
      <c r="BM28" s="215"/>
      <c r="BN28" s="215"/>
      <c r="BO28" s="215" t="str">
        <v>Wurth 74477130  [1000µH]</v>
      </c>
      <c r="DD28" s="194"/>
      <c r="DE28" s="194"/>
      <c r="DF28" s="194"/>
      <c r="DG28" s="194"/>
      <c r="DH28" s="194"/>
      <c r="DI28" s="194"/>
      <c r="DJ28" s="194"/>
      <c r="DK28" s="194"/>
      <c r="DL28" s="194"/>
      <c r="DM28" s="194"/>
      <c r="DN28" s="194"/>
      <c r="DO28" s="194"/>
      <c r="DP28" s="194"/>
      <c r="DQ28" s="194"/>
      <c r="DR28" s="194"/>
      <c r="DS28" s="194"/>
      <c r="DT28" s="194"/>
      <c r="DU28" s="194"/>
      <c r="DV28" s="194"/>
      <c r="DW28" s="194"/>
      <c r="DX28" s="194"/>
      <c r="DY28" s="194"/>
      <c r="DZ28" s="194"/>
      <c r="EA28" s="194"/>
      <c r="EB28" s="194"/>
      <c r="EC28" s="194"/>
    </row>
    <row r="29" spans="1:133" x14ac:dyDescent="0.2">
      <c r="B29" s="156" t="s">
        <v>640</v>
      </c>
      <c r="C29" s="297" t="str">
        <f>IF(C28&lt;&gt;"CUSTOM",IF(C28="AUTOMATIC",MOSFET_CHOICE1,C28),"enter your custom mosfet parameters:")</f>
        <v xml:space="preserve">DMT3006LFDFQ	</v>
      </c>
      <c r="D29" s="298"/>
      <c r="E29" s="157"/>
      <c r="F29" s="182" t="s">
        <v>607</v>
      </c>
      <c r="H29" s="62" t="s">
        <v>277</v>
      </c>
      <c r="I29" s="70"/>
      <c r="J29" s="25">
        <f>PLEDS</f>
        <v>6.3223060344827591</v>
      </c>
      <c r="K29" s="26" t="s">
        <v>27</v>
      </c>
      <c r="R29" s="199"/>
      <c r="S29" s="199"/>
      <c r="T29" s="199"/>
      <c r="U29" s="199"/>
      <c r="V29" s="217"/>
      <c r="W29" s="199"/>
      <c r="X29" s="194"/>
      <c r="Z29" s="199" t="s">
        <v>548</v>
      </c>
      <c r="AA29" s="199">
        <f t="shared" si="1"/>
        <v>23</v>
      </c>
      <c r="AB29" s="199" t="s">
        <v>299</v>
      </c>
      <c r="AC29" s="199">
        <v>680</v>
      </c>
      <c r="AD29" s="199">
        <v>880</v>
      </c>
      <c r="AE29" s="199">
        <v>0.68</v>
      </c>
      <c r="AF29" s="197">
        <f t="shared" si="3"/>
        <v>605.30363064731478</v>
      </c>
      <c r="AG29" s="218"/>
      <c r="AH29" s="197">
        <f t="shared" si="4"/>
        <v>-8.5714285714285854E-2</v>
      </c>
      <c r="AI29" s="197">
        <f t="shared" si="5"/>
        <v>-0.28250000000000008</v>
      </c>
      <c r="AJ29" s="194"/>
      <c r="AK29" s="229" t="s">
        <v>352</v>
      </c>
      <c r="AL29" s="230"/>
      <c r="AM29" s="229"/>
      <c r="AN29" s="229"/>
      <c r="AO29" s="229"/>
      <c r="AP29" s="229"/>
      <c r="AQ29" s="229"/>
      <c r="AR29" s="229"/>
      <c r="AS29" s="229"/>
      <c r="AT29" s="229"/>
      <c r="AU29" s="229"/>
      <c r="AV29" s="229"/>
      <c r="AW29" s="229"/>
      <c r="AX29" s="229"/>
      <c r="AY29" s="231"/>
      <c r="AZ29" s="197"/>
      <c r="BA29" s="229" t="s">
        <v>130</v>
      </c>
      <c r="BB29" s="229"/>
      <c r="BC29" s="229"/>
      <c r="BD29" s="229"/>
      <c r="BE29" s="229"/>
      <c r="BF29" s="229"/>
      <c r="BG29" s="229"/>
      <c r="BH29" s="229"/>
      <c r="BI29" s="229"/>
      <c r="BL29" s="197"/>
      <c r="BM29" s="215"/>
      <c r="BN29" s="215"/>
      <c r="BO29" s="215" t="str">
        <v>Wurth 74477126  [680µH]</v>
      </c>
      <c r="DD29" s="194"/>
      <c r="DE29" s="194"/>
      <c r="DF29" s="194"/>
      <c r="DG29" s="194"/>
      <c r="DH29" s="194"/>
      <c r="DI29" s="194"/>
      <c r="DJ29" s="194"/>
      <c r="DK29" s="194"/>
      <c r="DL29" s="194"/>
      <c r="DM29" s="194"/>
      <c r="DN29" s="194"/>
      <c r="DO29" s="194"/>
      <c r="DP29" s="194"/>
      <c r="DQ29" s="194"/>
      <c r="DR29" s="194"/>
      <c r="DS29" s="194"/>
      <c r="DT29" s="194"/>
      <c r="DU29" s="194"/>
      <c r="DV29" s="194"/>
      <c r="DW29" s="194"/>
      <c r="DX29" s="194"/>
      <c r="DY29" s="194"/>
      <c r="DZ29" s="194"/>
      <c r="EA29" s="194"/>
      <c r="EB29" s="194"/>
      <c r="EC29" s="194"/>
    </row>
    <row r="30" spans="1:133" ht="14" thickBot="1" x14ac:dyDescent="0.25">
      <c r="B30" s="158" t="s">
        <v>641</v>
      </c>
      <c r="C30" s="159" t="s">
        <v>684</v>
      </c>
      <c r="D30" s="160">
        <f>IF(C28="CUSTOM", F30,1000*VLOOKUP($C$29,MOSFETS,6,FALSE))</f>
        <v>7</v>
      </c>
      <c r="E30" s="161" t="s">
        <v>670</v>
      </c>
      <c r="F30" s="190">
        <v>25</v>
      </c>
      <c r="G30" s="13"/>
      <c r="H30" s="140" t="s">
        <v>541</v>
      </c>
      <c r="I30" s="73"/>
      <c r="J30" s="27">
        <f>MAX($BI$120:$BI$660)</f>
        <v>0.79575475652096017</v>
      </c>
      <c r="K30" s="28" t="s">
        <v>27</v>
      </c>
      <c r="R30" s="199" t="s">
        <v>89</v>
      </c>
      <c r="S30" s="199" t="s">
        <v>56</v>
      </c>
      <c r="T30" s="216">
        <f>1.15*IF(CONFIG="BUCK",VINMAX,IF(CONFIG="BOOST",VLEDS,VINMAX+VLEDS))</f>
        <v>24.15</v>
      </c>
      <c r="U30" s="199" t="s">
        <v>0</v>
      </c>
      <c r="V30" s="217" t="s">
        <v>557</v>
      </c>
      <c r="W30" s="217"/>
      <c r="X30" s="194"/>
      <c r="Z30" s="199" t="s">
        <v>303</v>
      </c>
      <c r="AA30" s="199">
        <f t="shared" ref="AA30:AA88" si="6">AA29+1</f>
        <v>24</v>
      </c>
      <c r="AB30" s="199" t="s">
        <v>293</v>
      </c>
      <c r="AC30" s="199">
        <v>33</v>
      </c>
      <c r="AD30" s="199">
        <v>153</v>
      </c>
      <c r="AE30" s="199">
        <v>1.22</v>
      </c>
      <c r="AF30" s="197">
        <f t="shared" si="3"/>
        <v>-41.696369352685281</v>
      </c>
      <c r="AG30" s="218"/>
      <c r="AH30" s="197">
        <f t="shared" si="4"/>
        <v>-0.81271428571428583</v>
      </c>
      <c r="AI30" s="197">
        <f t="shared" si="5"/>
        <v>0.25749999999999984</v>
      </c>
      <c r="AJ30" s="194"/>
      <c r="AK30" s="229"/>
      <c r="AL30" s="230"/>
      <c r="AM30" s="229"/>
      <c r="AN30" s="229"/>
      <c r="AO30" s="229"/>
      <c r="AP30" s="229"/>
      <c r="AQ30" s="229"/>
      <c r="AR30" s="229"/>
      <c r="AS30" s="229"/>
      <c r="AT30" s="229"/>
      <c r="AU30" s="229"/>
      <c r="AV30" s="229"/>
      <c r="AW30" s="229"/>
      <c r="AX30" s="229"/>
      <c r="AY30" s="231"/>
      <c r="AZ30" s="197"/>
      <c r="BA30" s="229" t="s">
        <v>137</v>
      </c>
      <c r="BB30" s="229"/>
      <c r="BC30" s="229" t="s">
        <v>524</v>
      </c>
      <c r="BD30" s="229"/>
      <c r="BE30" s="229"/>
      <c r="BF30" s="229"/>
      <c r="BG30" s="229"/>
      <c r="BH30" s="229"/>
      <c r="BI30" s="229"/>
      <c r="BL30" s="197"/>
      <c r="BM30" s="215"/>
      <c r="BN30" s="215"/>
      <c r="BO30" s="215" t="str">
        <v>Wurth 744778133  [33µH]</v>
      </c>
      <c r="DD30" s="194"/>
      <c r="DE30" s="194"/>
      <c r="DF30" s="194"/>
      <c r="DG30" s="194"/>
      <c r="DH30" s="194"/>
      <c r="DI30" s="194"/>
      <c r="DJ30" s="194"/>
      <c r="DK30" s="194"/>
      <c r="DL30" s="194"/>
      <c r="DM30" s="194"/>
      <c r="DN30" s="194"/>
      <c r="DO30" s="194"/>
      <c r="DP30" s="194"/>
      <c r="DQ30" s="194"/>
      <c r="DR30" s="194"/>
      <c r="DS30" s="194"/>
      <c r="DT30" s="194"/>
      <c r="DU30" s="194"/>
      <c r="DV30" s="194"/>
      <c r="DW30" s="194"/>
      <c r="DX30" s="194"/>
      <c r="DY30" s="194"/>
      <c r="DZ30" s="194"/>
      <c r="EA30" s="194"/>
      <c r="EB30" s="194"/>
      <c r="EC30" s="194"/>
    </row>
    <row r="31" spans="1:133" ht="14" thickBot="1" x14ac:dyDescent="0.25">
      <c r="A31" s="13"/>
      <c r="B31" s="158" t="s">
        <v>642</v>
      </c>
      <c r="C31" s="159" t="s">
        <v>685</v>
      </c>
      <c r="D31" s="160">
        <f>IF($C$28="CUSTOM", F31,VLOOKUP($C$29,MOSFETS,4,FALSE))</f>
        <v>30</v>
      </c>
      <c r="E31" s="161" t="s">
        <v>0</v>
      </c>
      <c r="F31" s="190">
        <v>80</v>
      </c>
      <c r="G31" s="13"/>
      <c r="L31" s="194"/>
      <c r="P31" s="194"/>
      <c r="Q31" s="223"/>
      <c r="R31" s="199" t="s">
        <v>135</v>
      </c>
      <c r="S31" s="199" t="s">
        <v>261</v>
      </c>
      <c r="T31" s="216">
        <f>PINMAXEST*0.04</f>
        <v>0.28000000000000003</v>
      </c>
      <c r="U31" s="199" t="s">
        <v>27</v>
      </c>
      <c r="V31" s="217">
        <v>22</v>
      </c>
      <c r="W31" s="217"/>
      <c r="X31" s="194"/>
      <c r="Z31" s="199" t="s">
        <v>304</v>
      </c>
      <c r="AA31" s="199">
        <f t="shared" si="6"/>
        <v>25</v>
      </c>
      <c r="AB31" s="199" t="s">
        <v>294</v>
      </c>
      <c r="AC31" s="199">
        <v>33</v>
      </c>
      <c r="AD31" s="199">
        <v>75</v>
      </c>
      <c r="AE31" s="199">
        <v>2.5</v>
      </c>
      <c r="AF31" s="197">
        <f t="shared" si="3"/>
        <v>-41.696369352685281</v>
      </c>
      <c r="AG31" s="218"/>
      <c r="AH31" s="197">
        <f t="shared" si="4"/>
        <v>-0.8907142857142859</v>
      </c>
      <c r="AI31" s="197">
        <f t="shared" si="5"/>
        <v>1.5374999999999999</v>
      </c>
      <c r="AJ31" s="194"/>
      <c r="AK31" s="229"/>
      <c r="AL31" s="230"/>
      <c r="AM31" s="229"/>
      <c r="AN31" s="229"/>
      <c r="AO31" s="229"/>
      <c r="AP31" s="229"/>
      <c r="AQ31" s="229"/>
      <c r="AR31" s="229"/>
      <c r="AS31" s="229"/>
      <c r="AT31" s="229"/>
      <c r="AU31" s="229"/>
      <c r="AV31" s="229"/>
      <c r="AW31" s="229"/>
      <c r="AX31" s="229"/>
      <c r="AY31" s="231"/>
      <c r="AZ31" s="197"/>
      <c r="BA31" s="229"/>
      <c r="BB31" s="229"/>
      <c r="BC31" s="229"/>
      <c r="BD31" s="229"/>
      <c r="BE31" s="229"/>
      <c r="BF31" s="229"/>
      <c r="BG31" s="229"/>
      <c r="BH31" s="229"/>
      <c r="BI31" s="229"/>
      <c r="BL31" s="197"/>
      <c r="BM31" s="215"/>
      <c r="BN31" s="215"/>
      <c r="BO31" s="215" t="str">
        <v>Wurth 7447715330  [33µH]</v>
      </c>
      <c r="DD31" s="194"/>
      <c r="DE31" s="194"/>
      <c r="DF31" s="194"/>
      <c r="DG31" s="194"/>
      <c r="DH31" s="194"/>
      <c r="DI31" s="194"/>
      <c r="DJ31" s="194"/>
      <c r="DK31" s="194"/>
      <c r="DL31" s="194"/>
      <c r="DM31" s="194"/>
      <c r="DN31" s="194"/>
      <c r="DO31" s="194"/>
      <c r="DP31" s="194"/>
      <c r="DQ31" s="194"/>
      <c r="DR31" s="194"/>
      <c r="DS31" s="194"/>
      <c r="DT31" s="194"/>
      <c r="DU31" s="194"/>
      <c r="DV31" s="194"/>
      <c r="DW31" s="194"/>
      <c r="DX31" s="194"/>
      <c r="DY31" s="194"/>
      <c r="DZ31" s="194"/>
      <c r="EA31" s="194"/>
      <c r="EB31" s="194"/>
      <c r="EC31" s="194"/>
    </row>
    <row r="32" spans="1:133" ht="14" thickBot="1" x14ac:dyDescent="0.25">
      <c r="A32" s="13"/>
      <c r="B32" s="158" t="s">
        <v>643</v>
      </c>
      <c r="C32" s="159" t="s">
        <v>686</v>
      </c>
      <c r="D32" s="160">
        <f>IF($C$28="CUSTOM", F32,VLOOKUP($C$29,MOSFETS,5,FALSE))</f>
        <v>14.1</v>
      </c>
      <c r="E32" s="161" t="s">
        <v>2</v>
      </c>
      <c r="F32" s="190">
        <v>27</v>
      </c>
      <c r="H32" s="21" t="str">
        <f>"Junction temperature, max,  TA = "&amp;TAMB&amp;"°C"</f>
        <v>Junction temperature, max,  TA = 50°C</v>
      </c>
      <c r="I32" s="21"/>
      <c r="J32" s="14"/>
      <c r="K32" s="22"/>
      <c r="L32" s="194"/>
      <c r="P32" s="194"/>
      <c r="Q32" s="223"/>
      <c r="R32" s="199"/>
      <c r="S32" s="199"/>
      <c r="T32" s="216"/>
      <c r="U32" s="199"/>
      <c r="V32" s="217"/>
      <c r="W32" s="217"/>
      <c r="X32" s="194"/>
      <c r="Z32" s="199" t="s">
        <v>305</v>
      </c>
      <c r="AA32" s="199">
        <f t="shared" si="6"/>
        <v>26</v>
      </c>
      <c r="AB32" s="199" t="s">
        <v>294</v>
      </c>
      <c r="AC32" s="199">
        <v>10</v>
      </c>
      <c r="AD32" s="199">
        <v>25</v>
      </c>
      <c r="AE32" s="199">
        <v>4.2</v>
      </c>
      <c r="AF32" s="197">
        <f t="shared" si="3"/>
        <v>-64.696369352685281</v>
      </c>
      <c r="AG32" s="218"/>
      <c r="AH32" s="197">
        <f t="shared" si="4"/>
        <v>-0.94071428571428584</v>
      </c>
      <c r="AI32" s="197">
        <f t="shared" si="5"/>
        <v>3.2374999999999998</v>
      </c>
      <c r="AJ32" s="194"/>
      <c r="AK32" s="232" t="s">
        <v>122</v>
      </c>
      <c r="AL32" s="230"/>
      <c r="AM32" s="229"/>
      <c r="AN32" s="229"/>
      <c r="AO32" s="229"/>
      <c r="AP32" s="229"/>
      <c r="AQ32" s="229"/>
      <c r="AR32" s="229"/>
      <c r="AS32" s="229"/>
      <c r="AT32" s="229"/>
      <c r="AU32" s="229"/>
      <c r="AV32" s="229"/>
      <c r="AW32" s="229"/>
      <c r="AX32" s="229"/>
      <c r="AY32" s="231"/>
      <c r="AZ32" s="197"/>
      <c r="BA32" s="232" t="s">
        <v>123</v>
      </c>
      <c r="BB32" s="229"/>
      <c r="BC32" s="229"/>
      <c r="BD32" s="229"/>
      <c r="BE32" s="229"/>
      <c r="BF32" s="229"/>
      <c r="BG32" s="229"/>
      <c r="BH32" s="229"/>
      <c r="BI32" s="229"/>
      <c r="BL32" s="197"/>
      <c r="BM32" s="215"/>
      <c r="BN32" s="215"/>
      <c r="BO32" s="215" t="str">
        <v>Wurth 7447715100  [10µH]</v>
      </c>
      <c r="DD32" s="194"/>
      <c r="DE32" s="194"/>
      <c r="DF32" s="194"/>
      <c r="DG32" s="194"/>
      <c r="DH32" s="194"/>
      <c r="DI32" s="194"/>
      <c r="DJ32" s="194"/>
      <c r="DK32" s="194"/>
      <c r="DL32" s="194"/>
      <c r="DM32" s="194"/>
      <c r="DN32" s="194"/>
      <c r="DO32" s="194"/>
      <c r="DP32" s="194"/>
      <c r="DQ32" s="194"/>
      <c r="DR32" s="194"/>
      <c r="DS32" s="194"/>
      <c r="DT32" s="194"/>
      <c r="DU32" s="194"/>
      <c r="DV32" s="194"/>
      <c r="DW32" s="194"/>
      <c r="DX32" s="194"/>
      <c r="DY32" s="194"/>
      <c r="DZ32" s="194"/>
      <c r="EA32" s="194"/>
      <c r="EB32" s="194"/>
      <c r="EC32" s="194"/>
    </row>
    <row r="33" spans="1:134" x14ac:dyDescent="0.2">
      <c r="B33" s="158" t="s">
        <v>555</v>
      </c>
      <c r="C33" s="159" t="s">
        <v>687</v>
      </c>
      <c r="D33" s="160">
        <f>IF($C$28="CUSTOM", F33,VLOOKUP($C$29,MOSFETS,7,FALSE))</f>
        <v>1.6</v>
      </c>
      <c r="E33" s="162" t="s">
        <v>644</v>
      </c>
      <c r="F33" s="190">
        <v>1.5</v>
      </c>
      <c r="H33" s="62" t="s">
        <v>251</v>
      </c>
      <c r="I33" s="74"/>
      <c r="J33" s="133">
        <f>MAX($BN$120:$BN$660)</f>
        <v>60.469244513843897</v>
      </c>
      <c r="K33" s="26" t="s">
        <v>37</v>
      </c>
      <c r="L33" s="194"/>
      <c r="P33" s="194"/>
      <c r="X33" s="194"/>
      <c r="Z33" s="199" t="s">
        <v>306</v>
      </c>
      <c r="AA33" s="199">
        <f t="shared" si="6"/>
        <v>27</v>
      </c>
      <c r="AB33" s="199" t="s">
        <v>294</v>
      </c>
      <c r="AC33" s="199">
        <v>22</v>
      </c>
      <c r="AD33" s="199">
        <v>45</v>
      </c>
      <c r="AE33" s="199">
        <v>3.1</v>
      </c>
      <c r="AF33" s="197">
        <f t="shared" si="3"/>
        <v>-52.696369352685281</v>
      </c>
      <c r="AG33" s="218"/>
      <c r="AH33" s="197">
        <f t="shared" si="4"/>
        <v>-0.92071428571428582</v>
      </c>
      <c r="AI33" s="197">
        <f t="shared" si="5"/>
        <v>2.1375000000000002</v>
      </c>
      <c r="AJ33" s="194"/>
      <c r="AK33" s="232" t="s">
        <v>90</v>
      </c>
      <c r="AL33" s="233" t="s">
        <v>103</v>
      </c>
      <c r="AM33" s="232" t="s">
        <v>105</v>
      </c>
      <c r="AN33" s="232" t="s">
        <v>106</v>
      </c>
      <c r="AO33" s="232" t="s">
        <v>115</v>
      </c>
      <c r="AP33" s="232" t="s">
        <v>107</v>
      </c>
      <c r="AQ33" s="232" t="s">
        <v>88</v>
      </c>
      <c r="AR33" s="232" t="s">
        <v>108</v>
      </c>
      <c r="AS33" s="232" t="s">
        <v>109</v>
      </c>
      <c r="AT33" s="232" t="s">
        <v>110</v>
      </c>
      <c r="AU33" s="232" t="s">
        <v>111</v>
      </c>
      <c r="AV33" s="232" t="s">
        <v>112</v>
      </c>
      <c r="AW33" s="232" t="s">
        <v>125</v>
      </c>
      <c r="AX33" s="232" t="s">
        <v>134</v>
      </c>
      <c r="AY33" s="234"/>
      <c r="AZ33" s="197"/>
      <c r="BA33" s="232" t="s">
        <v>90</v>
      </c>
      <c r="BB33" s="232" t="s">
        <v>103</v>
      </c>
      <c r="BC33" s="232" t="s">
        <v>105</v>
      </c>
      <c r="BD33" s="232" t="s">
        <v>133</v>
      </c>
      <c r="BE33" s="232" t="s">
        <v>295</v>
      </c>
      <c r="BF33" s="232" t="s">
        <v>296</v>
      </c>
      <c r="BG33" s="232" t="s">
        <v>297</v>
      </c>
      <c r="BH33" s="232" t="s">
        <v>125</v>
      </c>
      <c r="BI33" s="232" t="s">
        <v>134</v>
      </c>
      <c r="BL33" s="197"/>
      <c r="BM33" s="215"/>
      <c r="BN33" s="215"/>
      <c r="BO33" s="215" t="str">
        <v>Wurth 7447715220  [22µH]</v>
      </c>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row>
    <row r="34" spans="1:134" x14ac:dyDescent="0.2">
      <c r="B34" s="158" t="s">
        <v>645</v>
      </c>
      <c r="C34" s="159" t="s">
        <v>689</v>
      </c>
      <c r="D34" s="160">
        <f>IF($C$28="CUSTOM", F34,VLOOKUP($C$29,MOSFETS,8,FALSE))</f>
        <v>8.4</v>
      </c>
      <c r="E34" s="161" t="s">
        <v>17</v>
      </c>
      <c r="F34" s="190">
        <v>10.4</v>
      </c>
      <c r="H34" s="62" t="s">
        <v>272</v>
      </c>
      <c r="I34" s="70"/>
      <c r="J34" s="133">
        <f>MAX($BP$120:$BP$660)</f>
        <v>65.730850896932992</v>
      </c>
      <c r="K34" s="26" t="s">
        <v>37</v>
      </c>
      <c r="L34" s="194"/>
      <c r="P34" s="194"/>
      <c r="Q34" s="235"/>
      <c r="R34" s="236" t="s">
        <v>148</v>
      </c>
      <c r="S34" s="237"/>
      <c r="T34" s="238"/>
      <c r="U34" s="237"/>
      <c r="V34" s="239"/>
      <c r="W34" s="239"/>
      <c r="X34" s="194"/>
      <c r="Z34" s="199" t="s">
        <v>304</v>
      </c>
      <c r="AA34" s="199">
        <f t="shared" si="6"/>
        <v>28</v>
      </c>
      <c r="AB34" s="199" t="s">
        <v>294</v>
      </c>
      <c r="AC34" s="199">
        <v>33</v>
      </c>
      <c r="AD34" s="199">
        <v>75</v>
      </c>
      <c r="AE34" s="199">
        <v>2.5</v>
      </c>
      <c r="AF34" s="197">
        <f t="shared" si="3"/>
        <v>-41.696369352685281</v>
      </c>
      <c r="AG34" s="218"/>
      <c r="AH34" s="197">
        <f t="shared" si="4"/>
        <v>-0.8907142857142859</v>
      </c>
      <c r="AI34" s="197">
        <f t="shared" si="5"/>
        <v>1.5374999999999999</v>
      </c>
      <c r="AJ34" s="194"/>
      <c r="AK34" s="240" t="str">
        <f t="array" ref="AK34">INDEX(MOSFETS,MATCH(1,($AN$7:$AN$22&gt;=VDSMAX)*($AO$7:$AO$22&gt;IMOSMAXEST)*($AP$7:$AP$22*$AQ$7:$AQ$22&lt;RDSONEST)*($AL$7:$AL$22&gt;0),0),1)</f>
        <v xml:space="preserve">DMT3006LFDFQ	</v>
      </c>
      <c r="AL34" s="230">
        <f>VLOOKUP($AK34,MOSFETS,2,FALSE)</f>
        <v>1</v>
      </c>
      <c r="AM34" s="230" t="str">
        <f>VLOOKUP($AK34,MOSFETS,3,FALSE)</f>
        <v>U-DFN2020-6</v>
      </c>
      <c r="AN34" s="230">
        <f>VLOOKUP($AK34,MOSFETS,4,FALSE)</f>
        <v>30</v>
      </c>
      <c r="AO34" s="230">
        <f>VLOOKUP($AK34,MOSFETS,5,FALSE)</f>
        <v>14.1</v>
      </c>
      <c r="AP34" s="230">
        <f>VLOOKUP($AK34,MOSFETS,6,FALSE)</f>
        <v>7.0000000000000001E-3</v>
      </c>
      <c r="AQ34" s="230">
        <f>VLOOKUP($AK34,MOSFETS,7,FALSE)</f>
        <v>1.6</v>
      </c>
      <c r="AR34" s="230">
        <f>VLOOKUP($AK34,MOSFETS,8,FALSE)</f>
        <v>8.4</v>
      </c>
      <c r="AS34" s="230">
        <f>VLOOKUP($AK34,MOSFETS,9,FALSE)</f>
        <v>2.2000000000000002</v>
      </c>
      <c r="AT34" s="229">
        <f>VLOOKUP($AK34,MOSFETS,10,FALSE)</f>
        <v>3.5</v>
      </c>
      <c r="AU34" s="229">
        <f>VLOOKUP($AK34,MOSFETS,11,FALSE)</f>
        <v>5.5</v>
      </c>
      <c r="AV34" s="229">
        <f>VLOOKUP($AK34,MOSFETS,12,FALSE)</f>
        <v>4.5999999999999996</v>
      </c>
      <c r="AW34" s="229">
        <f>VLOOKUP($AK34,MOSFETS,13,FALSE)</f>
        <v>60</v>
      </c>
      <c r="AX34" s="229">
        <f>VLOOKUP($AK34,MOSFETS,14,FALSE)</f>
        <v>150</v>
      </c>
      <c r="AY34" s="231"/>
      <c r="AZ34" s="197"/>
      <c r="BA34" s="240" t="str">
        <f t="array" ref="BA34">INDEX(SCHOTTKIES,MATCH(1,($BD$7:$BD$22&gt;VRMAX)*($BE$7:$BE$22&gt;IMOSMAXEST)*($BB$7:$BB$22&gt;0),0),1)</f>
        <v>B2100Q</v>
      </c>
      <c r="BB34" s="229">
        <f>VLOOKUP($BA34,SCHOTTKIES,2,FALSE)</f>
        <v>1</v>
      </c>
      <c r="BC34" s="229" t="str">
        <f>VLOOKUP($BA34,SCHOTTKIES,3,FALSE)</f>
        <v>SMB</v>
      </c>
      <c r="BD34" s="229">
        <f>VLOOKUP($BA34,SCHOTTKIES,4,FALSE)</f>
        <v>100</v>
      </c>
      <c r="BE34" s="229">
        <f>VLOOKUP($BA34,SCHOTTKIES,5,FALSE)</f>
        <v>2</v>
      </c>
      <c r="BF34" s="229">
        <f>VLOOKUP($BA34,SCHOTTKIES,6,FALSE)</f>
        <v>0.15</v>
      </c>
      <c r="BG34" s="229">
        <f>VLOOKUP($BA34,SCHOTTKIES,7,FALSE)</f>
        <v>0.69</v>
      </c>
      <c r="BH34" s="229">
        <f t="shared" ref="BH34:BI37" si="7">VLOOKUP($BA34,SCHOTTKIES,8,FALSE)</f>
        <v>75</v>
      </c>
      <c r="BI34" s="229">
        <f t="shared" si="7"/>
        <v>75</v>
      </c>
      <c r="BL34" s="197"/>
      <c r="BM34" s="215"/>
      <c r="BN34" s="215"/>
      <c r="BO34" s="215" t="str">
        <v>Wurth 7447715330  [33µH]</v>
      </c>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row>
    <row r="35" spans="1:134" ht="14" thickBot="1" x14ac:dyDescent="0.25">
      <c r="B35" s="163" t="s">
        <v>646</v>
      </c>
      <c r="C35" s="164" t="s">
        <v>690</v>
      </c>
      <c r="D35" s="165">
        <f>IF($C$28="CUSTOM", F35,VLOOKUP($C$29,MOSFETS,9,FALSE))</f>
        <v>2.2000000000000002</v>
      </c>
      <c r="E35" s="161" t="s">
        <v>17</v>
      </c>
      <c r="F35" s="190">
        <v>1.8</v>
      </c>
      <c r="H35" s="72" t="s">
        <v>569</v>
      </c>
      <c r="I35" s="73"/>
      <c r="J35" s="134">
        <f>TAMB+$J$24*RTH</f>
        <v>56.971785799999999</v>
      </c>
      <c r="K35" s="28" t="s">
        <v>37</v>
      </c>
      <c r="L35" s="194"/>
      <c r="P35" s="194"/>
      <c r="R35" s="237" t="s">
        <v>29</v>
      </c>
      <c r="S35" s="237" t="s">
        <v>231</v>
      </c>
      <c r="T35" s="238">
        <v>0.3</v>
      </c>
      <c r="U35" s="237" t="s">
        <v>2</v>
      </c>
      <c r="V35" s="239"/>
      <c r="W35" s="239" t="s">
        <v>177</v>
      </c>
      <c r="X35" s="194"/>
      <c r="Z35" s="199" t="s">
        <v>307</v>
      </c>
      <c r="AA35" s="199">
        <f t="shared" si="6"/>
        <v>29</v>
      </c>
      <c r="AB35" s="199" t="s">
        <v>294</v>
      </c>
      <c r="AC35" s="199">
        <v>47</v>
      </c>
      <c r="AD35" s="199">
        <v>105</v>
      </c>
      <c r="AE35" s="199">
        <v>2.1</v>
      </c>
      <c r="AF35" s="197">
        <f t="shared" si="3"/>
        <v>-27.696369352685281</v>
      </c>
      <c r="AG35" s="218"/>
      <c r="AH35" s="197">
        <f t="shared" si="4"/>
        <v>-0.86071428571428588</v>
      </c>
      <c r="AI35" s="197">
        <f t="shared" si="5"/>
        <v>1.1375</v>
      </c>
      <c r="AJ35" s="194"/>
      <c r="AK35" s="240" t="str">
        <f t="array" ref="AK35">INDEX(MOSFETS,MATCH(1,($AN$7:$AN$22&gt;=VDSMAX)*($AO$7:$AO$22&gt;IMOSMAXEST)*($AP$7:$AP$22*$AQ$7:$AQ$22&lt;RDSONEST)*($AL$7:$AL$22&lt;&gt;$AL34),0),1)</f>
        <v>DMTH4014LFVWQ</v>
      </c>
      <c r="AL35" s="230">
        <f>VLOOKUP($AK35,MOSFETS,2,FALSE)</f>
        <v>2</v>
      </c>
      <c r="AM35" s="230" t="str">
        <f>VLOOKUP($AK35,MOSFETS,3,FALSE)</f>
        <v>PowerDI3333-8</v>
      </c>
      <c r="AN35" s="230">
        <f>VLOOKUP($AK35,MOSFETS,4,FALSE)</f>
        <v>40</v>
      </c>
      <c r="AO35" s="230">
        <f>VLOOKUP($AK35,MOSFETS,5,FALSE)</f>
        <v>49.8</v>
      </c>
      <c r="AP35" s="230">
        <f>VLOOKUP($AK35,MOSFETS,6,FALSE)</f>
        <v>1.37E-2</v>
      </c>
      <c r="AQ35" s="230">
        <f>VLOOKUP($AK35,MOSFETS,7,FALSE)</f>
        <v>1.6</v>
      </c>
      <c r="AR35" s="230">
        <f>VLOOKUP($AK35,MOSFETS,8,FALSE)</f>
        <v>11.2</v>
      </c>
      <c r="AS35" s="230">
        <f>VLOOKUP($AK35,MOSFETS,9,FALSE)</f>
        <v>2</v>
      </c>
      <c r="AT35" s="229">
        <f>VLOOKUP($AK35,MOSFETS,10,FALSE)</f>
        <v>2.2000000000000002</v>
      </c>
      <c r="AU35" s="229">
        <f>VLOOKUP($AK35,MOSFETS,11,FALSE)</f>
        <v>4.5999999999999996</v>
      </c>
      <c r="AV35" s="229">
        <f>VLOOKUP($AK35,MOSFETS,12,FALSE)</f>
        <v>4.9000000000000004</v>
      </c>
      <c r="AW35" s="229">
        <f>VLOOKUP($AK35,MOSFETS,13,FALSE)</f>
        <v>48.6</v>
      </c>
      <c r="AX35" s="229">
        <f>VLOOKUP($AK35,MOSFETS,14,FALSE)</f>
        <v>175</v>
      </c>
      <c r="AY35" s="231"/>
      <c r="AZ35" s="197"/>
      <c r="BA35" s="240" t="str">
        <f t="array" ref="BA35">INDEX(SCHOTTKIES,MATCH(1,($BD$7:$BD$22&gt;VRMAX)*($BE$7:$BE$22&gt;IMOSMAXEST)*($BB$7:$BB$22&gt;$BB34),0),1)</f>
        <v>PDS3100Q</v>
      </c>
      <c r="BB35" s="229">
        <f>VLOOKUP($BA35,SCHOTTKIES,2,FALSE)</f>
        <v>2</v>
      </c>
      <c r="BC35" s="229" t="str">
        <f>VLOOKUP($BA35,SCHOTTKIES,3,FALSE)</f>
        <v>PowerDI5</v>
      </c>
      <c r="BD35" s="229">
        <f>VLOOKUP($BA35,SCHOTTKIES,4,FALSE)</f>
        <v>100</v>
      </c>
      <c r="BE35" s="229">
        <f>VLOOKUP($BA35,SCHOTTKIES,5,FALSE)</f>
        <v>3</v>
      </c>
      <c r="BF35" s="229">
        <f>VLOOKUP($BA35,SCHOTTKIES,6,FALSE)</f>
        <v>0.4</v>
      </c>
      <c r="BG35" s="229">
        <f>VLOOKUP($BA35,SCHOTTKIES,7,FALSE)</f>
        <v>0.61</v>
      </c>
      <c r="BH35" s="229">
        <f t="shared" si="7"/>
        <v>50</v>
      </c>
      <c r="BI35" s="229">
        <f t="shared" si="7"/>
        <v>50</v>
      </c>
      <c r="BL35" s="197"/>
      <c r="BM35" s="215"/>
      <c r="BN35" s="215"/>
      <c r="BO35" s="215" t="str">
        <v>Wurth 7447715470  [47µH]</v>
      </c>
      <c r="DD35" s="194"/>
      <c r="DE35" s="194"/>
      <c r="DF35" s="194"/>
      <c r="DG35" s="194"/>
      <c r="DH35" s="194"/>
      <c r="DI35" s="194"/>
      <c r="DJ35" s="194"/>
      <c r="DK35" s="194"/>
      <c r="DL35" s="194"/>
      <c r="DM35" s="194"/>
      <c r="DN35" s="194"/>
      <c r="DO35" s="194"/>
      <c r="DP35" s="194"/>
      <c r="DQ35" s="194"/>
      <c r="DR35" s="194"/>
      <c r="DS35" s="194"/>
      <c r="DT35" s="194"/>
      <c r="DU35" s="194"/>
      <c r="DV35" s="194"/>
      <c r="DW35" s="194"/>
      <c r="DX35" s="194"/>
      <c r="DY35" s="194"/>
      <c r="DZ35" s="194"/>
      <c r="EA35" s="194"/>
      <c r="EB35" s="194"/>
      <c r="EC35" s="194"/>
    </row>
    <row r="36" spans="1:134" ht="14" thickBot="1" x14ac:dyDescent="0.25">
      <c r="B36" s="163" t="s">
        <v>647</v>
      </c>
      <c r="C36" s="164" t="s">
        <v>688</v>
      </c>
      <c r="D36" s="165">
        <f>IF($C$28="CUSTOM", F36,VLOOKUP($C$29,MOSFETS,10,FALSE))</f>
        <v>3.5</v>
      </c>
      <c r="E36" s="161" t="s">
        <v>17</v>
      </c>
      <c r="F36" s="190">
        <v>2.4</v>
      </c>
      <c r="H36" s="13"/>
      <c r="K36" s="13"/>
      <c r="L36" s="194"/>
      <c r="P36" s="194"/>
      <c r="R36" s="237" t="s">
        <v>230</v>
      </c>
      <c r="S36" s="237" t="s">
        <v>386</v>
      </c>
      <c r="T36" s="241">
        <v>1.5E-3</v>
      </c>
      <c r="U36" s="237" t="s">
        <v>2</v>
      </c>
      <c r="V36" s="239"/>
      <c r="W36" s="239" t="s">
        <v>177</v>
      </c>
      <c r="X36" s="194"/>
      <c r="Z36" s="199" t="s">
        <v>308</v>
      </c>
      <c r="AA36" s="199">
        <f t="shared" si="6"/>
        <v>30</v>
      </c>
      <c r="AB36" s="199" t="s">
        <v>294</v>
      </c>
      <c r="AC36" s="199">
        <v>100</v>
      </c>
      <c r="AD36" s="199">
        <v>250</v>
      </c>
      <c r="AE36" s="199">
        <v>1.4</v>
      </c>
      <c r="AF36" s="197">
        <f t="shared" si="3"/>
        <v>25.303630647314719</v>
      </c>
      <c r="AG36" s="218"/>
      <c r="AH36" s="197">
        <f t="shared" si="4"/>
        <v>-0.71571428571428586</v>
      </c>
      <c r="AI36" s="197">
        <f t="shared" si="5"/>
        <v>0.43749999999999978</v>
      </c>
      <c r="AJ36" s="194"/>
      <c r="AK36" s="240" t="str">
        <f t="array" ref="AK36">INDEX(MOSFETS,MATCH(1,($AN$7:$AN$22&gt;=VDSMAX)*($AO$7:$AO$22&gt;IMOSMAXEST)*($AP$7:$AP$22*$AQ$7:$AQ$22&lt;5*RDSONEST)*($AL$7:$AL$22&lt;&gt;$AL34)*($AL$7:$AL$22&lt;&gt;$AL35),0),1)</f>
        <v>DMTH8028LFVWQ</v>
      </c>
      <c r="AL36" s="230">
        <f>VLOOKUP($AK36,MOSFETS,2,FALSE)</f>
        <v>3</v>
      </c>
      <c r="AM36" s="230" t="str">
        <f>VLOOKUP($AK36,MOSFETS,3,FALSE)</f>
        <v>PowerDI3333-8</v>
      </c>
      <c r="AN36" s="230">
        <f>VLOOKUP($AK36,MOSFETS,4,FALSE)</f>
        <v>80</v>
      </c>
      <c r="AO36" s="230">
        <f>VLOOKUP($AK36,MOSFETS,5,FALSE)</f>
        <v>27</v>
      </c>
      <c r="AP36" s="230">
        <f>VLOOKUP($AK36,MOSFETS,6,FALSE)</f>
        <v>2.5000000000000001E-2</v>
      </c>
      <c r="AQ36" s="230">
        <f>VLOOKUP($AK36,MOSFETS,7,FALSE)</f>
        <v>1.6</v>
      </c>
      <c r="AR36" s="230">
        <f>VLOOKUP($AK36,MOSFETS,8,FALSE)</f>
        <v>10.4</v>
      </c>
      <c r="AS36" s="230">
        <f>VLOOKUP($AK36,MOSFETS,9,FALSE)</f>
        <v>1.8</v>
      </c>
      <c r="AT36" s="229">
        <f>VLOOKUP($AK36,MOSFETS,10,FALSE)</f>
        <v>2.4</v>
      </c>
      <c r="AU36" s="229">
        <f>VLOOKUP($AK36,MOSFETS,11,FALSE)</f>
        <v>9.6999999999999993</v>
      </c>
      <c r="AV36" s="229">
        <f>VLOOKUP($AK36,MOSFETS,12,FALSE)</f>
        <v>8.6</v>
      </c>
      <c r="AW36" s="229">
        <f>VLOOKUP($AK36,MOSFETS,13,FALSE)</f>
        <v>42</v>
      </c>
      <c r="AX36" s="229">
        <f>VLOOKUP($AK36,MOSFETS,14,FALSE)</f>
        <v>175</v>
      </c>
      <c r="AY36" s="231"/>
      <c r="AZ36" s="197"/>
      <c r="BA36" s="240" t="str">
        <f t="array" ref="BA36">INDEX(SCHOTTKIES,MATCH(1,($BD$7:$BD$22&gt;VRMAX)*($BE$7:$BE$22&gt;IMOSMAXEST)*($BB$7:$BB$22&gt;$BB35),0),1)</f>
        <v>PDS5100Q</v>
      </c>
      <c r="BB36" s="229">
        <f>VLOOKUP($BA36,SCHOTTKIES,2,FALSE)</f>
        <v>3</v>
      </c>
      <c r="BC36" s="229" t="str">
        <f>VLOOKUP($BA36,SCHOTTKIES,3,FALSE)</f>
        <v>PowerDI5</v>
      </c>
      <c r="BD36" s="229">
        <f>VLOOKUP($BA36,SCHOTTKIES,4,FALSE)</f>
        <v>100</v>
      </c>
      <c r="BE36" s="229">
        <f>VLOOKUP($BA36,SCHOTTKIES,5,FALSE)</f>
        <v>5</v>
      </c>
      <c r="BF36" s="229">
        <f>VLOOKUP($BA36,SCHOTTKIES,6,FALSE)</f>
        <v>0.5</v>
      </c>
      <c r="BG36" s="229">
        <f>VLOOKUP($BA36,SCHOTTKIES,7,FALSE)</f>
        <v>0.64</v>
      </c>
      <c r="BH36" s="229">
        <f t="shared" si="7"/>
        <v>50</v>
      </c>
      <c r="BI36" s="229">
        <f t="shared" si="7"/>
        <v>50</v>
      </c>
      <c r="BL36" s="197"/>
      <c r="BM36" s="215"/>
      <c r="BN36" s="215"/>
      <c r="BO36" s="215" t="str">
        <v>Wurth 7447715101  [100µH]</v>
      </c>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row>
    <row r="37" spans="1:134" ht="14" thickBot="1" x14ac:dyDescent="0.25">
      <c r="B37" s="163" t="s">
        <v>648</v>
      </c>
      <c r="C37" s="164" t="s">
        <v>691</v>
      </c>
      <c r="D37" s="165">
        <f>IF($C$28="CUSTOM", F37,VLOOKUP($C$29,MOSFETS,11,FALSE))</f>
        <v>5.5</v>
      </c>
      <c r="E37" s="166" t="s">
        <v>673</v>
      </c>
      <c r="F37" s="190">
        <v>9.6999999999999993</v>
      </c>
      <c r="H37" s="21" t="str">
        <f>"Efficiency, TA = "&amp;TAMB&amp;"°C"</f>
        <v>Efficiency, TA = 50°C</v>
      </c>
      <c r="I37" s="21"/>
      <c r="J37" s="14"/>
      <c r="K37" s="22"/>
      <c r="L37" s="194"/>
      <c r="P37" s="194"/>
      <c r="R37" s="237" t="s">
        <v>385</v>
      </c>
      <c r="S37" s="237" t="s">
        <v>387</v>
      </c>
      <c r="T37" s="237">
        <v>1.4999999999999999E-4</v>
      </c>
      <c r="U37" s="237" t="s">
        <v>2</v>
      </c>
      <c r="V37" s="237"/>
      <c r="W37" s="239" t="s">
        <v>177</v>
      </c>
      <c r="X37" s="194"/>
      <c r="Z37" s="199" t="s">
        <v>309</v>
      </c>
      <c r="AA37" s="199">
        <f t="shared" si="6"/>
        <v>31</v>
      </c>
      <c r="AB37" s="199" t="s">
        <v>294</v>
      </c>
      <c r="AC37" s="199">
        <v>220</v>
      </c>
      <c r="AD37" s="199">
        <v>460</v>
      </c>
      <c r="AE37" s="199">
        <v>1</v>
      </c>
      <c r="AF37" s="197">
        <f t="shared" si="3"/>
        <v>145.30363064731472</v>
      </c>
      <c r="AG37" s="218"/>
      <c r="AH37" s="197">
        <f t="shared" si="4"/>
        <v>-0.50571428571428578</v>
      </c>
      <c r="AI37" s="197">
        <f t="shared" si="5"/>
        <v>3.7499999999999867E-2</v>
      </c>
      <c r="AJ37" s="194"/>
      <c r="AK37" s="240" t="str">
        <f t="array" ref="AK37">INDEX(MOSFETS,MATCH(1,($AN$7:$AN$22&gt;=VDSMAX)*($AO$7:$AO$22&gt;IMOSMAXEST)*($AP$7:$AP$22*$AQ$7:$AQ$22&lt;5*RDSONEST)*($AL$7:$AL$22&lt;&gt;$AL34)*($AL$7:$AL$22&lt;&gt;$AL35)*($AL$7:$AL$22&lt;&gt;$AL36),0),1)</f>
        <v>DMTH6016LPSQ</v>
      </c>
      <c r="AL37" s="230">
        <f>VLOOKUP($AK37,MOSFETS,2,FALSE)</f>
        <v>4</v>
      </c>
      <c r="AM37" s="230" t="str">
        <f>VLOOKUP($AK37,MOSFETS,3,FALSE)</f>
        <v>PowerDI5060-8</v>
      </c>
      <c r="AN37" s="230">
        <f>VLOOKUP($AK37,MOSFETS,4,FALSE)</f>
        <v>60</v>
      </c>
      <c r="AO37" s="230">
        <f>VLOOKUP($AK37,MOSFETS,5,FALSE)</f>
        <v>37.1</v>
      </c>
      <c r="AP37" s="230">
        <f>VLOOKUP($AK37,MOSFETS,6,FALSE)</f>
        <v>1.6E-2</v>
      </c>
      <c r="AQ37" s="230">
        <f>VLOOKUP($AK37,MOSFETS,7,FALSE)</f>
        <v>1.6</v>
      </c>
      <c r="AR37" s="230">
        <f>VLOOKUP($AK37,MOSFETS,8,FALSE)</f>
        <v>17</v>
      </c>
      <c r="AS37" s="230">
        <f>VLOOKUP($AK37,MOSFETS,9,FALSE)</f>
        <v>3.1</v>
      </c>
      <c r="AT37" s="229">
        <f>VLOOKUP($AK37,MOSFETS,10,FALSE)</f>
        <v>4.3</v>
      </c>
      <c r="AU37" s="229">
        <f>VLOOKUP($AK37,MOSFETS,11,FALSE)</f>
        <v>5.2</v>
      </c>
      <c r="AV37" s="229">
        <f>VLOOKUP($AK37,MOSFETS,12,FALSE)</f>
        <v>7</v>
      </c>
      <c r="AW37" s="229">
        <f>VLOOKUP($AK37,MOSFETS,13,FALSE)</f>
        <v>37.5</v>
      </c>
      <c r="AX37" s="229">
        <f>VLOOKUP($AK37,MOSFETS,14,FALSE)</f>
        <v>175</v>
      </c>
      <c r="AY37" s="231"/>
      <c r="AZ37" s="197"/>
      <c r="BA37" s="240" t="str">
        <f t="array" ref="BA37">INDEX(SCHOTTKIES,MATCH(1,($BD$7:$BD$22&gt;VRMAX)*($BE$7:$BE$22&gt;IMOSMAXEST)*($BB$7:$BB$22&gt;$BB36),0),1)</f>
        <v>PDS760Q</v>
      </c>
      <c r="BB37" s="229">
        <f>VLOOKUP($BA37,SCHOTTKIES,2,FALSE)</f>
        <v>4</v>
      </c>
      <c r="BC37" s="229" t="str">
        <f>VLOOKUP($BA37,SCHOTTKIES,3,FALSE)</f>
        <v>PowerDI5</v>
      </c>
      <c r="BD37" s="229">
        <f>VLOOKUP($BA37,SCHOTTKIES,4,FALSE)</f>
        <v>60</v>
      </c>
      <c r="BE37" s="229">
        <f>VLOOKUP($BA37,SCHOTTKIES,5,FALSE)</f>
        <v>7</v>
      </c>
      <c r="BF37" s="229">
        <f>VLOOKUP($BA37,SCHOTTKIES,6,FALSE)</f>
        <v>1</v>
      </c>
      <c r="BG37" s="229">
        <f>VLOOKUP($BA37,SCHOTTKIES,7,FALSE)</f>
        <v>0.54</v>
      </c>
      <c r="BH37" s="229">
        <f t="shared" si="7"/>
        <v>85</v>
      </c>
      <c r="BI37" s="229">
        <f t="shared" si="7"/>
        <v>85</v>
      </c>
      <c r="BK37" s="197"/>
      <c r="BM37" s="215"/>
      <c r="BN37" s="215"/>
      <c r="BO37" s="215" t="str">
        <v>Wurth 7447715221  [220µH]</v>
      </c>
      <c r="DD37" s="194"/>
      <c r="DE37" s="194"/>
      <c r="DF37" s="194"/>
      <c r="DG37" s="194"/>
      <c r="DH37" s="194"/>
      <c r="DI37" s="194"/>
      <c r="DJ37" s="194"/>
      <c r="DK37" s="194"/>
      <c r="DL37" s="194"/>
      <c r="DM37" s="194"/>
      <c r="DN37" s="194"/>
      <c r="DO37" s="194"/>
      <c r="DP37" s="194"/>
      <c r="DQ37" s="194"/>
      <c r="DR37" s="194"/>
      <c r="DS37" s="194"/>
      <c r="DT37" s="194"/>
      <c r="DU37" s="194"/>
      <c r="DV37" s="194"/>
      <c r="DW37" s="194"/>
      <c r="DX37" s="194"/>
      <c r="DY37" s="194"/>
      <c r="DZ37" s="194"/>
      <c r="EA37" s="194"/>
      <c r="EB37" s="194"/>
      <c r="EC37" s="194"/>
    </row>
    <row r="38" spans="1:134" x14ac:dyDescent="0.2">
      <c r="B38" s="163" t="s">
        <v>649</v>
      </c>
      <c r="C38" s="164" t="s">
        <v>692</v>
      </c>
      <c r="D38" s="165">
        <f>IF($C$28="CUSTOM", F38,VLOOKUP($C$29,MOSFETS,12,FALSE))</f>
        <v>4.5999999999999996</v>
      </c>
      <c r="E38" s="166" t="s">
        <v>673</v>
      </c>
      <c r="F38" s="190">
        <v>8.6</v>
      </c>
      <c r="H38" s="8" t="s">
        <v>263</v>
      </c>
      <c r="I38" s="74"/>
      <c r="J38" s="58">
        <f>$BK$120</f>
        <v>0.88820624326127018</v>
      </c>
      <c r="K38" s="65"/>
      <c r="L38" s="194"/>
      <c r="P38" s="194"/>
      <c r="R38" s="237" t="s">
        <v>236</v>
      </c>
      <c r="S38" s="237" t="s">
        <v>235</v>
      </c>
      <c r="T38" s="242">
        <v>11</v>
      </c>
      <c r="U38" s="237" t="s">
        <v>0</v>
      </c>
      <c r="V38" s="239"/>
      <c r="W38" s="239" t="s">
        <v>177</v>
      </c>
      <c r="X38" s="194"/>
      <c r="Z38" s="199" t="s">
        <v>300</v>
      </c>
      <c r="AA38" s="199">
        <f t="shared" si="6"/>
        <v>32</v>
      </c>
      <c r="AB38" s="199" t="s">
        <v>299</v>
      </c>
      <c r="AC38" s="199">
        <v>10</v>
      </c>
      <c r="AD38" s="199">
        <v>18</v>
      </c>
      <c r="AE38" s="199">
        <v>5.5</v>
      </c>
      <c r="AF38" s="197">
        <f t="shared" si="3"/>
        <v>-64.696369352685281</v>
      </c>
      <c r="AG38" s="218"/>
      <c r="AH38" s="197">
        <f t="shared" si="4"/>
        <v>-0.94771428571428584</v>
      </c>
      <c r="AI38" s="197">
        <f t="shared" si="5"/>
        <v>4.5374999999999996</v>
      </c>
      <c r="AJ38" s="194"/>
      <c r="AK38" s="198"/>
      <c r="AY38" s="194"/>
      <c r="AZ38" s="197"/>
      <c r="BA38" s="240"/>
      <c r="BB38" s="240"/>
      <c r="BC38" s="240"/>
      <c r="BD38" s="240"/>
      <c r="BE38" s="240"/>
      <c r="BF38" s="240"/>
      <c r="BG38" s="240"/>
      <c r="BH38" s="240"/>
      <c r="BI38" s="240"/>
      <c r="BK38" s="197"/>
      <c r="BM38" s="215"/>
      <c r="BN38" s="215"/>
      <c r="BO38" s="215" t="str">
        <v>Wurth 74477110  [10µH]</v>
      </c>
      <c r="DD38" s="194"/>
      <c r="DE38" s="194"/>
      <c r="DF38" s="194"/>
      <c r="DG38" s="194"/>
      <c r="DH38" s="194"/>
      <c r="DI38" s="194"/>
      <c r="DJ38" s="194"/>
      <c r="DK38" s="194"/>
      <c r="DL38" s="194"/>
      <c r="DM38" s="194"/>
      <c r="DN38" s="194"/>
      <c r="DO38" s="194"/>
      <c r="DP38" s="194"/>
      <c r="DQ38" s="194"/>
      <c r="DR38" s="194"/>
      <c r="DS38" s="194"/>
      <c r="DT38" s="194"/>
      <c r="DU38" s="194"/>
      <c r="DV38" s="194"/>
      <c r="DW38" s="194"/>
      <c r="DX38" s="194"/>
      <c r="DY38" s="194"/>
      <c r="DZ38" s="194"/>
      <c r="EA38" s="194"/>
      <c r="EB38" s="194"/>
      <c r="EC38" s="194"/>
    </row>
    <row r="39" spans="1:134" ht="14" thickBot="1" x14ac:dyDescent="0.25">
      <c r="B39" s="163" t="s">
        <v>650</v>
      </c>
      <c r="C39" s="164" t="s">
        <v>693</v>
      </c>
      <c r="D39" s="165">
        <f>IF($C$28="CUSTOM", F39,VLOOKUP($C$29,MOSFETS,13,FALSE))</f>
        <v>60</v>
      </c>
      <c r="E39" s="166" t="s">
        <v>675</v>
      </c>
      <c r="F39" s="190">
        <v>42</v>
      </c>
      <c r="H39" s="9" t="s">
        <v>264</v>
      </c>
      <c r="I39" s="73"/>
      <c r="J39" s="59">
        <f>$BK$660</f>
        <v>0.93392401361838984</v>
      </c>
      <c r="K39" s="66"/>
      <c r="L39" s="194"/>
      <c r="P39" s="194"/>
      <c r="R39" s="237" t="s">
        <v>266</v>
      </c>
      <c r="S39" s="237" t="s">
        <v>267</v>
      </c>
      <c r="T39" s="242">
        <v>70</v>
      </c>
      <c r="U39" s="237" t="s">
        <v>254</v>
      </c>
      <c r="V39" s="239"/>
      <c r="W39" s="239"/>
      <c r="X39" s="194"/>
      <c r="Z39" s="199" t="s">
        <v>301</v>
      </c>
      <c r="AA39" s="199">
        <f t="shared" si="6"/>
        <v>33</v>
      </c>
      <c r="AB39" s="199" t="s">
        <v>299</v>
      </c>
      <c r="AC39" s="199">
        <v>15</v>
      </c>
      <c r="AD39" s="199">
        <v>25</v>
      </c>
      <c r="AE39" s="199">
        <v>4.55</v>
      </c>
      <c r="AF39" s="197">
        <f t="shared" si="3"/>
        <v>-59.696369352685281</v>
      </c>
      <c r="AG39" s="218"/>
      <c r="AH39" s="197">
        <f t="shared" si="4"/>
        <v>-0.94071428571428584</v>
      </c>
      <c r="AI39" s="197">
        <f t="shared" si="5"/>
        <v>3.5874999999999995</v>
      </c>
      <c r="AJ39" s="194"/>
      <c r="AK39" s="198"/>
      <c r="AY39" s="194"/>
      <c r="AZ39" s="197"/>
      <c r="BA39" s="240"/>
      <c r="BB39" s="240"/>
      <c r="BC39" s="240"/>
      <c r="BD39" s="240"/>
      <c r="BE39" s="240"/>
      <c r="BF39" s="240"/>
      <c r="BG39" s="240"/>
      <c r="BH39" s="240"/>
      <c r="BI39" s="240"/>
      <c r="BK39" s="197"/>
      <c r="BM39" s="215"/>
      <c r="BN39" s="215"/>
      <c r="BO39" s="215" t="str">
        <v>Wurth 744771115  [15µH]</v>
      </c>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row>
    <row r="40" spans="1:134" x14ac:dyDescent="0.25">
      <c r="B40" s="163" t="s">
        <v>651</v>
      </c>
      <c r="C40" s="164" t="s">
        <v>694</v>
      </c>
      <c r="D40" s="165">
        <f>IF($C$28="CUSTOM", F40,VLOOKUP($C$29,MOSFETS,14,FALSE))</f>
        <v>150</v>
      </c>
      <c r="E40" s="166" t="s">
        <v>37</v>
      </c>
      <c r="F40" s="190">
        <v>175</v>
      </c>
      <c r="G40" s="6"/>
      <c r="H40" s="6"/>
      <c r="I40" s="6"/>
      <c r="J40" s="6"/>
      <c r="K40" s="6"/>
      <c r="L40" s="194"/>
      <c r="P40" s="194"/>
      <c r="R40" s="237" t="s">
        <v>372</v>
      </c>
      <c r="S40" s="237" t="s">
        <v>373</v>
      </c>
      <c r="T40" s="237">
        <v>125</v>
      </c>
      <c r="U40" s="237" t="s">
        <v>37</v>
      </c>
      <c r="V40" s="237"/>
      <c r="W40" s="239" t="s">
        <v>177</v>
      </c>
      <c r="X40" s="194"/>
      <c r="Z40" s="199" t="s">
        <v>302</v>
      </c>
      <c r="AA40" s="199">
        <f t="shared" si="6"/>
        <v>34</v>
      </c>
      <c r="AB40" s="199" t="s">
        <v>299</v>
      </c>
      <c r="AC40" s="199">
        <v>22</v>
      </c>
      <c r="AD40" s="199">
        <v>31</v>
      </c>
      <c r="AE40" s="199">
        <v>3.77</v>
      </c>
      <c r="AF40" s="197">
        <f t="shared" si="3"/>
        <v>-52.696369352685281</v>
      </c>
      <c r="AG40" s="218"/>
      <c r="AH40" s="197">
        <f t="shared" si="4"/>
        <v>-0.93471428571428583</v>
      </c>
      <c r="AI40" s="197">
        <f t="shared" si="5"/>
        <v>2.8075000000000001</v>
      </c>
      <c r="AJ40" s="194"/>
      <c r="AK40" s="198"/>
      <c r="AY40" s="194"/>
      <c r="AZ40" s="197"/>
      <c r="BI40" s="194"/>
      <c r="BK40" s="197"/>
      <c r="BM40" s="215"/>
      <c r="BN40" s="215"/>
      <c r="BO40" s="215" t="str">
        <v>Wurth 744771122  [22µH]</v>
      </c>
      <c r="DD40" s="194"/>
      <c r="DE40" s="194"/>
      <c r="DF40" s="194"/>
      <c r="DG40" s="194"/>
      <c r="DH40" s="194"/>
      <c r="DI40" s="194"/>
      <c r="DJ40" s="194"/>
      <c r="DK40" s="194"/>
      <c r="DL40" s="194"/>
      <c r="DM40" s="194"/>
      <c r="DN40" s="194"/>
      <c r="DO40" s="194"/>
      <c r="DP40" s="194"/>
      <c r="DQ40" s="194"/>
      <c r="DR40" s="194"/>
      <c r="DS40" s="194"/>
      <c r="DT40" s="194"/>
      <c r="DU40" s="194"/>
      <c r="DV40" s="194"/>
      <c r="DW40" s="194"/>
      <c r="DX40" s="194"/>
      <c r="DY40" s="194"/>
      <c r="DZ40" s="194"/>
      <c r="EA40" s="194"/>
      <c r="EB40" s="194"/>
      <c r="EC40" s="194"/>
    </row>
    <row r="41" spans="1:134" s="13" customFormat="1" ht="14" thickBot="1" x14ac:dyDescent="0.4">
      <c r="A41" s="4"/>
      <c r="B41" s="167"/>
      <c r="C41" s="168" t="s">
        <v>652</v>
      </c>
      <c r="D41" s="174" t="str">
        <f>IF($C$28="CUSTOM", F41,VLOOKUP($C$29,MOSFETS,3,FALSE))</f>
        <v>U-DFN2020-6</v>
      </c>
      <c r="E41" s="173"/>
      <c r="F41" s="191" t="s">
        <v>608</v>
      </c>
      <c r="G41" s="6"/>
      <c r="H41" s="6"/>
      <c r="I41" s="6"/>
      <c r="J41" s="6"/>
      <c r="K41" s="6"/>
      <c r="L41" s="194"/>
      <c r="M41" s="194"/>
      <c r="N41" s="194"/>
      <c r="O41" s="194"/>
      <c r="P41" s="194"/>
      <c r="Q41" s="194"/>
      <c r="R41" s="237" t="s">
        <v>34</v>
      </c>
      <c r="S41" s="237" t="s">
        <v>380</v>
      </c>
      <c r="T41" s="237">
        <v>1.25</v>
      </c>
      <c r="U41" s="237" t="s">
        <v>0</v>
      </c>
      <c r="V41" s="237"/>
      <c r="W41" s="237"/>
      <c r="X41" s="194"/>
      <c r="Y41" s="243"/>
      <c r="Z41" s="199" t="s">
        <v>310</v>
      </c>
      <c r="AA41" s="199">
        <f t="shared" si="6"/>
        <v>35</v>
      </c>
      <c r="AB41" s="199" t="s">
        <v>299</v>
      </c>
      <c r="AC41" s="199">
        <v>33</v>
      </c>
      <c r="AD41" s="199">
        <v>49</v>
      </c>
      <c r="AE41" s="199">
        <v>3</v>
      </c>
      <c r="AF41" s="197">
        <f t="shared" si="3"/>
        <v>-41.696369352685281</v>
      </c>
      <c r="AG41" s="218"/>
      <c r="AH41" s="197">
        <f t="shared" si="4"/>
        <v>-0.91671428571428581</v>
      </c>
      <c r="AI41" s="197">
        <f t="shared" si="5"/>
        <v>2.0374999999999996</v>
      </c>
      <c r="AJ41" s="194"/>
      <c r="AK41" s="198"/>
      <c r="AL41" s="194"/>
      <c r="AM41" s="194"/>
      <c r="AN41" s="194"/>
      <c r="AO41" s="194"/>
      <c r="AP41" s="194"/>
      <c r="AQ41" s="194"/>
      <c r="AR41" s="194"/>
      <c r="AS41" s="194"/>
      <c r="AT41" s="194"/>
      <c r="AU41" s="194"/>
      <c r="AV41" s="194"/>
      <c r="AW41" s="194"/>
      <c r="AX41" s="194"/>
      <c r="AY41" s="194"/>
      <c r="AZ41" s="197"/>
      <c r="BA41" s="194"/>
      <c r="BB41" s="194"/>
      <c r="BC41" s="194"/>
      <c r="BD41" s="194"/>
      <c r="BE41" s="194"/>
      <c r="BF41" s="194"/>
      <c r="BG41" s="194"/>
      <c r="BH41" s="194"/>
      <c r="BI41" s="194"/>
      <c r="BJ41" s="194"/>
      <c r="BK41" s="197"/>
      <c r="BL41" s="194"/>
      <c r="BM41" s="215"/>
      <c r="BN41" s="215"/>
      <c r="BO41" s="215" t="str">
        <v>Wurth 744771133  [33µH]</v>
      </c>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row>
    <row r="42" spans="1:134" x14ac:dyDescent="0.25">
      <c r="B42" s="291" t="s">
        <v>653</v>
      </c>
      <c r="C42" s="292"/>
      <c r="D42" s="292"/>
      <c r="E42" s="293"/>
      <c r="F42" s="183" t="s">
        <v>676</v>
      </c>
      <c r="G42" s="6"/>
      <c r="H42" s="6"/>
      <c r="I42" s="6"/>
      <c r="J42" s="6"/>
      <c r="K42" s="6"/>
      <c r="L42" s="194"/>
      <c r="M42" s="194"/>
      <c r="N42" s="194"/>
      <c r="O42" s="194"/>
      <c r="P42" s="194"/>
      <c r="R42" s="237" t="s">
        <v>507</v>
      </c>
      <c r="S42" s="237" t="s">
        <v>508</v>
      </c>
      <c r="T42" s="237">
        <f>IF(CONFIG="BUCK",0.218,0.225)</f>
        <v>0.22500000000000001</v>
      </c>
      <c r="U42" s="237" t="s">
        <v>0</v>
      </c>
      <c r="V42" s="239">
        <v>63</v>
      </c>
      <c r="W42" s="237"/>
      <c r="X42" s="194"/>
      <c r="Z42" s="199" t="s">
        <v>311</v>
      </c>
      <c r="AA42" s="199">
        <f t="shared" si="6"/>
        <v>36</v>
      </c>
      <c r="AB42" s="199" t="s">
        <v>299</v>
      </c>
      <c r="AC42" s="199">
        <v>47</v>
      </c>
      <c r="AD42" s="199">
        <v>72</v>
      </c>
      <c r="AE42" s="199">
        <v>2.6</v>
      </c>
      <c r="AF42" s="197">
        <f t="shared" si="3"/>
        <v>-27.696369352685281</v>
      </c>
      <c r="AG42" s="218"/>
      <c r="AH42" s="197">
        <f t="shared" si="4"/>
        <v>-0.89371428571428591</v>
      </c>
      <c r="AI42" s="197">
        <f t="shared" si="5"/>
        <v>1.6375</v>
      </c>
      <c r="AJ42" s="194"/>
      <c r="AK42" s="198"/>
      <c r="AY42" s="194"/>
      <c r="AZ42" s="197"/>
      <c r="BI42" s="194"/>
      <c r="BK42" s="197"/>
      <c r="BM42" s="215"/>
      <c r="BN42" s="215"/>
      <c r="BO42" s="215" t="str">
        <v>Wurth 744771147  [47µH]</v>
      </c>
      <c r="DD42" s="194"/>
      <c r="DE42" s="194"/>
      <c r="DF42" s="194"/>
      <c r="DG42" s="194"/>
      <c r="DH42" s="194"/>
      <c r="DI42" s="194"/>
      <c r="DJ42" s="194"/>
      <c r="DK42" s="194"/>
      <c r="DL42" s="194"/>
      <c r="DM42" s="194"/>
      <c r="DN42" s="194"/>
      <c r="DO42" s="194"/>
      <c r="DP42" s="194"/>
      <c r="DQ42" s="194"/>
      <c r="DR42" s="194"/>
      <c r="DS42" s="194"/>
      <c r="DT42" s="194"/>
      <c r="DU42" s="194"/>
      <c r="DV42" s="194"/>
      <c r="DW42" s="194"/>
      <c r="DX42" s="194"/>
      <c r="DY42" s="194"/>
      <c r="DZ42" s="194"/>
      <c r="EA42" s="194"/>
      <c r="EB42" s="194"/>
      <c r="EC42" s="194"/>
    </row>
    <row r="43" spans="1:134" x14ac:dyDescent="0.2">
      <c r="B43" s="172" t="s">
        <v>638</v>
      </c>
      <c r="C43" s="294" t="s">
        <v>639</v>
      </c>
      <c r="D43" s="295"/>
      <c r="E43" s="296"/>
      <c r="F43" s="181"/>
      <c r="L43" s="194"/>
      <c r="M43" s="194"/>
      <c r="N43" s="194"/>
      <c r="O43" s="194"/>
      <c r="P43" s="194"/>
      <c r="R43" s="237" t="s">
        <v>147</v>
      </c>
      <c r="S43" s="237" t="s">
        <v>146</v>
      </c>
      <c r="T43" s="241">
        <f>(VSNOM/ILED)*(VADJ/1.25)*GI_ADJ_INITM</f>
        <v>0.25934579439252331</v>
      </c>
      <c r="U43" s="237" t="s">
        <v>3</v>
      </c>
      <c r="V43" s="239">
        <v>15</v>
      </c>
      <c r="W43" s="239"/>
      <c r="X43" s="194"/>
      <c r="Z43" s="199" t="s">
        <v>312</v>
      </c>
      <c r="AA43" s="199">
        <f t="shared" si="6"/>
        <v>37</v>
      </c>
      <c r="AB43" s="199" t="s">
        <v>299</v>
      </c>
      <c r="AC43" s="199">
        <v>68</v>
      </c>
      <c r="AD43" s="199">
        <v>96</v>
      </c>
      <c r="AE43" s="199">
        <v>2.19</v>
      </c>
      <c r="AF43" s="197">
        <f t="shared" si="3"/>
        <v>-6.6963693526852808</v>
      </c>
      <c r="AG43" s="218"/>
      <c r="AH43" s="197">
        <f t="shared" si="4"/>
        <v>-0.86971428571428588</v>
      </c>
      <c r="AI43" s="197">
        <f t="shared" si="5"/>
        <v>1.2274999999999998</v>
      </c>
      <c r="AJ43" s="194"/>
      <c r="AK43" s="198"/>
      <c r="BI43" s="194"/>
      <c r="BJ43" s="197"/>
      <c r="BM43" s="215"/>
      <c r="BN43" s="215"/>
      <c r="BO43" s="215" t="str">
        <v>Wurth 744771168  [68µH]</v>
      </c>
      <c r="DD43" s="194"/>
      <c r="DE43" s="194"/>
      <c r="DF43" s="194"/>
      <c r="DG43" s="194"/>
      <c r="DH43" s="194"/>
      <c r="DI43" s="194"/>
      <c r="DJ43" s="194"/>
      <c r="DK43" s="194"/>
      <c r="DL43" s="194"/>
      <c r="DM43" s="194"/>
      <c r="DN43" s="194"/>
      <c r="DO43" s="194"/>
      <c r="DP43" s="194"/>
      <c r="DQ43" s="194"/>
      <c r="DR43" s="194"/>
      <c r="DS43" s="194"/>
      <c r="DT43" s="194"/>
      <c r="DU43" s="194"/>
      <c r="DV43" s="194"/>
      <c r="DW43" s="194"/>
      <c r="DX43" s="194"/>
      <c r="DY43" s="194"/>
      <c r="DZ43" s="194"/>
      <c r="EA43" s="194"/>
      <c r="EB43" s="194"/>
    </row>
    <row r="44" spans="1:134" x14ac:dyDescent="0.2">
      <c r="B44" s="156" t="s">
        <v>640</v>
      </c>
      <c r="C44" s="297" t="str">
        <f>IF(C43&lt;&gt;"CUSTOM",IF(C43="AUTOMATIC",SCHOTTKY_CHOICE1,C43),"enter your custom schottky parameters:")</f>
        <v>B2100Q</v>
      </c>
      <c r="D44" s="298"/>
      <c r="E44" s="157"/>
      <c r="F44" s="189" t="s">
        <v>708</v>
      </c>
      <c r="H44" s="150"/>
      <c r="L44" s="194"/>
      <c r="M44" s="194"/>
      <c r="N44" s="194"/>
      <c r="O44" s="194"/>
      <c r="P44" s="194"/>
      <c r="R44" s="237" t="s">
        <v>5</v>
      </c>
      <c r="S44" s="237" t="s">
        <v>162</v>
      </c>
      <c r="T44" s="242">
        <f>0.001*D56</f>
        <v>0.1673</v>
      </c>
      <c r="U44" s="237" t="s">
        <v>3</v>
      </c>
      <c r="V44" s="239"/>
      <c r="W44" s="239" t="s">
        <v>175</v>
      </c>
      <c r="X44" s="194"/>
      <c r="Z44" s="199" t="s">
        <v>313</v>
      </c>
      <c r="AA44" s="199">
        <f t="shared" si="6"/>
        <v>38</v>
      </c>
      <c r="AB44" s="199" t="s">
        <v>299</v>
      </c>
      <c r="AC44" s="199">
        <v>100</v>
      </c>
      <c r="AD44" s="199">
        <v>150</v>
      </c>
      <c r="AE44" s="199">
        <v>1.7</v>
      </c>
      <c r="AF44" s="197">
        <f t="shared" si="3"/>
        <v>25.303630647314719</v>
      </c>
      <c r="AG44" s="218"/>
      <c r="AH44" s="197">
        <f t="shared" si="4"/>
        <v>-0.81571428571428584</v>
      </c>
      <c r="AI44" s="197">
        <f t="shared" si="5"/>
        <v>0.73749999999999982</v>
      </c>
      <c r="AJ44" s="194"/>
      <c r="AK44" s="198"/>
      <c r="BI44" s="194"/>
      <c r="BJ44" s="197"/>
      <c r="BM44" s="215"/>
      <c r="BN44" s="215"/>
      <c r="BO44" s="215" t="str">
        <v>Wurth 74477120  [100µH]</v>
      </c>
      <c r="DD44" s="194"/>
      <c r="DE44" s="194"/>
      <c r="DF44" s="194"/>
      <c r="DG44" s="194"/>
      <c r="DH44" s="194"/>
      <c r="DI44" s="194"/>
      <c r="DJ44" s="194"/>
      <c r="DK44" s="194"/>
      <c r="DL44" s="194"/>
      <c r="DM44" s="194"/>
      <c r="DN44" s="194"/>
      <c r="DO44" s="194"/>
      <c r="DP44" s="194"/>
      <c r="DQ44" s="194"/>
      <c r="DR44" s="194"/>
      <c r="DS44" s="194"/>
      <c r="DT44" s="194"/>
      <c r="DU44" s="194"/>
      <c r="DV44" s="194"/>
      <c r="DW44" s="194"/>
      <c r="DX44" s="194"/>
      <c r="DY44" s="194"/>
      <c r="DZ44" s="194"/>
      <c r="EA44" s="194"/>
      <c r="EB44" s="194"/>
    </row>
    <row r="45" spans="1:134" x14ac:dyDescent="0.25">
      <c r="B45" s="158" t="s">
        <v>654</v>
      </c>
      <c r="C45" s="159" t="s">
        <v>695</v>
      </c>
      <c r="D45" s="160">
        <f>IF($C$43="CUSTOM", F45,VLOOKUP($C$44,SCHOTTKIES,7,FALSE))</f>
        <v>0.69</v>
      </c>
      <c r="E45" s="161" t="s">
        <v>0</v>
      </c>
      <c r="F45" s="190">
        <v>0.5</v>
      </c>
      <c r="G45" s="6"/>
      <c r="H45" s="6"/>
      <c r="I45" s="6"/>
      <c r="R45" s="237" t="s">
        <v>33</v>
      </c>
      <c r="S45" s="237" t="s">
        <v>161</v>
      </c>
      <c r="T45" s="242">
        <f>D30*D33*0.001</f>
        <v>1.1200000000000002E-2</v>
      </c>
      <c r="U45" s="237" t="s">
        <v>3</v>
      </c>
      <c r="V45" s="239"/>
      <c r="W45" s="239" t="s">
        <v>176</v>
      </c>
      <c r="X45" s="194"/>
      <c r="Z45" s="199" t="s">
        <v>314</v>
      </c>
      <c r="AA45" s="199">
        <f t="shared" si="6"/>
        <v>39</v>
      </c>
      <c r="AB45" s="199" t="s">
        <v>299</v>
      </c>
      <c r="AC45" s="199">
        <v>150</v>
      </c>
      <c r="AD45" s="199">
        <v>185</v>
      </c>
      <c r="AE45" s="199">
        <v>1.43</v>
      </c>
      <c r="AF45" s="197">
        <f t="shared" si="3"/>
        <v>75.303630647314719</v>
      </c>
      <c r="AG45" s="218"/>
      <c r="AH45" s="197">
        <f t="shared" si="4"/>
        <v>-0.78071428571428592</v>
      </c>
      <c r="AI45" s="197">
        <f t="shared" si="5"/>
        <v>0.4674999999999998</v>
      </c>
      <c r="AJ45" s="194"/>
      <c r="AK45" s="198"/>
      <c r="BI45" s="194"/>
      <c r="BJ45" s="197"/>
      <c r="BM45" s="215"/>
      <c r="BN45" s="215"/>
      <c r="BO45" s="215" t="str">
        <v>Wurth 744771215  [150µH]</v>
      </c>
      <c r="DD45" s="194"/>
      <c r="DE45" s="194"/>
      <c r="DF45" s="194"/>
      <c r="DG45" s="194"/>
      <c r="DH45" s="194"/>
      <c r="DI45" s="194"/>
      <c r="DJ45" s="194"/>
      <c r="DK45" s="194"/>
      <c r="DL45" s="194"/>
      <c r="DM45" s="194"/>
      <c r="DN45" s="194"/>
      <c r="DO45" s="194"/>
      <c r="DP45" s="194"/>
      <c r="DQ45" s="194"/>
      <c r="DR45" s="194"/>
      <c r="DS45" s="194"/>
      <c r="DT45" s="194"/>
      <c r="DU45" s="194"/>
      <c r="DV45" s="194"/>
      <c r="DW45" s="194"/>
      <c r="DX45" s="194"/>
      <c r="DY45" s="194"/>
      <c r="DZ45" s="194"/>
      <c r="EA45" s="194"/>
      <c r="EB45" s="194"/>
    </row>
    <row r="46" spans="1:134" x14ac:dyDescent="0.2">
      <c r="B46" s="158" t="s">
        <v>655</v>
      </c>
      <c r="C46" s="159" t="s">
        <v>697</v>
      </c>
      <c r="D46" s="160">
        <f>IF($C$43="CUSTOM", F46,VLOOKUP($C$44,SCHOTTKIES,4,FALSE))</f>
        <v>100</v>
      </c>
      <c r="E46" s="161" t="s">
        <v>0</v>
      </c>
      <c r="F46" s="190">
        <v>40</v>
      </c>
      <c r="H46" s="150"/>
      <c r="I46" s="150"/>
      <c r="R46" s="237" t="s">
        <v>188</v>
      </c>
      <c r="S46" s="237" t="s">
        <v>187</v>
      </c>
      <c r="T46" s="242">
        <f>1+4*(VADJ/1.25)</f>
        <v>5</v>
      </c>
      <c r="U46" s="237" t="s">
        <v>32</v>
      </c>
      <c r="V46" s="239">
        <v>35</v>
      </c>
      <c r="W46" s="239"/>
      <c r="X46" s="194"/>
      <c r="Z46" s="199" t="s">
        <v>316</v>
      </c>
      <c r="AA46" s="199">
        <f t="shared" si="6"/>
        <v>40</v>
      </c>
      <c r="AB46" s="199" t="s">
        <v>299</v>
      </c>
      <c r="AC46" s="199">
        <v>220</v>
      </c>
      <c r="AD46" s="199">
        <v>290</v>
      </c>
      <c r="AE46" s="199">
        <v>1.2</v>
      </c>
      <c r="AF46" s="197">
        <f t="shared" si="3"/>
        <v>145.30363064731472</v>
      </c>
      <c r="AG46" s="218"/>
      <c r="AH46" s="197">
        <f t="shared" si="4"/>
        <v>-0.67571428571428593</v>
      </c>
      <c r="AI46" s="197">
        <f t="shared" si="5"/>
        <v>0.23749999999999982</v>
      </c>
      <c r="AJ46" s="194"/>
      <c r="AK46" s="198"/>
      <c r="BI46" s="194"/>
      <c r="BJ46" s="197"/>
      <c r="BM46" s="215"/>
      <c r="BN46" s="215"/>
      <c r="BO46" s="215" t="str">
        <v>Wurth 744771220  [220µH]</v>
      </c>
      <c r="DD46" s="194"/>
      <c r="DE46" s="194"/>
      <c r="DF46" s="194"/>
      <c r="DG46" s="194"/>
      <c r="DH46" s="194"/>
      <c r="DI46" s="194"/>
      <c r="DJ46" s="194"/>
      <c r="DK46" s="194"/>
      <c r="DL46" s="194"/>
      <c r="DM46" s="194"/>
      <c r="DN46" s="194"/>
      <c r="DO46" s="194"/>
      <c r="DP46" s="194"/>
      <c r="DQ46" s="194"/>
      <c r="DR46" s="194"/>
      <c r="DS46" s="194"/>
      <c r="DT46" s="194"/>
      <c r="DU46" s="194"/>
      <c r="DV46" s="194"/>
      <c r="DW46" s="194"/>
      <c r="DX46" s="194"/>
      <c r="DY46" s="194"/>
      <c r="DZ46" s="194"/>
      <c r="EA46" s="194"/>
      <c r="EB46" s="194"/>
    </row>
    <row r="47" spans="1:134" x14ac:dyDescent="0.2">
      <c r="B47" s="158" t="s">
        <v>657</v>
      </c>
      <c r="C47" s="159" t="s">
        <v>698</v>
      </c>
      <c r="D47" s="160">
        <f>IF($C$43="CUSTOM", F47,VLOOKUP($C$44,SCHOTTKIES,5,FALSE))</f>
        <v>2</v>
      </c>
      <c r="E47" s="161" t="s">
        <v>2</v>
      </c>
      <c r="F47" s="190">
        <v>3</v>
      </c>
      <c r="H47" s="150"/>
      <c r="I47" s="150"/>
      <c r="R47" s="237" t="s">
        <v>189</v>
      </c>
      <c r="S47" s="237" t="s">
        <v>190</v>
      </c>
      <c r="T47" s="242">
        <f>3+12*(VADJ/1.25)</f>
        <v>15</v>
      </c>
      <c r="U47" s="237" t="s">
        <v>32</v>
      </c>
      <c r="V47" s="239">
        <v>35</v>
      </c>
      <c r="W47" s="239"/>
      <c r="X47" s="194"/>
      <c r="Z47" s="199" t="s">
        <v>317</v>
      </c>
      <c r="AA47" s="199">
        <f t="shared" si="6"/>
        <v>41</v>
      </c>
      <c r="AB47" s="199" t="s">
        <v>299</v>
      </c>
      <c r="AC47" s="199">
        <v>330</v>
      </c>
      <c r="AD47" s="199">
        <v>442</v>
      </c>
      <c r="AE47" s="199">
        <v>0.97</v>
      </c>
      <c r="AF47" s="197">
        <f t="shared" si="3"/>
        <v>255.30363064731472</v>
      </c>
      <c r="AG47" s="218"/>
      <c r="AH47" s="197">
        <f t="shared" si="4"/>
        <v>-0.5237142857142858</v>
      </c>
      <c r="AI47" s="197">
        <f t="shared" si="5"/>
        <v>7.4999999999998401E-3</v>
      </c>
      <c r="AJ47" s="244"/>
      <c r="AK47" s="198"/>
      <c r="BI47" s="194"/>
      <c r="BJ47" s="197"/>
      <c r="BM47" s="215"/>
      <c r="BN47" s="215"/>
      <c r="BO47" s="215" t="str">
        <v>Wurth 744771233  [330µH]</v>
      </c>
      <c r="DD47" s="194"/>
      <c r="DE47" s="194"/>
      <c r="DF47" s="194"/>
      <c r="DG47" s="194"/>
      <c r="DH47" s="194"/>
      <c r="DI47" s="194"/>
      <c r="DJ47" s="194"/>
      <c r="DK47" s="194"/>
      <c r="DL47" s="194"/>
      <c r="DM47" s="194"/>
      <c r="DN47" s="194"/>
      <c r="DO47" s="194"/>
      <c r="DP47" s="194"/>
      <c r="DQ47" s="194"/>
      <c r="DR47" s="194"/>
      <c r="DS47" s="194"/>
      <c r="DT47" s="194"/>
      <c r="DU47" s="194"/>
      <c r="DV47" s="194"/>
      <c r="DW47" s="194"/>
      <c r="DX47" s="194"/>
      <c r="DY47" s="194"/>
      <c r="DZ47" s="194"/>
      <c r="EA47" s="194"/>
      <c r="EB47" s="194"/>
    </row>
    <row r="48" spans="1:134" x14ac:dyDescent="0.2">
      <c r="B48" s="163" t="s">
        <v>659</v>
      </c>
      <c r="C48" s="164" t="s">
        <v>696</v>
      </c>
      <c r="D48" s="165">
        <f>IF($C$43="CUSTOM", F48,VLOOKUP($C$44,SCHOTTKIES,6,FALSE))</f>
        <v>0.15</v>
      </c>
      <c r="E48" s="166" t="s">
        <v>699</v>
      </c>
      <c r="F48" s="190">
        <v>20</v>
      </c>
      <c r="H48" s="150"/>
      <c r="I48" s="150"/>
      <c r="X48" s="194"/>
      <c r="Z48" s="199" t="s">
        <v>318</v>
      </c>
      <c r="AA48" s="199">
        <f t="shared" si="6"/>
        <v>42</v>
      </c>
      <c r="AB48" s="199" t="s">
        <v>299</v>
      </c>
      <c r="AC48" s="199">
        <v>470</v>
      </c>
      <c r="AD48" s="199">
        <v>660</v>
      </c>
      <c r="AE48" s="199">
        <v>0.8</v>
      </c>
      <c r="AF48" s="197">
        <f t="shared" si="3"/>
        <v>395.30363064731472</v>
      </c>
      <c r="AG48" s="218"/>
      <c r="AH48" s="197">
        <f t="shared" si="4"/>
        <v>-0.30571428571428583</v>
      </c>
      <c r="AI48" s="197">
        <f t="shared" si="5"/>
        <v>-0.16250000000000009</v>
      </c>
      <c r="AJ48" s="244"/>
      <c r="AK48" s="198"/>
      <c r="BI48" s="194"/>
      <c r="BJ48" s="197"/>
      <c r="BM48" s="215"/>
      <c r="BN48" s="215"/>
      <c r="BO48" s="215" t="str">
        <v>Wurth 74477124  [470µH]</v>
      </c>
      <c r="DD48" s="194"/>
      <c r="DE48" s="194"/>
      <c r="DF48" s="194"/>
      <c r="DG48" s="194"/>
      <c r="DH48" s="194"/>
      <c r="DI48" s="194"/>
      <c r="DJ48" s="194"/>
      <c r="DK48" s="194"/>
      <c r="DL48" s="194"/>
      <c r="DM48" s="194"/>
      <c r="DN48" s="194"/>
      <c r="DO48" s="194"/>
      <c r="DP48" s="194"/>
      <c r="DQ48" s="194"/>
      <c r="DR48" s="194"/>
      <c r="DS48" s="194"/>
      <c r="DT48" s="194"/>
      <c r="DU48" s="194"/>
      <c r="DV48" s="194"/>
      <c r="DW48" s="194"/>
      <c r="DX48" s="194"/>
      <c r="DY48" s="194"/>
      <c r="DZ48" s="194"/>
      <c r="EA48" s="194"/>
      <c r="EB48" s="194"/>
    </row>
    <row r="49" spans="2:134" x14ac:dyDescent="0.2">
      <c r="B49" s="163" t="s">
        <v>650</v>
      </c>
      <c r="C49" s="164" t="s">
        <v>693</v>
      </c>
      <c r="D49" s="165">
        <f>IF($C$43="CUSTOM", F49,VLOOKUP($C$44,SCHOTTKIES,8,FALSE))</f>
        <v>75</v>
      </c>
      <c r="E49" s="166" t="s">
        <v>675</v>
      </c>
      <c r="F49" s="190">
        <v>100</v>
      </c>
      <c r="H49" s="150"/>
      <c r="I49" s="150"/>
      <c r="R49" s="245" t="s">
        <v>144</v>
      </c>
      <c r="S49" s="219"/>
      <c r="T49" s="246"/>
      <c r="U49" s="219"/>
      <c r="V49" s="247"/>
      <c r="W49" s="247"/>
      <c r="X49" s="194"/>
      <c r="Z49" s="199" t="s">
        <v>319</v>
      </c>
      <c r="AA49" s="199">
        <f t="shared" si="6"/>
        <v>43</v>
      </c>
      <c r="AB49" s="199" t="s">
        <v>320</v>
      </c>
      <c r="AC49" s="199">
        <v>10</v>
      </c>
      <c r="AD49" s="199">
        <v>19</v>
      </c>
      <c r="AE49" s="199">
        <v>6.6</v>
      </c>
      <c r="AF49" s="197">
        <f t="shared" si="3"/>
        <v>-64.696369352685281</v>
      </c>
      <c r="AG49" s="218"/>
      <c r="AH49" s="197">
        <f t="shared" si="4"/>
        <v>-0.94671428571428584</v>
      </c>
      <c r="AI49" s="197">
        <f t="shared" si="5"/>
        <v>5.6374999999999993</v>
      </c>
      <c r="AJ49" s="244"/>
      <c r="AK49" s="198"/>
      <c r="BI49" s="194"/>
      <c r="BJ49" s="197"/>
      <c r="BM49" s="215"/>
      <c r="BN49" s="215"/>
      <c r="BO49" s="215" t="str">
        <v>Wurth 74477010  [10µH]</v>
      </c>
      <c r="DD49" s="194"/>
      <c r="DE49" s="194"/>
      <c r="DF49" s="194"/>
      <c r="DG49" s="194"/>
      <c r="DH49" s="194"/>
      <c r="DI49" s="194"/>
      <c r="DJ49" s="194"/>
      <c r="DK49" s="194"/>
      <c r="DL49" s="194"/>
      <c r="DM49" s="194"/>
      <c r="DN49" s="194"/>
      <c r="DO49" s="194"/>
      <c r="DP49" s="194"/>
      <c r="DQ49" s="194"/>
      <c r="DR49" s="194"/>
      <c r="DS49" s="194"/>
      <c r="DT49" s="194"/>
      <c r="DU49" s="194"/>
      <c r="DV49" s="194"/>
      <c r="DW49" s="194"/>
      <c r="DX49" s="194"/>
      <c r="DY49" s="194"/>
      <c r="DZ49" s="194"/>
      <c r="EA49" s="194"/>
      <c r="EB49" s="194"/>
    </row>
    <row r="50" spans="2:134" x14ac:dyDescent="0.2">
      <c r="B50" s="163" t="s">
        <v>651</v>
      </c>
      <c r="C50" s="164" t="s">
        <v>694</v>
      </c>
      <c r="D50" s="165">
        <f>IF($C$43="CUSTOM", F50,VLOOKUP($C$44,SCHOTTKIES,9,FALSE))</f>
        <v>150</v>
      </c>
      <c r="E50" s="166" t="s">
        <v>37</v>
      </c>
      <c r="F50" s="190">
        <v>150</v>
      </c>
      <c r="H50" s="150"/>
      <c r="I50" s="150"/>
      <c r="R50" s="219" t="s">
        <v>38</v>
      </c>
      <c r="S50" s="219" t="s">
        <v>191</v>
      </c>
      <c r="T50" s="246">
        <f>D55</f>
        <v>68</v>
      </c>
      <c r="U50" s="219" t="s">
        <v>28</v>
      </c>
      <c r="V50" s="247"/>
      <c r="W50" s="247"/>
      <c r="X50" s="194"/>
      <c r="Z50" s="199" t="s">
        <v>321</v>
      </c>
      <c r="AA50" s="199">
        <f t="shared" si="6"/>
        <v>44</v>
      </c>
      <c r="AB50" s="199" t="s">
        <v>320</v>
      </c>
      <c r="AC50" s="199">
        <v>15</v>
      </c>
      <c r="AD50" s="199">
        <v>24</v>
      </c>
      <c r="AE50" s="199">
        <v>6</v>
      </c>
      <c r="AF50" s="197">
        <f t="shared" si="3"/>
        <v>-59.696369352685281</v>
      </c>
      <c r="AG50" s="218"/>
      <c r="AH50" s="197">
        <f t="shared" si="4"/>
        <v>-0.94171428571428584</v>
      </c>
      <c r="AI50" s="197">
        <f t="shared" si="5"/>
        <v>5.0374999999999996</v>
      </c>
      <c r="AJ50" s="194"/>
      <c r="AL50" s="198"/>
      <c r="BI50" s="194"/>
      <c r="BK50" s="197"/>
      <c r="BM50" s="215"/>
      <c r="BN50" s="215"/>
      <c r="BO50" s="215" t="str">
        <v>Wurth 744770115  [15µH]</v>
      </c>
      <c r="DD50" s="194"/>
      <c r="DE50" s="194"/>
      <c r="DF50" s="194"/>
      <c r="DG50" s="194"/>
      <c r="DH50" s="194"/>
      <c r="DI50" s="194"/>
      <c r="DJ50" s="194"/>
      <c r="DK50" s="194"/>
      <c r="DL50" s="194"/>
      <c r="DM50" s="194"/>
      <c r="DN50" s="194"/>
      <c r="DO50" s="194"/>
      <c r="DP50" s="194"/>
      <c r="DQ50" s="194"/>
      <c r="DR50" s="194"/>
      <c r="DS50" s="194"/>
      <c r="DT50" s="194"/>
      <c r="DU50" s="194"/>
      <c r="DV50" s="194"/>
      <c r="DW50" s="194"/>
      <c r="DX50" s="194"/>
      <c r="DY50" s="194"/>
      <c r="DZ50" s="194"/>
      <c r="EA50" s="194"/>
      <c r="EB50" s="194"/>
    </row>
    <row r="51" spans="2:134" ht="14" thickBot="1" x14ac:dyDescent="0.25">
      <c r="B51" s="167"/>
      <c r="C51" s="168" t="s">
        <v>652</v>
      </c>
      <c r="D51" s="169" t="str">
        <f>IF($C$43="CUSTOM", F51,VLOOKUP($C$44,SCHOTTKIES,3,FALSE))</f>
        <v>SMB</v>
      </c>
      <c r="E51" s="170"/>
      <c r="F51" s="191" t="s">
        <v>709</v>
      </c>
      <c r="H51" s="150"/>
      <c r="I51" s="150"/>
      <c r="R51" s="219" t="s">
        <v>401</v>
      </c>
      <c r="S51" s="219" t="s">
        <v>399</v>
      </c>
      <c r="T51" s="248">
        <f t="array" ref="T51">INDEX(SenseResistors,MATCH(MIN(ABS(SenseResistors-RSINIT*2)),ABS(SenseResistors-RSINIT*2),0),1)</f>
        <v>0.5</v>
      </c>
      <c r="U51" s="219" t="s">
        <v>404</v>
      </c>
      <c r="V51" s="247" t="s">
        <v>174</v>
      </c>
      <c r="W51" s="247"/>
      <c r="X51" s="194"/>
      <c r="Z51" s="199" t="s">
        <v>322</v>
      </c>
      <c r="AA51" s="199">
        <f t="shared" si="6"/>
        <v>45</v>
      </c>
      <c r="AB51" s="199" t="s">
        <v>320</v>
      </c>
      <c r="AC51" s="199">
        <v>22</v>
      </c>
      <c r="AD51" s="199">
        <v>33</v>
      </c>
      <c r="AE51" s="199">
        <v>5</v>
      </c>
      <c r="AF51" s="197">
        <f t="shared" si="3"/>
        <v>-52.696369352685281</v>
      </c>
      <c r="AG51" s="218"/>
      <c r="AH51" s="197">
        <f t="shared" si="4"/>
        <v>-0.93271428571428583</v>
      </c>
      <c r="AI51" s="197">
        <f t="shared" si="5"/>
        <v>4.0374999999999996</v>
      </c>
      <c r="AJ51" s="194"/>
      <c r="AL51" s="198"/>
      <c r="BI51" s="194"/>
      <c r="BK51" s="197"/>
      <c r="BM51" s="215"/>
      <c r="BN51" s="215"/>
      <c r="BO51" s="215" t="str">
        <v>Wurth 744770122  [22µH]</v>
      </c>
      <c r="DD51" s="194"/>
      <c r="DE51" s="194"/>
      <c r="DF51" s="194"/>
      <c r="DG51" s="194"/>
      <c r="DH51" s="194"/>
      <c r="DI51" s="194"/>
      <c r="DJ51" s="194"/>
      <c r="DK51" s="194"/>
      <c r="DL51" s="194"/>
      <c r="DM51" s="194"/>
      <c r="DN51" s="194"/>
      <c r="DO51" s="194"/>
      <c r="DP51" s="194"/>
      <c r="DQ51" s="194"/>
      <c r="DR51" s="194"/>
      <c r="DS51" s="194"/>
      <c r="DT51" s="194"/>
      <c r="DU51" s="194"/>
      <c r="DV51" s="194"/>
      <c r="DW51" s="194"/>
      <c r="DX51" s="194"/>
      <c r="DY51" s="194"/>
      <c r="DZ51" s="194"/>
      <c r="EA51" s="194"/>
      <c r="EB51" s="194"/>
    </row>
    <row r="52" spans="2:134" x14ac:dyDescent="0.2">
      <c r="B52" s="291" t="s">
        <v>660</v>
      </c>
      <c r="C52" s="292"/>
      <c r="D52" s="292"/>
      <c r="E52" s="293"/>
      <c r="F52" s="183" t="s">
        <v>678</v>
      </c>
      <c r="H52" s="150"/>
      <c r="I52" s="150"/>
      <c r="R52" s="247" t="s">
        <v>402</v>
      </c>
      <c r="S52" s="247" t="s">
        <v>400</v>
      </c>
      <c r="T52" s="248">
        <f>1/((1/RSINIT)-(1/T51))</f>
        <v>0.53883495145631033</v>
      </c>
      <c r="U52" s="247" t="s">
        <v>404</v>
      </c>
      <c r="V52" s="247"/>
      <c r="W52" s="247"/>
      <c r="X52" s="194"/>
      <c r="Z52" s="199" t="s">
        <v>323</v>
      </c>
      <c r="AA52" s="199">
        <f t="shared" si="6"/>
        <v>46</v>
      </c>
      <c r="AB52" s="199" t="s">
        <v>320</v>
      </c>
      <c r="AC52" s="199">
        <v>33</v>
      </c>
      <c r="AD52" s="199">
        <v>47</v>
      </c>
      <c r="AE52" s="199">
        <v>3.6</v>
      </c>
      <c r="AF52" s="197">
        <f t="shared" si="3"/>
        <v>-41.696369352685281</v>
      </c>
      <c r="AG52" s="218"/>
      <c r="AH52" s="197">
        <f t="shared" si="4"/>
        <v>-0.91871428571428582</v>
      </c>
      <c r="AI52" s="197">
        <f t="shared" si="5"/>
        <v>2.6375000000000002</v>
      </c>
      <c r="AJ52" s="194"/>
      <c r="AL52" s="198"/>
      <c r="BI52" s="194"/>
      <c r="BK52" s="197"/>
      <c r="BM52" s="215"/>
      <c r="BN52" s="215"/>
      <c r="BO52" s="215" t="str">
        <v>Wurth 744770133  [33µH]</v>
      </c>
      <c r="DD52" s="194"/>
      <c r="DE52" s="194"/>
      <c r="DF52" s="194"/>
      <c r="DG52" s="194"/>
      <c r="DH52" s="194"/>
      <c r="DI52" s="194"/>
      <c r="DJ52" s="194"/>
      <c r="DK52" s="194"/>
      <c r="DL52" s="194"/>
      <c r="DM52" s="194"/>
      <c r="DN52" s="194"/>
      <c r="DO52" s="194"/>
      <c r="DP52" s="194"/>
      <c r="DQ52" s="194"/>
      <c r="DR52" s="194"/>
      <c r="DS52" s="194"/>
      <c r="DT52" s="194"/>
      <c r="DU52" s="194"/>
      <c r="DV52" s="194"/>
      <c r="DW52" s="194"/>
      <c r="DX52" s="194"/>
      <c r="DY52" s="194"/>
      <c r="DZ52" s="194"/>
      <c r="EA52" s="194"/>
      <c r="EB52" s="194"/>
    </row>
    <row r="53" spans="2:134" s="53" customFormat="1" x14ac:dyDescent="0.2">
      <c r="B53" s="172" t="s">
        <v>638</v>
      </c>
      <c r="C53" s="294" t="s">
        <v>639</v>
      </c>
      <c r="D53" s="295"/>
      <c r="E53" s="296"/>
      <c r="F53" s="181"/>
      <c r="H53" s="123"/>
      <c r="I53" s="123"/>
      <c r="L53" s="249"/>
      <c r="M53" s="249"/>
      <c r="N53" s="249"/>
      <c r="O53" s="249"/>
      <c r="P53" s="249"/>
      <c r="Q53" s="250"/>
      <c r="R53" s="219" t="s">
        <v>403</v>
      </c>
      <c r="S53" s="219" t="s">
        <v>398</v>
      </c>
      <c r="T53" s="248">
        <f t="array" ref="T53">INDEX(SenseResistors,MATCH(MIN(ABS(SenseResistors-VALR2INIT)),ABS(SenseResistors-VALR2INIT),0),1)</f>
        <v>0.56000000000000005</v>
      </c>
      <c r="U53" s="219" t="s">
        <v>404</v>
      </c>
      <c r="V53" s="219"/>
      <c r="W53" s="219"/>
      <c r="X53" s="249"/>
      <c r="Y53" s="251"/>
      <c r="Z53" s="199" t="s">
        <v>324</v>
      </c>
      <c r="AA53" s="199">
        <f t="shared" si="6"/>
        <v>47</v>
      </c>
      <c r="AB53" s="199" t="s">
        <v>320</v>
      </c>
      <c r="AC53" s="199">
        <v>47</v>
      </c>
      <c r="AD53" s="199">
        <v>76</v>
      </c>
      <c r="AE53" s="199">
        <v>3</v>
      </c>
      <c r="AF53" s="197">
        <f t="shared" si="3"/>
        <v>-27.696369352685281</v>
      </c>
      <c r="AG53" s="218"/>
      <c r="AH53" s="197">
        <f t="shared" si="4"/>
        <v>-0.8897142857142859</v>
      </c>
      <c r="AI53" s="197">
        <f t="shared" si="5"/>
        <v>2.0374999999999996</v>
      </c>
      <c r="AJ53" s="228"/>
      <c r="AK53" s="228"/>
      <c r="AL53" s="252"/>
      <c r="AM53" s="228"/>
      <c r="AN53" s="228"/>
      <c r="AO53" s="194"/>
      <c r="AP53" s="228"/>
      <c r="AQ53" s="228"/>
      <c r="AR53" s="228"/>
      <c r="AS53" s="228"/>
      <c r="AT53" s="228"/>
      <c r="AU53" s="228"/>
      <c r="AV53" s="228"/>
      <c r="AW53" s="228"/>
      <c r="AX53" s="228"/>
      <c r="AY53" s="253"/>
      <c r="AZ53" s="228"/>
      <c r="BA53" s="228"/>
      <c r="BB53" s="228"/>
      <c r="BC53" s="228"/>
      <c r="BD53" s="228"/>
      <c r="BE53" s="228"/>
      <c r="BF53" s="228"/>
      <c r="BG53" s="228"/>
      <c r="BH53" s="228"/>
      <c r="BI53" s="228"/>
      <c r="BJ53" s="228"/>
      <c r="BK53" s="253"/>
      <c r="BL53" s="228"/>
      <c r="BM53" s="254"/>
      <c r="BN53" s="254"/>
      <c r="BO53" s="254" t="str">
        <v>Wurth 744770147  [47µH]</v>
      </c>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49"/>
      <c r="ED53" s="249"/>
    </row>
    <row r="54" spans="2:134" s="53" customFormat="1" x14ac:dyDescent="0.2">
      <c r="B54" s="156" t="s">
        <v>640</v>
      </c>
      <c r="C54" s="297" t="str">
        <f>IF(C53&lt;&gt;"CUSTOM",IF(C53="AUTOMATIC",COIL_CHOICE1,C53),"enter your custom inductor parameters:")</f>
        <v>Coilcraft MSS1246-683ML [68µH]</v>
      </c>
      <c r="D54" s="298"/>
      <c r="E54" s="157"/>
      <c r="F54" s="189" t="s">
        <v>683</v>
      </c>
      <c r="L54" s="249"/>
      <c r="M54" s="249"/>
      <c r="N54" s="249"/>
      <c r="O54" s="249"/>
      <c r="P54" s="249"/>
      <c r="Q54" s="250"/>
      <c r="R54" s="219" t="s">
        <v>23</v>
      </c>
      <c r="S54" s="219" t="s">
        <v>405</v>
      </c>
      <c r="T54" s="255">
        <f>VALR1*VALR2/(VALR1+VALR2)</f>
        <v>0.26415094339622641</v>
      </c>
      <c r="U54" s="219" t="s">
        <v>3</v>
      </c>
      <c r="V54" s="219"/>
      <c r="W54" s="219"/>
      <c r="X54" s="249"/>
      <c r="Y54" s="251"/>
      <c r="Z54" s="199" t="s">
        <v>325</v>
      </c>
      <c r="AA54" s="199">
        <f t="shared" si="6"/>
        <v>48</v>
      </c>
      <c r="AB54" s="199" t="s">
        <v>320</v>
      </c>
      <c r="AC54" s="199">
        <v>68</v>
      </c>
      <c r="AD54" s="199">
        <v>90</v>
      </c>
      <c r="AE54" s="199">
        <v>2.5</v>
      </c>
      <c r="AF54" s="197">
        <f t="shared" si="3"/>
        <v>-6.6963693526852808</v>
      </c>
      <c r="AG54" s="218"/>
      <c r="AH54" s="197">
        <f t="shared" si="4"/>
        <v>-0.87571428571428589</v>
      </c>
      <c r="AI54" s="197">
        <f t="shared" si="5"/>
        <v>1.5374999999999999</v>
      </c>
      <c r="AJ54" s="228"/>
      <c r="AK54" s="252"/>
      <c r="AL54" s="228"/>
      <c r="AM54" s="228"/>
      <c r="AN54" s="228"/>
      <c r="AO54" s="194"/>
      <c r="AP54" s="228"/>
      <c r="AQ54" s="228"/>
      <c r="AR54" s="228"/>
      <c r="AS54" s="228"/>
      <c r="AT54" s="228"/>
      <c r="AU54" s="228"/>
      <c r="AV54" s="228"/>
      <c r="AW54" s="228"/>
      <c r="AX54" s="228"/>
      <c r="AY54" s="253"/>
      <c r="AZ54" s="228"/>
      <c r="BA54" s="228"/>
      <c r="BB54" s="228"/>
      <c r="BC54" s="228"/>
      <c r="BD54" s="228"/>
      <c r="BE54" s="228"/>
      <c r="BF54" s="228"/>
      <c r="BG54" s="228"/>
      <c r="BH54" s="228"/>
      <c r="BI54" s="228"/>
      <c r="BJ54" s="253"/>
      <c r="BK54" s="228"/>
      <c r="BL54" s="228"/>
      <c r="BM54" s="254"/>
      <c r="BN54" s="254"/>
      <c r="BO54" s="254" t="str">
        <v>Wurth 744770168  [68µH]</v>
      </c>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49"/>
      <c r="ED54" s="249"/>
    </row>
    <row r="55" spans="2:134" s="53" customFormat="1" x14ac:dyDescent="0.2">
      <c r="B55" s="158" t="s">
        <v>418</v>
      </c>
      <c r="C55" s="159" t="s">
        <v>661</v>
      </c>
      <c r="D55" s="160">
        <f>IF(C53="CUSTOM", F55,VLOOKUP($C$54,COILS,4,FALSE))</f>
        <v>68</v>
      </c>
      <c r="E55" s="161" t="s">
        <v>662</v>
      </c>
      <c r="F55" s="190">
        <v>47</v>
      </c>
      <c r="L55" s="249"/>
      <c r="M55" s="249"/>
      <c r="N55" s="249"/>
      <c r="O55" s="249"/>
      <c r="P55" s="249"/>
      <c r="Q55" s="250"/>
      <c r="R55" s="219"/>
      <c r="S55" s="219"/>
      <c r="T55" s="219"/>
      <c r="U55" s="219"/>
      <c r="V55" s="219"/>
      <c r="W55" s="219"/>
      <c r="X55" s="249"/>
      <c r="Y55" s="251"/>
      <c r="Z55" s="199" t="s">
        <v>326</v>
      </c>
      <c r="AA55" s="199">
        <f t="shared" si="6"/>
        <v>49</v>
      </c>
      <c r="AB55" s="199" t="s">
        <v>320</v>
      </c>
      <c r="AC55" s="199">
        <v>100</v>
      </c>
      <c r="AD55" s="199">
        <v>102</v>
      </c>
      <c r="AE55" s="199">
        <v>2.4</v>
      </c>
      <c r="AF55" s="197">
        <f t="shared" si="3"/>
        <v>25.303630647314719</v>
      </c>
      <c r="AG55" s="218"/>
      <c r="AH55" s="197">
        <f t="shared" si="4"/>
        <v>-0.86371428571428588</v>
      </c>
      <c r="AI55" s="197">
        <f t="shared" si="5"/>
        <v>1.4374999999999998</v>
      </c>
      <c r="AJ55" s="228"/>
      <c r="AK55" s="252"/>
      <c r="AL55" s="228"/>
      <c r="AM55" s="228"/>
      <c r="AN55" s="228"/>
      <c r="AO55" s="194"/>
      <c r="AP55" s="228"/>
      <c r="AQ55" s="228"/>
      <c r="AR55" s="228"/>
      <c r="AS55" s="228"/>
      <c r="AT55" s="228"/>
      <c r="AU55" s="228"/>
      <c r="AV55" s="228"/>
      <c r="AW55" s="228"/>
      <c r="AX55" s="228"/>
      <c r="AY55" s="253"/>
      <c r="AZ55" s="228"/>
      <c r="BA55" s="228"/>
      <c r="BB55" s="228"/>
      <c r="BC55" s="228"/>
      <c r="BD55" s="228"/>
      <c r="BE55" s="228"/>
      <c r="BF55" s="228"/>
      <c r="BG55" s="228"/>
      <c r="BH55" s="228"/>
      <c r="BI55" s="228"/>
      <c r="BJ55" s="253"/>
      <c r="BK55" s="228"/>
      <c r="BL55" s="228"/>
      <c r="BM55" s="254"/>
      <c r="BN55" s="254"/>
      <c r="BO55" s="254" t="str">
        <v>Wurth 74477020 [100µH]</v>
      </c>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49"/>
      <c r="ED55" s="249"/>
    </row>
    <row r="56" spans="2:134" s="53" customFormat="1" x14ac:dyDescent="0.2">
      <c r="B56" s="158" t="s">
        <v>656</v>
      </c>
      <c r="C56" s="175" t="s">
        <v>663</v>
      </c>
      <c r="D56" s="160">
        <f>IF(C53="CUSTOM", F56,VLOOKUP($C$54,COILS,5,FALSE))</f>
        <v>167.3</v>
      </c>
      <c r="E56" s="161" t="s">
        <v>670</v>
      </c>
      <c r="F56" s="190">
        <v>200</v>
      </c>
      <c r="L56" s="249"/>
      <c r="M56" s="249"/>
      <c r="N56" s="249"/>
      <c r="O56" s="249"/>
      <c r="P56" s="249"/>
      <c r="Q56" s="250"/>
      <c r="R56" s="219" t="s">
        <v>152</v>
      </c>
      <c r="S56" s="219" t="s">
        <v>153</v>
      </c>
      <c r="T56" s="248">
        <f>IF(CONFIG="BUCK",1,RS*(1.25/VADJ)*(ILED/VSNOM))</f>
        <v>0.3522012578616352</v>
      </c>
      <c r="U56" s="219"/>
      <c r="V56" s="247" t="s">
        <v>154</v>
      </c>
      <c r="W56" s="247"/>
      <c r="X56" s="249"/>
      <c r="Y56" s="251"/>
      <c r="Z56" s="199" t="s">
        <v>327</v>
      </c>
      <c r="AA56" s="199">
        <f t="shared" si="6"/>
        <v>50</v>
      </c>
      <c r="AB56" s="199" t="s">
        <v>320</v>
      </c>
      <c r="AC56" s="199">
        <v>150</v>
      </c>
      <c r="AD56" s="199">
        <v>136</v>
      </c>
      <c r="AE56" s="199">
        <v>1.8</v>
      </c>
      <c r="AF56" s="197">
        <f t="shared" si="3"/>
        <v>75.303630647314719</v>
      </c>
      <c r="AG56" s="218"/>
      <c r="AH56" s="197">
        <f t="shared" si="4"/>
        <v>-0.82971428571428585</v>
      </c>
      <c r="AI56" s="197">
        <f t="shared" si="5"/>
        <v>0.83749999999999991</v>
      </c>
      <c r="AJ56" s="228"/>
      <c r="AK56" s="252"/>
      <c r="AL56" s="228"/>
      <c r="AM56" s="228"/>
      <c r="AN56" s="228"/>
      <c r="AO56" s="228"/>
      <c r="AP56" s="228"/>
      <c r="AQ56" s="228"/>
      <c r="AR56" s="228"/>
      <c r="AS56" s="228"/>
      <c r="AT56" s="228"/>
      <c r="AU56" s="228"/>
      <c r="AV56" s="228"/>
      <c r="AW56" s="228"/>
      <c r="AX56" s="228"/>
      <c r="AY56" s="253"/>
      <c r="AZ56" s="228"/>
      <c r="BA56" s="228"/>
      <c r="BB56" s="228"/>
      <c r="BC56" s="228"/>
      <c r="BD56" s="228"/>
      <c r="BE56" s="228"/>
      <c r="BF56" s="228"/>
      <c r="BG56" s="228"/>
      <c r="BH56" s="228"/>
      <c r="BI56" s="228"/>
      <c r="BJ56" s="253"/>
      <c r="BK56" s="228"/>
      <c r="BL56" s="228"/>
      <c r="BM56" s="254"/>
      <c r="BN56" s="254"/>
      <c r="BO56" s="254" t="str">
        <v>Wurth 744770215  [150µH]</v>
      </c>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49"/>
      <c r="ED56" s="249"/>
    </row>
    <row r="57" spans="2:134" s="53" customFormat="1" ht="14" thickBot="1" x14ac:dyDescent="0.25">
      <c r="B57" s="158" t="s">
        <v>658</v>
      </c>
      <c r="C57" s="159" t="s">
        <v>664</v>
      </c>
      <c r="D57" s="160">
        <f>IF(C53="CUSTOM", F57,VLOOKUP($C$54,COILS,6,FALSE))</f>
        <v>2.1</v>
      </c>
      <c r="E57" s="161" t="s">
        <v>2</v>
      </c>
      <c r="F57" s="191">
        <v>1</v>
      </c>
      <c r="L57" s="249"/>
      <c r="M57" s="249"/>
      <c r="N57" s="249"/>
      <c r="O57" s="249"/>
      <c r="P57" s="249"/>
      <c r="Q57" s="250"/>
      <c r="R57" s="219" t="s">
        <v>24</v>
      </c>
      <c r="S57" s="219" t="s">
        <v>173</v>
      </c>
      <c r="T57" s="256">
        <f>IF(CONFIG="BUCK","Not used",INDEX(RGI1range, MATCH(MIN(GIERR), GIERR, 0),1))</f>
        <v>82</v>
      </c>
      <c r="U57" s="219" t="s">
        <v>25</v>
      </c>
      <c r="V57" s="247" t="s">
        <v>174</v>
      </c>
      <c r="W57" s="247" t="s">
        <v>157</v>
      </c>
      <c r="X57" s="249"/>
      <c r="Y57" s="251"/>
      <c r="Z57" s="199" t="s">
        <v>328</v>
      </c>
      <c r="AA57" s="199">
        <f t="shared" si="6"/>
        <v>51</v>
      </c>
      <c r="AB57" s="199" t="s">
        <v>320</v>
      </c>
      <c r="AC57" s="199">
        <v>220</v>
      </c>
      <c r="AD57" s="199">
        <v>247</v>
      </c>
      <c r="AE57" s="199">
        <v>1.49</v>
      </c>
      <c r="AF57" s="197">
        <f t="shared" si="3"/>
        <v>145.30363064731472</v>
      </c>
      <c r="AG57" s="218"/>
      <c r="AH57" s="197">
        <f t="shared" si="4"/>
        <v>-0.71871428571428586</v>
      </c>
      <c r="AI57" s="197">
        <f t="shared" si="5"/>
        <v>0.52749999999999986</v>
      </c>
      <c r="AJ57" s="228"/>
      <c r="AK57" s="252"/>
      <c r="AL57" s="228"/>
      <c r="AM57" s="228"/>
      <c r="AN57" s="228"/>
      <c r="AO57" s="228"/>
      <c r="AP57" s="228"/>
      <c r="AQ57" s="228"/>
      <c r="AR57" s="228"/>
      <c r="AS57" s="228"/>
      <c r="AT57" s="228"/>
      <c r="AU57" s="228"/>
      <c r="AV57" s="228"/>
      <c r="AW57" s="228"/>
      <c r="AX57" s="228"/>
      <c r="AY57" s="253"/>
      <c r="AZ57" s="228"/>
      <c r="BA57" s="228"/>
      <c r="BB57" s="228"/>
      <c r="BC57" s="228"/>
      <c r="BD57" s="228"/>
      <c r="BE57" s="228"/>
      <c r="BF57" s="228"/>
      <c r="BG57" s="228"/>
      <c r="BH57" s="228"/>
      <c r="BI57" s="228"/>
      <c r="BJ57" s="253"/>
      <c r="BK57" s="228"/>
      <c r="BL57" s="228"/>
      <c r="BM57" s="254"/>
      <c r="BN57" s="254"/>
      <c r="BO57" s="254" t="str">
        <v>Wurth 744770222  [220µH]</v>
      </c>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49"/>
      <c r="ED57" s="249"/>
    </row>
    <row r="58" spans="2:134" s="53" customFormat="1" x14ac:dyDescent="0.2">
      <c r="B58" s="299" t="s">
        <v>665</v>
      </c>
      <c r="C58" s="300"/>
      <c r="D58" s="300"/>
      <c r="E58" s="301"/>
      <c r="L58" s="249"/>
      <c r="M58" s="249"/>
      <c r="N58" s="249"/>
      <c r="O58" s="249"/>
      <c r="P58" s="249"/>
      <c r="Q58" s="250"/>
      <c r="R58" s="219" t="s">
        <v>26</v>
      </c>
      <c r="S58" s="219" t="s">
        <v>173</v>
      </c>
      <c r="T58" s="256">
        <f>IF(CONFIG="BUCK",0,INDEX(RGI2range, MATCH(MIN(GIERR), GIERR, 0),1))</f>
        <v>150</v>
      </c>
      <c r="U58" s="219" t="s">
        <v>25</v>
      </c>
      <c r="V58" s="247" t="s">
        <v>174</v>
      </c>
      <c r="W58" s="247" t="s">
        <v>158</v>
      </c>
      <c r="X58" s="249"/>
      <c r="Y58" s="251"/>
      <c r="Z58" s="199" t="s">
        <v>329</v>
      </c>
      <c r="AA58" s="199">
        <f t="shared" si="6"/>
        <v>52</v>
      </c>
      <c r="AB58" s="199" t="s">
        <v>320</v>
      </c>
      <c r="AC58" s="199">
        <v>330</v>
      </c>
      <c r="AD58" s="199">
        <v>349</v>
      </c>
      <c r="AE58" s="199">
        <v>1.1000000000000001</v>
      </c>
      <c r="AF58" s="197">
        <f t="shared" si="3"/>
        <v>255.30363064731472</v>
      </c>
      <c r="AG58" s="218"/>
      <c r="AH58" s="197">
        <f t="shared" si="4"/>
        <v>-0.61671428571428588</v>
      </c>
      <c r="AI58" s="197">
        <f t="shared" si="5"/>
        <v>0.13749999999999996</v>
      </c>
      <c r="AJ58" s="228"/>
      <c r="AK58" s="252"/>
      <c r="AL58" s="228"/>
      <c r="AM58" s="228"/>
      <c r="AN58" s="228"/>
      <c r="AO58" s="228"/>
      <c r="AP58" s="228"/>
      <c r="AQ58" s="228"/>
      <c r="AR58" s="228"/>
      <c r="AS58" s="228"/>
      <c r="AT58" s="228"/>
      <c r="AU58" s="228"/>
      <c r="AV58" s="228"/>
      <c r="AW58" s="228"/>
      <c r="AX58" s="228"/>
      <c r="AY58" s="253"/>
      <c r="AZ58" s="228"/>
      <c r="BA58" s="228"/>
      <c r="BB58" s="228"/>
      <c r="BC58" s="228"/>
      <c r="BD58" s="228"/>
      <c r="BE58" s="228"/>
      <c r="BF58" s="228"/>
      <c r="BG58" s="228"/>
      <c r="BH58" s="228"/>
      <c r="BI58" s="228"/>
      <c r="BJ58" s="253"/>
      <c r="BK58" s="228"/>
      <c r="BL58" s="228"/>
      <c r="BM58" s="254"/>
      <c r="BN58" s="254"/>
      <c r="BO58" s="254" t="str">
        <v>Wurth 744770233  [330µH]</v>
      </c>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c r="EB58" s="228"/>
      <c r="EC58" s="249"/>
      <c r="ED58" s="249"/>
    </row>
    <row r="59" spans="2:134" s="53" customFormat="1" x14ac:dyDescent="0.2">
      <c r="B59" s="184" t="s">
        <v>710</v>
      </c>
      <c r="C59" s="149" t="s">
        <v>639</v>
      </c>
      <c r="D59" s="160">
        <f>GI_ADJ</f>
        <v>0.35344827586206895</v>
      </c>
      <c r="E59" s="162" t="s">
        <v>666</v>
      </c>
      <c r="F59" s="36" t="str">
        <f>IF(CONFIG="BUCK","Not used in Buck mode","Select Auto, or [0.2 to 0.5]")</f>
        <v>Select Auto, or [0.2 to 0.5]</v>
      </c>
      <c r="L59" s="249"/>
      <c r="M59" s="249"/>
      <c r="N59" s="249"/>
      <c r="O59" s="249"/>
      <c r="P59" s="249"/>
      <c r="Q59" s="250"/>
      <c r="R59" s="247"/>
      <c r="S59" s="247"/>
      <c r="T59" s="247"/>
      <c r="U59" s="247"/>
      <c r="V59" s="247"/>
      <c r="W59" s="247"/>
      <c r="X59" s="249"/>
      <c r="Y59" s="251"/>
      <c r="Z59" s="199" t="s">
        <v>330</v>
      </c>
      <c r="AA59" s="199">
        <f t="shared" si="6"/>
        <v>53</v>
      </c>
      <c r="AB59" s="199" t="s">
        <v>320</v>
      </c>
      <c r="AC59" s="199">
        <v>470</v>
      </c>
      <c r="AD59" s="199">
        <v>496</v>
      </c>
      <c r="AE59" s="199">
        <v>0.9</v>
      </c>
      <c r="AF59" s="197">
        <f t="shared" si="3"/>
        <v>395.30363064731472</v>
      </c>
      <c r="AG59" s="218"/>
      <c r="AH59" s="197">
        <f t="shared" si="4"/>
        <v>-0.46971428571428586</v>
      </c>
      <c r="AI59" s="197">
        <f t="shared" si="5"/>
        <v>-6.2500000000000111E-2</v>
      </c>
      <c r="AJ59" s="252"/>
      <c r="AK59" s="228"/>
      <c r="AL59" s="228"/>
      <c r="AM59" s="228"/>
      <c r="AN59" s="228"/>
      <c r="AO59" s="228"/>
      <c r="AP59" s="228"/>
      <c r="AQ59" s="228"/>
      <c r="AR59" s="228"/>
      <c r="AS59" s="228"/>
      <c r="AT59" s="228"/>
      <c r="AU59" s="228"/>
      <c r="AV59" s="228"/>
      <c r="AW59" s="228"/>
      <c r="AX59" s="228"/>
      <c r="AY59" s="253"/>
      <c r="AZ59" s="228"/>
      <c r="BA59" s="228"/>
      <c r="BB59" s="228"/>
      <c r="BC59" s="228"/>
      <c r="BD59" s="228"/>
      <c r="BE59" s="228"/>
      <c r="BF59" s="228"/>
      <c r="BG59" s="228"/>
      <c r="BH59" s="228"/>
      <c r="BI59" s="253"/>
      <c r="BJ59" s="228"/>
      <c r="BK59" s="228"/>
      <c r="BL59" s="228"/>
      <c r="BM59" s="254"/>
      <c r="BN59" s="254"/>
      <c r="BO59" s="254" t="str">
        <v>Wurth 744770247  [470µH]</v>
      </c>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49"/>
      <c r="ED59" s="249"/>
    </row>
    <row r="60" spans="2:134" s="53" customFormat="1" x14ac:dyDescent="0.2">
      <c r="B60" s="158" t="s">
        <v>396</v>
      </c>
      <c r="C60" s="159" t="s">
        <v>265</v>
      </c>
      <c r="D60" s="160">
        <f>VALR1</f>
        <v>0.5</v>
      </c>
      <c r="E60" s="162" t="s">
        <v>3</v>
      </c>
      <c r="F60" s="36" t="str">
        <f>IF(DISSRS/2&lt;0.125,"0.125W, 0805",IF(DISSRS/2&lt;0.25,"0.25W, 1206",IF(DISSRS/2&lt;1,"1W, 2512","")))</f>
        <v>0.125W, 0805</v>
      </c>
      <c r="L60" s="249"/>
      <c r="M60" s="249"/>
      <c r="N60" s="249"/>
      <c r="O60" s="249"/>
      <c r="P60" s="249"/>
      <c r="Q60" s="250"/>
      <c r="R60" s="219" t="s">
        <v>22</v>
      </c>
      <c r="S60" s="219" t="s">
        <v>155</v>
      </c>
      <c r="T60" s="248">
        <f>IF(CONFIG="BUCK",1,_RGI1/(_RGI1+_RGI2))</f>
        <v>0.35344827586206895</v>
      </c>
      <c r="U60" s="219"/>
      <c r="V60" s="247">
        <v>16</v>
      </c>
      <c r="W60" s="247"/>
      <c r="X60" s="249"/>
      <c r="Y60" s="251"/>
      <c r="Z60" s="199" t="s">
        <v>331</v>
      </c>
      <c r="AA60" s="199">
        <f t="shared" si="6"/>
        <v>54</v>
      </c>
      <c r="AB60" s="199" t="s">
        <v>332</v>
      </c>
      <c r="AC60" s="199">
        <v>10</v>
      </c>
      <c r="AD60" s="199">
        <v>13</v>
      </c>
      <c r="AE60" s="199">
        <v>10.5</v>
      </c>
      <c r="AF60" s="197">
        <f t="shared" si="3"/>
        <v>-64.696369352685281</v>
      </c>
      <c r="AG60" s="218"/>
      <c r="AH60" s="197">
        <f t="shared" si="4"/>
        <v>-0.95271428571428585</v>
      </c>
      <c r="AI60" s="197">
        <f t="shared" si="5"/>
        <v>9.5374999999999996</v>
      </c>
      <c r="AJ60" s="252"/>
      <c r="AK60" s="228"/>
      <c r="AL60" s="228"/>
      <c r="AM60" s="228"/>
      <c r="AN60" s="228"/>
      <c r="AO60" s="228"/>
      <c r="AP60" s="228"/>
      <c r="AQ60" s="228"/>
      <c r="AR60" s="228"/>
      <c r="AS60" s="228"/>
      <c r="AT60" s="228"/>
      <c r="AU60" s="228"/>
      <c r="AV60" s="228"/>
      <c r="AW60" s="228"/>
      <c r="AX60" s="228"/>
      <c r="AY60" s="253"/>
      <c r="AZ60" s="228"/>
      <c r="BA60" s="228"/>
      <c r="BB60" s="228"/>
      <c r="BC60" s="228"/>
      <c r="BD60" s="228"/>
      <c r="BE60" s="228"/>
      <c r="BF60" s="228"/>
      <c r="BG60" s="228"/>
      <c r="BH60" s="228"/>
      <c r="BI60" s="253"/>
      <c r="BJ60" s="228"/>
      <c r="BK60" s="228"/>
      <c r="BL60" s="228"/>
      <c r="BM60" s="254"/>
      <c r="BN60" s="254"/>
      <c r="BO60" s="254" t="str">
        <v>Wurth 7447709100  [10µH]</v>
      </c>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49"/>
      <c r="ED60" s="249"/>
    </row>
    <row r="61" spans="2:134" s="53" customFormat="1" x14ac:dyDescent="0.2">
      <c r="B61" s="158" t="s">
        <v>397</v>
      </c>
      <c r="C61" s="159" t="s">
        <v>265</v>
      </c>
      <c r="D61" s="160">
        <f>VALR2</f>
        <v>0.56000000000000005</v>
      </c>
      <c r="E61" s="162" t="s">
        <v>3</v>
      </c>
      <c r="F61" s="36" t="str">
        <f>F60</f>
        <v>0.125W, 0805</v>
      </c>
      <c r="L61" s="249"/>
      <c r="M61" s="249"/>
      <c r="N61" s="249"/>
      <c r="O61" s="249"/>
      <c r="P61" s="249"/>
      <c r="Q61" s="250"/>
      <c r="R61" s="247"/>
      <c r="S61" s="247"/>
      <c r="T61" s="247"/>
      <c r="U61" s="247"/>
      <c r="V61" s="247"/>
      <c r="W61" s="247"/>
      <c r="X61" s="249"/>
      <c r="Y61" s="251"/>
      <c r="Z61" s="199" t="s">
        <v>333</v>
      </c>
      <c r="AA61" s="199">
        <f t="shared" si="6"/>
        <v>55</v>
      </c>
      <c r="AB61" s="199" t="s">
        <v>332</v>
      </c>
      <c r="AC61" s="199">
        <v>15</v>
      </c>
      <c r="AD61" s="199">
        <v>21</v>
      </c>
      <c r="AE61" s="199">
        <v>8</v>
      </c>
      <c r="AF61" s="197">
        <f t="shared" si="3"/>
        <v>-59.696369352685281</v>
      </c>
      <c r="AG61" s="218"/>
      <c r="AH61" s="197">
        <f t="shared" si="4"/>
        <v>-0.94471428571428584</v>
      </c>
      <c r="AI61" s="197">
        <f t="shared" si="5"/>
        <v>7.0374999999999996</v>
      </c>
      <c r="AJ61" s="252"/>
      <c r="AK61" s="228"/>
      <c r="AL61" s="228"/>
      <c r="AM61" s="228"/>
      <c r="AN61" s="228"/>
      <c r="AO61" s="228"/>
      <c r="AP61" s="228"/>
      <c r="AQ61" s="228"/>
      <c r="AR61" s="228"/>
      <c r="AS61" s="228"/>
      <c r="AT61" s="228"/>
      <c r="AU61" s="228"/>
      <c r="AV61" s="228"/>
      <c r="AW61" s="228"/>
      <c r="AX61" s="228"/>
      <c r="AY61" s="253"/>
      <c r="AZ61" s="228"/>
      <c r="BA61" s="228"/>
      <c r="BB61" s="228"/>
      <c r="BC61" s="228"/>
      <c r="BD61" s="228"/>
      <c r="BE61" s="228"/>
      <c r="BF61" s="228"/>
      <c r="BG61" s="228"/>
      <c r="BH61" s="228"/>
      <c r="BI61" s="253"/>
      <c r="BJ61" s="228"/>
      <c r="BK61" s="228"/>
      <c r="BL61" s="228"/>
      <c r="BM61" s="254"/>
      <c r="BN61" s="254"/>
      <c r="BO61" s="254" t="str">
        <v>Wurth 7447709150  [15µH]</v>
      </c>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49"/>
      <c r="ED61" s="249"/>
    </row>
    <row r="62" spans="2:134" s="53" customFormat="1" x14ac:dyDescent="0.35">
      <c r="B62" s="158" t="s">
        <v>475</v>
      </c>
      <c r="C62" s="159" t="s">
        <v>667</v>
      </c>
      <c r="D62" s="160">
        <f>_RGI1</f>
        <v>82</v>
      </c>
      <c r="E62" s="162" t="s">
        <v>25</v>
      </c>
      <c r="F62" s="152"/>
      <c r="L62" s="249"/>
      <c r="M62" s="249"/>
      <c r="N62" s="249"/>
      <c r="O62" s="249"/>
      <c r="P62" s="249"/>
      <c r="Q62" s="250"/>
      <c r="R62" s="219" t="s">
        <v>150</v>
      </c>
      <c r="S62" s="219" t="s">
        <v>151</v>
      </c>
      <c r="T62" s="248">
        <f>(VSNOM/RS)*(VADJ/1.25)*GI_ADJ</f>
        <v>0.3010621921182266</v>
      </c>
      <c r="U62" s="219" t="s">
        <v>2</v>
      </c>
      <c r="V62" s="257" t="s">
        <v>172</v>
      </c>
      <c r="W62" s="247"/>
      <c r="X62" s="249"/>
      <c r="Y62" s="251"/>
      <c r="Z62" s="199" t="s">
        <v>334</v>
      </c>
      <c r="AA62" s="199">
        <f t="shared" si="6"/>
        <v>56</v>
      </c>
      <c r="AB62" s="199" t="s">
        <v>332</v>
      </c>
      <c r="AC62" s="199">
        <v>22</v>
      </c>
      <c r="AD62" s="199">
        <v>23</v>
      </c>
      <c r="AE62" s="199">
        <v>6.5</v>
      </c>
      <c r="AF62" s="197">
        <f t="shared" si="3"/>
        <v>-52.696369352685281</v>
      </c>
      <c r="AG62" s="218"/>
      <c r="AH62" s="197">
        <f t="shared" si="4"/>
        <v>-0.94271428571428584</v>
      </c>
      <c r="AI62" s="197">
        <f t="shared" si="5"/>
        <v>5.5374999999999996</v>
      </c>
      <c r="AJ62" s="252"/>
      <c r="AK62" s="228"/>
      <c r="AL62" s="228"/>
      <c r="AM62" s="228"/>
      <c r="AN62" s="228"/>
      <c r="AO62" s="228"/>
      <c r="AP62" s="228"/>
      <c r="AQ62" s="228"/>
      <c r="AR62" s="228"/>
      <c r="AS62" s="258"/>
      <c r="AT62" s="228"/>
      <c r="AU62" s="228"/>
      <c r="AV62" s="228"/>
      <c r="AW62" s="258"/>
      <c r="AX62" s="228"/>
      <c r="AY62" s="253"/>
      <c r="AZ62" s="228"/>
      <c r="BA62" s="228"/>
      <c r="BB62" s="228"/>
      <c r="BC62" s="228"/>
      <c r="BD62" s="228"/>
      <c r="BE62" s="228"/>
      <c r="BF62" s="228"/>
      <c r="BG62" s="228"/>
      <c r="BH62" s="228"/>
      <c r="BI62" s="253"/>
      <c r="BJ62" s="228"/>
      <c r="BK62" s="228"/>
      <c r="BL62" s="228"/>
      <c r="BM62" s="254"/>
      <c r="BN62" s="254"/>
      <c r="BO62" s="254" t="str">
        <v>Wurth 7447709220  [22µH]</v>
      </c>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49"/>
      <c r="ED62" s="249"/>
    </row>
    <row r="63" spans="2:134" s="53" customFormat="1" x14ac:dyDescent="0.2">
      <c r="B63" s="158" t="s">
        <v>476</v>
      </c>
      <c r="C63" s="159" t="s">
        <v>351</v>
      </c>
      <c r="D63" s="160">
        <f>_RGI2</f>
        <v>150</v>
      </c>
      <c r="E63" s="162" t="s">
        <v>25</v>
      </c>
      <c r="F63" s="152"/>
      <c r="L63" s="249"/>
      <c r="M63" s="249"/>
      <c r="N63" s="249"/>
      <c r="O63" s="249"/>
      <c r="P63" s="249"/>
      <c r="Q63" s="250"/>
      <c r="R63" s="259" t="s">
        <v>240</v>
      </c>
      <c r="S63" s="259" t="s">
        <v>40</v>
      </c>
      <c r="T63" s="260">
        <f>ILEDF*VLEDS</f>
        <v>6.3223060344827591</v>
      </c>
      <c r="U63" s="259" t="s">
        <v>27</v>
      </c>
      <c r="V63" s="261"/>
      <c r="W63" s="262"/>
      <c r="X63" s="249"/>
      <c r="Y63" s="251"/>
      <c r="Z63" s="199" t="s">
        <v>335</v>
      </c>
      <c r="AA63" s="199">
        <f t="shared" si="6"/>
        <v>57</v>
      </c>
      <c r="AB63" s="199" t="s">
        <v>332</v>
      </c>
      <c r="AC63" s="199">
        <v>33</v>
      </c>
      <c r="AD63" s="199">
        <v>37</v>
      </c>
      <c r="AE63" s="199">
        <v>5.5</v>
      </c>
      <c r="AF63" s="197">
        <f t="shared" si="3"/>
        <v>-41.696369352685281</v>
      </c>
      <c r="AG63" s="218"/>
      <c r="AH63" s="197">
        <f t="shared" si="4"/>
        <v>-0.92871428571428583</v>
      </c>
      <c r="AI63" s="197">
        <f t="shared" si="5"/>
        <v>4.5374999999999996</v>
      </c>
      <c r="AJ63" s="252"/>
      <c r="AK63" s="228"/>
      <c r="AL63" s="228"/>
      <c r="AM63" s="228"/>
      <c r="AN63" s="228"/>
      <c r="AO63" s="228"/>
      <c r="AP63" s="228"/>
      <c r="AQ63" s="228"/>
      <c r="AR63" s="228"/>
      <c r="AS63" s="228"/>
      <c r="AT63" s="228"/>
      <c r="AU63" s="228"/>
      <c r="AV63" s="228"/>
      <c r="AW63" s="228"/>
      <c r="AX63" s="228"/>
      <c r="AY63" s="253"/>
      <c r="AZ63" s="228"/>
      <c r="BA63" s="228"/>
      <c r="BB63" s="228"/>
      <c r="BC63" s="228"/>
      <c r="BD63" s="228"/>
      <c r="BE63" s="228"/>
      <c r="BF63" s="228"/>
      <c r="BG63" s="228"/>
      <c r="BH63" s="228"/>
      <c r="BI63" s="253"/>
      <c r="BJ63" s="228"/>
      <c r="BK63" s="228"/>
      <c r="BL63" s="228"/>
      <c r="BM63" s="254"/>
      <c r="BN63" s="254"/>
      <c r="BO63" s="254" t="str">
        <v>Wurth 7447709330  [33µH]</v>
      </c>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49"/>
      <c r="ED63" s="249"/>
    </row>
    <row r="64" spans="2:134" s="53" customFormat="1" x14ac:dyDescent="0.2">
      <c r="B64" s="158" t="s">
        <v>366</v>
      </c>
      <c r="C64" s="159" t="s">
        <v>406</v>
      </c>
      <c r="D64" s="160">
        <f>CIN</f>
        <v>0.51709346529252775</v>
      </c>
      <c r="E64" s="161" t="s">
        <v>668</v>
      </c>
      <c r="L64" s="249"/>
      <c r="M64" s="249"/>
      <c r="N64" s="249"/>
      <c r="O64" s="249"/>
      <c r="P64" s="249"/>
      <c r="Q64" s="250"/>
      <c r="R64" s="219" t="s">
        <v>35</v>
      </c>
      <c r="S64" s="219" t="s">
        <v>239</v>
      </c>
      <c r="T64" s="248">
        <f>D35+D36</f>
        <v>5.7</v>
      </c>
      <c r="U64" s="219" t="s">
        <v>17</v>
      </c>
      <c r="V64" s="247">
        <v>43</v>
      </c>
      <c r="W64" s="247"/>
      <c r="X64" s="249"/>
      <c r="Y64" s="251"/>
      <c r="Z64" s="199" t="s">
        <v>337</v>
      </c>
      <c r="AA64" s="199">
        <f t="shared" si="6"/>
        <v>58</v>
      </c>
      <c r="AB64" s="199" t="s">
        <v>332</v>
      </c>
      <c r="AC64" s="199">
        <v>47</v>
      </c>
      <c r="AD64" s="199">
        <v>46</v>
      </c>
      <c r="AE64" s="199">
        <v>4.5</v>
      </c>
      <c r="AF64" s="197">
        <f t="shared" si="3"/>
        <v>-27.696369352685281</v>
      </c>
      <c r="AG64" s="218"/>
      <c r="AH64" s="197">
        <f t="shared" si="4"/>
        <v>-0.91971428571428582</v>
      </c>
      <c r="AI64" s="197">
        <f t="shared" si="5"/>
        <v>3.5374999999999996</v>
      </c>
      <c r="AJ64" s="252"/>
      <c r="AK64" s="228"/>
      <c r="AL64" s="228"/>
      <c r="AM64" s="228"/>
      <c r="AN64" s="228"/>
      <c r="AO64" s="228"/>
      <c r="AP64" s="228"/>
      <c r="AQ64" s="228"/>
      <c r="AR64" s="228"/>
      <c r="AS64" s="228"/>
      <c r="AT64" s="228"/>
      <c r="AU64" s="228"/>
      <c r="AV64" s="228"/>
      <c r="AW64" s="228"/>
      <c r="AX64" s="228"/>
      <c r="AY64" s="253"/>
      <c r="AZ64" s="228"/>
      <c r="BA64" s="228"/>
      <c r="BB64" s="228"/>
      <c r="BC64" s="228"/>
      <c r="BD64" s="228"/>
      <c r="BE64" s="228"/>
      <c r="BF64" s="228"/>
      <c r="BG64" s="228"/>
      <c r="BH64" s="228"/>
      <c r="BI64" s="253"/>
      <c r="BJ64" s="228"/>
      <c r="BK64" s="228"/>
      <c r="BL64" s="228"/>
      <c r="BM64" s="254"/>
      <c r="BN64" s="254"/>
      <c r="BO64" s="254" t="str">
        <v>Wurth 7447709470  [47µH]</v>
      </c>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49"/>
      <c r="ED64" s="249"/>
    </row>
    <row r="65" spans="2:134" s="53" customFormat="1" x14ac:dyDescent="0.2">
      <c r="B65" s="158" t="s">
        <v>367</v>
      </c>
      <c r="C65" s="159" t="s">
        <v>528</v>
      </c>
      <c r="D65" s="160">
        <f>COUT</f>
        <v>1.9720527515381456</v>
      </c>
      <c r="E65" s="161" t="s">
        <v>668</v>
      </c>
      <c r="L65" s="249"/>
      <c r="M65" s="249"/>
      <c r="N65" s="249"/>
      <c r="O65" s="249"/>
      <c r="P65" s="249"/>
      <c r="Q65" s="250"/>
      <c r="R65" s="219" t="s">
        <v>237</v>
      </c>
      <c r="S65" s="219" t="s">
        <v>238</v>
      </c>
      <c r="T65" s="248">
        <f>D34</f>
        <v>8.4</v>
      </c>
      <c r="U65" s="219" t="s">
        <v>17</v>
      </c>
      <c r="V65" s="247"/>
      <c r="W65" s="247"/>
      <c r="X65" s="249"/>
      <c r="Y65" s="251"/>
      <c r="Z65" s="199" t="s">
        <v>336</v>
      </c>
      <c r="AA65" s="199">
        <f t="shared" si="6"/>
        <v>59</v>
      </c>
      <c r="AB65" s="199" t="s">
        <v>332</v>
      </c>
      <c r="AC65" s="199">
        <v>68</v>
      </c>
      <c r="AD65" s="199">
        <v>69</v>
      </c>
      <c r="AE65" s="199">
        <v>3.6</v>
      </c>
      <c r="AF65" s="197">
        <f t="shared" si="3"/>
        <v>-6.6963693526852808</v>
      </c>
      <c r="AG65" s="218"/>
      <c r="AH65" s="197">
        <f t="shared" si="4"/>
        <v>-0.8967142857142858</v>
      </c>
      <c r="AI65" s="197">
        <f t="shared" si="5"/>
        <v>2.6375000000000002</v>
      </c>
      <c r="AJ65" s="252"/>
      <c r="AK65" s="228"/>
      <c r="AL65" s="228"/>
      <c r="AM65" s="228"/>
      <c r="AN65" s="228"/>
      <c r="AO65" s="228"/>
      <c r="AP65" s="228"/>
      <c r="AQ65" s="228"/>
      <c r="AR65" s="228"/>
      <c r="AS65" s="228"/>
      <c r="AT65" s="228"/>
      <c r="AU65" s="228"/>
      <c r="AV65" s="228"/>
      <c r="AW65" s="228"/>
      <c r="AX65" s="228"/>
      <c r="AY65" s="253"/>
      <c r="AZ65" s="228"/>
      <c r="BA65" s="228"/>
      <c r="BB65" s="228"/>
      <c r="BC65" s="228"/>
      <c r="BD65" s="228"/>
      <c r="BE65" s="228"/>
      <c r="BF65" s="228"/>
      <c r="BG65" s="228"/>
      <c r="BH65" s="228"/>
      <c r="BI65" s="253"/>
      <c r="BJ65" s="228"/>
      <c r="BK65" s="228"/>
      <c r="BL65" s="228"/>
      <c r="BM65" s="254"/>
      <c r="BN65" s="254"/>
      <c r="BO65" s="254" t="str">
        <v>Wurth 7447709680  [68µH]</v>
      </c>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49"/>
      <c r="ED65" s="249"/>
    </row>
    <row r="66" spans="2:134" s="53" customFormat="1" ht="14" thickBot="1" x14ac:dyDescent="0.25">
      <c r="B66" s="185" t="str">
        <f>IF(CONFIG_temp="BUCK","","D4")</f>
        <v>D4</v>
      </c>
      <c r="C66" s="168" t="s">
        <v>669</v>
      </c>
      <c r="D66" s="186">
        <f>_VZD4</f>
        <v>33</v>
      </c>
      <c r="E66" s="187" t="s">
        <v>0</v>
      </c>
      <c r="L66" s="249"/>
      <c r="M66" s="249"/>
      <c r="N66" s="249"/>
      <c r="O66" s="249"/>
      <c r="P66" s="249"/>
      <c r="Q66" s="250"/>
      <c r="R66" s="219"/>
      <c r="S66" s="219"/>
      <c r="T66" s="248"/>
      <c r="U66" s="219"/>
      <c r="V66" s="247"/>
      <c r="W66" s="247"/>
      <c r="X66" s="249"/>
      <c r="Y66" s="251"/>
      <c r="Z66" s="199" t="s">
        <v>338</v>
      </c>
      <c r="AA66" s="199">
        <f t="shared" si="6"/>
        <v>60</v>
      </c>
      <c r="AB66" s="199" t="s">
        <v>332</v>
      </c>
      <c r="AC66" s="199">
        <v>100</v>
      </c>
      <c r="AD66" s="199">
        <v>100</v>
      </c>
      <c r="AE66" s="199">
        <v>3.1</v>
      </c>
      <c r="AF66" s="197">
        <f t="shared" si="3"/>
        <v>25.303630647314719</v>
      </c>
      <c r="AG66" s="218"/>
      <c r="AH66" s="197">
        <f t="shared" si="4"/>
        <v>-0.86571428571428588</v>
      </c>
      <c r="AI66" s="197">
        <f t="shared" si="5"/>
        <v>2.1375000000000002</v>
      </c>
      <c r="AJ66" s="252"/>
      <c r="AK66" s="228"/>
      <c r="AL66" s="228"/>
      <c r="AM66" s="228"/>
      <c r="AN66" s="228"/>
      <c r="AO66" s="228"/>
      <c r="AP66" s="228"/>
      <c r="AQ66" s="228"/>
      <c r="AR66" s="228"/>
      <c r="AS66" s="228"/>
      <c r="AT66" s="228"/>
      <c r="AU66" s="228"/>
      <c r="AV66" s="228"/>
      <c r="AW66" s="228"/>
      <c r="AX66" s="228"/>
      <c r="AY66" s="253"/>
      <c r="AZ66" s="228"/>
      <c r="BA66" s="228"/>
      <c r="BB66" s="228"/>
      <c r="BC66" s="228"/>
      <c r="BD66" s="228"/>
      <c r="BE66" s="228"/>
      <c r="BF66" s="228"/>
      <c r="BG66" s="228"/>
      <c r="BH66" s="228"/>
      <c r="BI66" s="253"/>
      <c r="BJ66" s="228"/>
      <c r="BK66" s="228"/>
      <c r="BL66" s="228"/>
      <c r="BM66" s="254"/>
      <c r="BN66" s="254"/>
      <c r="BO66" s="254" t="str">
        <v>Wurth 7447709101  [100µH]</v>
      </c>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49"/>
      <c r="ED66" s="249"/>
    </row>
    <row r="67" spans="2:134" s="53" customFormat="1" x14ac:dyDescent="0.2">
      <c r="B67" s="30"/>
      <c r="C67" s="142"/>
      <c r="D67" s="123"/>
      <c r="E67" s="123"/>
      <c r="F67" s="36"/>
      <c r="L67" s="249"/>
      <c r="M67" s="249"/>
      <c r="N67" s="249"/>
      <c r="O67" s="249"/>
      <c r="P67" s="249"/>
      <c r="Q67" s="250"/>
      <c r="R67" s="219" t="s">
        <v>18</v>
      </c>
      <c r="S67" s="219"/>
      <c r="T67" s="248">
        <f>D39</f>
        <v>60</v>
      </c>
      <c r="U67" s="219" t="s">
        <v>254</v>
      </c>
      <c r="V67" s="247"/>
      <c r="W67" s="247"/>
      <c r="X67" s="249"/>
      <c r="Y67" s="251"/>
      <c r="Z67" s="199" t="s">
        <v>339</v>
      </c>
      <c r="AA67" s="199">
        <f t="shared" si="6"/>
        <v>61</v>
      </c>
      <c r="AB67" s="199" t="s">
        <v>332</v>
      </c>
      <c r="AC67" s="199">
        <v>150</v>
      </c>
      <c r="AD67" s="199">
        <v>151</v>
      </c>
      <c r="AE67" s="199">
        <v>2.7</v>
      </c>
      <c r="AF67" s="197">
        <f t="shared" si="3"/>
        <v>75.303630647314719</v>
      </c>
      <c r="AG67" s="218"/>
      <c r="AH67" s="197">
        <f t="shared" si="4"/>
        <v>-0.81471428571428584</v>
      </c>
      <c r="AI67" s="197">
        <f t="shared" si="5"/>
        <v>1.7375</v>
      </c>
      <c r="AJ67" s="252"/>
      <c r="AK67" s="228"/>
      <c r="AL67" s="228"/>
      <c r="AM67" s="228"/>
      <c r="AN67" s="228"/>
      <c r="AO67" s="228"/>
      <c r="AP67" s="228"/>
      <c r="AQ67" s="228"/>
      <c r="AR67" s="228"/>
      <c r="AS67" s="228"/>
      <c r="AT67" s="228"/>
      <c r="AU67" s="228"/>
      <c r="AV67" s="228"/>
      <c r="AW67" s="228"/>
      <c r="AX67" s="228"/>
      <c r="AY67" s="253"/>
      <c r="AZ67" s="228"/>
      <c r="BA67" s="228"/>
      <c r="BB67" s="228"/>
      <c r="BC67" s="228"/>
      <c r="BD67" s="228"/>
      <c r="BE67" s="228"/>
      <c r="BF67" s="228"/>
      <c r="BG67" s="228"/>
      <c r="BH67" s="228"/>
      <c r="BI67" s="253"/>
      <c r="BJ67" s="228"/>
      <c r="BK67" s="228"/>
      <c r="BL67" s="228"/>
      <c r="BM67" s="254"/>
      <c r="BN67" s="254"/>
      <c r="BO67" s="254" t="str">
        <v>Wurth 7447709151  [150µH]</v>
      </c>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49"/>
      <c r="ED67" s="249"/>
    </row>
    <row r="68" spans="2:134" s="53" customFormat="1" x14ac:dyDescent="0.2">
      <c r="B68" s="30"/>
      <c r="C68" s="142" t="str">
        <f>IF(CONFIG="BUCK","",IF(VRSMIN&lt;0.08,"Increase Target GI ratio to give VRS &gt; 0.08V",IF(VRSMAX&gt;0.3,"Reduce Target GI ratio to give VRS &lt; 0.3V","")))</f>
        <v/>
      </c>
      <c r="D68" s="123"/>
      <c r="E68" s="123"/>
      <c r="F68" s="36"/>
      <c r="L68" s="249"/>
      <c r="M68" s="249"/>
      <c r="N68" s="249"/>
      <c r="O68" s="249"/>
      <c r="P68" s="249"/>
      <c r="Q68" s="250"/>
      <c r="R68" s="219" t="s">
        <v>255</v>
      </c>
      <c r="S68" s="219" t="s">
        <v>268</v>
      </c>
      <c r="T68" s="246">
        <f>D40</f>
        <v>150</v>
      </c>
      <c r="U68" s="219" t="s">
        <v>37</v>
      </c>
      <c r="V68" s="247"/>
      <c r="W68" s="247"/>
      <c r="X68" s="249"/>
      <c r="Y68" s="251"/>
      <c r="Z68" s="199" t="s">
        <v>340</v>
      </c>
      <c r="AA68" s="199">
        <f t="shared" si="6"/>
        <v>62</v>
      </c>
      <c r="AB68" s="199" t="s">
        <v>332</v>
      </c>
      <c r="AC68" s="199">
        <v>220</v>
      </c>
      <c r="AD68" s="199">
        <v>193</v>
      </c>
      <c r="AE68" s="199">
        <v>2.2000000000000002</v>
      </c>
      <c r="AF68" s="197">
        <f t="shared" si="3"/>
        <v>145.30363064731472</v>
      </c>
      <c r="AG68" s="218"/>
      <c r="AH68" s="197">
        <f t="shared" si="4"/>
        <v>-0.77271428571428591</v>
      </c>
      <c r="AI68" s="197">
        <f t="shared" si="5"/>
        <v>1.2375</v>
      </c>
      <c r="AJ68" s="252"/>
      <c r="AK68" s="228"/>
      <c r="AL68" s="228"/>
      <c r="AM68" s="228"/>
      <c r="AN68" s="228"/>
      <c r="AO68" s="228"/>
      <c r="AP68" s="228"/>
      <c r="AQ68" s="228"/>
      <c r="AR68" s="228"/>
      <c r="AS68" s="228"/>
      <c r="AT68" s="228"/>
      <c r="AU68" s="228"/>
      <c r="AV68" s="228"/>
      <c r="AW68" s="228"/>
      <c r="AX68" s="228"/>
      <c r="AY68" s="253"/>
      <c r="AZ68" s="228"/>
      <c r="BA68" s="228"/>
      <c r="BB68" s="228"/>
      <c r="BC68" s="228"/>
      <c r="BD68" s="228"/>
      <c r="BE68" s="228"/>
      <c r="BF68" s="228"/>
      <c r="BG68" s="228"/>
      <c r="BH68" s="228"/>
      <c r="BI68" s="253"/>
      <c r="BJ68" s="228"/>
      <c r="BK68" s="228"/>
      <c r="BL68" s="228"/>
      <c r="BM68" s="254"/>
      <c r="BN68" s="254"/>
      <c r="BO68" s="254" t="str">
        <v>Wurth 7447709221  [220µH]</v>
      </c>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49"/>
      <c r="ED68" s="249"/>
    </row>
    <row r="69" spans="2:134" s="53" customFormat="1" ht="15.5" x14ac:dyDescent="0.2">
      <c r="B69" s="78" t="str">
        <f>IF((TJMAXMOS&gt;$J$33)*(TJMAXFW&gt;$J$34)*(TJMAX&gt;$J$35),"","Check junction temperatures and change component selection or reduce ILED or N")</f>
        <v/>
      </c>
      <c r="C69" s="79"/>
      <c r="D69" s="80"/>
      <c r="E69" s="80"/>
      <c r="F69" s="80"/>
      <c r="G69" s="80"/>
      <c r="H69" s="80"/>
      <c r="I69" s="80"/>
      <c r="J69" s="80"/>
      <c r="K69" s="80"/>
      <c r="L69" s="80"/>
      <c r="M69" s="80"/>
      <c r="N69" s="80"/>
      <c r="O69" s="80"/>
      <c r="P69" s="249"/>
      <c r="Q69" s="250"/>
      <c r="R69" s="219" t="s">
        <v>19</v>
      </c>
      <c r="S69" s="219"/>
      <c r="T69" s="246">
        <f>D49</f>
        <v>75</v>
      </c>
      <c r="U69" s="219" t="s">
        <v>254</v>
      </c>
      <c r="V69" s="247"/>
      <c r="W69" s="247"/>
      <c r="X69" s="249"/>
      <c r="Y69" s="251"/>
      <c r="Z69" s="199" t="s">
        <v>341</v>
      </c>
      <c r="AA69" s="199">
        <f t="shared" si="6"/>
        <v>63</v>
      </c>
      <c r="AB69" s="199" t="s">
        <v>332</v>
      </c>
      <c r="AC69" s="199">
        <v>330</v>
      </c>
      <c r="AD69" s="199">
        <v>363</v>
      </c>
      <c r="AE69" s="199">
        <v>1.7</v>
      </c>
      <c r="AF69" s="197">
        <f t="shared" si="3"/>
        <v>255.30363064731472</v>
      </c>
      <c r="AG69" s="218"/>
      <c r="AH69" s="197">
        <f t="shared" si="4"/>
        <v>-0.60271428571428587</v>
      </c>
      <c r="AI69" s="197">
        <f t="shared" si="5"/>
        <v>0.73749999999999982</v>
      </c>
      <c r="AJ69" s="252"/>
      <c r="AK69" s="228"/>
      <c r="AL69" s="228"/>
      <c r="AM69" s="228"/>
      <c r="AN69" s="228"/>
      <c r="AO69" s="228"/>
      <c r="AP69" s="228"/>
      <c r="AQ69" s="228"/>
      <c r="AR69" s="228"/>
      <c r="AS69" s="228"/>
      <c r="AT69" s="228"/>
      <c r="AU69" s="228"/>
      <c r="AV69" s="228"/>
      <c r="AW69" s="228"/>
      <c r="AX69" s="228"/>
      <c r="AY69" s="253"/>
      <c r="AZ69" s="228"/>
      <c r="BA69" s="228"/>
      <c r="BB69" s="228"/>
      <c r="BC69" s="228"/>
      <c r="BD69" s="228"/>
      <c r="BE69" s="228"/>
      <c r="BF69" s="228"/>
      <c r="BG69" s="228"/>
      <c r="BH69" s="228"/>
      <c r="BI69" s="253"/>
      <c r="BJ69" s="228"/>
      <c r="BK69" s="228"/>
      <c r="BL69" s="228"/>
      <c r="BM69" s="254"/>
      <c r="BN69" s="254"/>
      <c r="BO69" s="254" t="str">
        <v>Wurth 7447709331  [330µH]</v>
      </c>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49"/>
      <c r="ED69" s="249"/>
    </row>
    <row r="70" spans="2:134" s="53" customFormat="1" ht="15.5" x14ac:dyDescent="0.2">
      <c r="B70" s="78" t="str">
        <f>IF((D31&gt;$J$13)*(D46&gt;$J$14),"","Check MOSFET VDS and change MOSFET or Schottky selection if possible")</f>
        <v/>
      </c>
      <c r="C70" s="79"/>
      <c r="D70" s="80"/>
      <c r="E70" s="80"/>
      <c r="F70" s="80"/>
      <c r="G70" s="80"/>
      <c r="H70" s="80"/>
      <c r="I70" s="80"/>
      <c r="J70" s="80"/>
      <c r="K70" s="80"/>
      <c r="L70" s="80"/>
      <c r="M70" s="80"/>
      <c r="N70" s="80"/>
      <c r="O70" s="80"/>
      <c r="P70" s="249"/>
      <c r="Q70" s="250"/>
      <c r="R70" s="219" t="s">
        <v>256</v>
      </c>
      <c r="S70" s="219" t="s">
        <v>269</v>
      </c>
      <c r="T70" s="246">
        <f>D50</f>
        <v>150</v>
      </c>
      <c r="U70" s="219" t="s">
        <v>37</v>
      </c>
      <c r="V70" s="247"/>
      <c r="W70" s="247"/>
      <c r="X70" s="249"/>
      <c r="Y70" s="251"/>
      <c r="Z70" s="199" t="s">
        <v>342</v>
      </c>
      <c r="AA70" s="199">
        <f t="shared" si="6"/>
        <v>64</v>
      </c>
      <c r="AB70" s="199" t="s">
        <v>332</v>
      </c>
      <c r="AC70" s="199">
        <v>470</v>
      </c>
      <c r="AD70" s="199">
        <v>437</v>
      </c>
      <c r="AE70" s="199">
        <v>1.5</v>
      </c>
      <c r="AF70" s="197">
        <f t="shared" si="3"/>
        <v>395.30363064731472</v>
      </c>
      <c r="AG70" s="218"/>
      <c r="AH70" s="197">
        <f t="shared" si="4"/>
        <v>-0.52871428571428591</v>
      </c>
      <c r="AI70" s="197">
        <f t="shared" si="5"/>
        <v>0.53749999999999987</v>
      </c>
      <c r="AJ70" s="252"/>
      <c r="AK70" s="228"/>
      <c r="AL70" s="228"/>
      <c r="AM70" s="228"/>
      <c r="AN70" s="228"/>
      <c r="AO70" s="228"/>
      <c r="AP70" s="228"/>
      <c r="AQ70" s="228"/>
      <c r="AR70" s="228"/>
      <c r="AS70" s="228"/>
      <c r="AT70" s="228"/>
      <c r="AU70" s="228"/>
      <c r="AV70" s="228"/>
      <c r="AW70" s="228"/>
      <c r="AX70" s="228"/>
      <c r="AY70" s="253"/>
      <c r="AZ70" s="228"/>
      <c r="BA70" s="228"/>
      <c r="BB70" s="228"/>
      <c r="BC70" s="228"/>
      <c r="BD70" s="228"/>
      <c r="BE70" s="228"/>
      <c r="BF70" s="228"/>
      <c r="BG70" s="228"/>
      <c r="BH70" s="228"/>
      <c r="BI70" s="253"/>
      <c r="BJ70" s="228"/>
      <c r="BK70" s="228"/>
      <c r="BL70" s="228"/>
      <c r="BM70" s="254"/>
      <c r="BN70" s="254"/>
      <c r="BO70" s="254" t="str">
        <v>Wurth 7447709471  [470µH]</v>
      </c>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49"/>
      <c r="ED70" s="249"/>
    </row>
    <row r="71" spans="2:134" s="53" customFormat="1" ht="15.5" x14ac:dyDescent="0.2">
      <c r="B71" s="78"/>
      <c r="C71" s="79"/>
      <c r="D71" s="80"/>
      <c r="E71" s="80"/>
      <c r="F71" s="80"/>
      <c r="G71" s="80"/>
      <c r="H71" s="80"/>
      <c r="I71" s="80"/>
      <c r="J71" s="80"/>
      <c r="K71" s="80"/>
      <c r="L71" s="80"/>
      <c r="M71" s="80"/>
      <c r="N71" s="80"/>
      <c r="O71" s="80"/>
      <c r="P71" s="249"/>
      <c r="Q71" s="249"/>
      <c r="R71" s="219"/>
      <c r="S71" s="219"/>
      <c r="T71" s="248"/>
      <c r="U71" s="219"/>
      <c r="V71" s="247"/>
      <c r="W71" s="247"/>
      <c r="X71" s="249"/>
      <c r="Y71" s="251"/>
      <c r="Z71" s="199" t="s">
        <v>521</v>
      </c>
      <c r="AA71" s="199">
        <f t="shared" si="6"/>
        <v>65</v>
      </c>
      <c r="AB71" s="199"/>
      <c r="AC71" s="199">
        <v>2.2000000000000002</v>
      </c>
      <c r="AD71" s="199">
        <v>1</v>
      </c>
      <c r="AE71" s="199">
        <v>100</v>
      </c>
      <c r="AF71" s="197">
        <f t="shared" ref="AF71:AF88" si="8">AC71-LEST</f>
        <v>-72.496369352685278</v>
      </c>
      <c r="AG71" s="249"/>
      <c r="AH71" s="197">
        <f t="shared" ref="AH71:AH88" si="9">(AD71/1000)-RCOILEST</f>
        <v>-0.96471428571428586</v>
      </c>
      <c r="AI71" s="197">
        <f t="shared" ref="AI71:AI88" si="10">AE71-ILMAXEST</f>
        <v>99.037499999999994</v>
      </c>
      <c r="AJ71" s="252"/>
      <c r="AK71" s="228"/>
      <c r="AL71" s="228"/>
      <c r="AM71" s="228"/>
      <c r="AN71" s="228"/>
      <c r="AO71" s="228"/>
      <c r="AP71" s="228"/>
      <c r="AQ71" s="228"/>
      <c r="AR71" s="228"/>
      <c r="AS71" s="228"/>
      <c r="AT71" s="228"/>
      <c r="AU71" s="228"/>
      <c r="AV71" s="228"/>
      <c r="AW71" s="228"/>
      <c r="AX71" s="228"/>
      <c r="AY71" s="253"/>
      <c r="AZ71" s="228"/>
      <c r="BA71" s="228"/>
      <c r="BB71" s="228"/>
      <c r="BC71" s="228"/>
      <c r="BD71" s="228"/>
      <c r="BE71" s="228"/>
      <c r="BF71" s="228"/>
      <c r="BG71" s="228"/>
      <c r="BH71" s="228"/>
      <c r="BI71" s="253"/>
      <c r="BJ71" s="228"/>
      <c r="BK71" s="228"/>
      <c r="BL71" s="228"/>
      <c r="BM71" s="254"/>
      <c r="BN71" s="254"/>
      <c r="BO71" s="254" t="str">
        <v>Large coil, 2.2uH</v>
      </c>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49"/>
      <c r="ED71" s="249"/>
    </row>
    <row r="72" spans="2:134" s="249" customFormat="1" x14ac:dyDescent="0.2">
      <c r="B72" s="289"/>
      <c r="C72" s="289"/>
      <c r="D72" s="192"/>
      <c r="E72" s="192"/>
      <c r="F72" s="194"/>
      <c r="R72" s="219" t="s">
        <v>366</v>
      </c>
      <c r="S72" s="219" t="s">
        <v>364</v>
      </c>
      <c r="T72" s="246">
        <f>MAX($BU$120:$BU$660)</f>
        <v>0.51709346529252775</v>
      </c>
      <c r="U72" s="219" t="s">
        <v>363</v>
      </c>
      <c r="V72" s="219"/>
      <c r="W72" s="219"/>
      <c r="Y72" s="251"/>
      <c r="Z72" s="199" t="s">
        <v>520</v>
      </c>
      <c r="AA72" s="199">
        <f t="shared" si="6"/>
        <v>66</v>
      </c>
      <c r="AB72" s="199"/>
      <c r="AC72" s="199">
        <v>3.3</v>
      </c>
      <c r="AD72" s="199">
        <v>1</v>
      </c>
      <c r="AE72" s="199">
        <v>100</v>
      </c>
      <c r="AF72" s="197">
        <f t="shared" si="8"/>
        <v>-71.396369352685284</v>
      </c>
      <c r="AG72" s="218"/>
      <c r="AH72" s="197">
        <f t="shared" si="9"/>
        <v>-0.96471428571428586</v>
      </c>
      <c r="AI72" s="197">
        <f t="shared" si="10"/>
        <v>99.037499999999994</v>
      </c>
      <c r="AJ72" s="252"/>
      <c r="AK72" s="228"/>
      <c r="AL72" s="228"/>
      <c r="AM72" s="228"/>
      <c r="AN72" s="228"/>
      <c r="AO72" s="228"/>
      <c r="AP72" s="228"/>
      <c r="AQ72" s="228"/>
      <c r="AR72" s="228"/>
      <c r="AS72" s="228"/>
      <c r="AT72" s="228"/>
      <c r="AU72" s="228"/>
      <c r="AV72" s="228"/>
      <c r="AW72" s="228"/>
      <c r="AX72" s="228"/>
      <c r="AY72" s="253"/>
      <c r="AZ72" s="228"/>
      <c r="BA72" s="228"/>
      <c r="BB72" s="228"/>
      <c r="BC72" s="228"/>
      <c r="BD72" s="228"/>
      <c r="BE72" s="228"/>
      <c r="BF72" s="228"/>
      <c r="BG72" s="228"/>
      <c r="BH72" s="228"/>
      <c r="BI72" s="253"/>
      <c r="BJ72" s="228"/>
      <c r="BK72" s="228"/>
      <c r="BL72" s="228"/>
      <c r="BM72" s="254"/>
      <c r="BN72" s="254"/>
      <c r="BO72" s="254" t="str">
        <v>Large coil, 3.3uH</v>
      </c>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row>
    <row r="73" spans="2:134" s="249" customFormat="1" hidden="1" x14ac:dyDescent="0.2">
      <c r="M73" s="263" t="s">
        <v>523</v>
      </c>
      <c r="R73" s="219" t="s">
        <v>367</v>
      </c>
      <c r="S73" s="219" t="s">
        <v>365</v>
      </c>
      <c r="T73" s="246">
        <f>MAX($BV$120:$BV$660)</f>
        <v>1.9720527515381456</v>
      </c>
      <c r="U73" s="219" t="s">
        <v>363</v>
      </c>
      <c r="V73" s="219"/>
      <c r="W73" s="219"/>
      <c r="Y73" s="251"/>
      <c r="Z73" s="199" t="s">
        <v>519</v>
      </c>
      <c r="AA73" s="199">
        <f t="shared" si="6"/>
        <v>67</v>
      </c>
      <c r="AB73" s="199"/>
      <c r="AC73" s="199">
        <v>4.7</v>
      </c>
      <c r="AD73" s="199">
        <v>1</v>
      </c>
      <c r="AE73" s="199">
        <v>100</v>
      </c>
      <c r="AF73" s="197">
        <f t="shared" si="8"/>
        <v>-69.996369352685278</v>
      </c>
      <c r="AG73" s="218"/>
      <c r="AH73" s="197">
        <f t="shared" si="9"/>
        <v>-0.96471428571428586</v>
      </c>
      <c r="AI73" s="197">
        <f t="shared" si="10"/>
        <v>99.037499999999994</v>
      </c>
      <c r="AJ73" s="252"/>
      <c r="AK73" s="228"/>
      <c r="AL73" s="228"/>
      <c r="AM73" s="228"/>
      <c r="AN73" s="228"/>
      <c r="AO73" s="228"/>
      <c r="AP73" s="228"/>
      <c r="AQ73" s="228"/>
      <c r="AR73" s="228"/>
      <c r="AS73" s="228"/>
      <c r="AT73" s="228"/>
      <c r="AU73" s="228"/>
      <c r="AV73" s="228"/>
      <c r="AW73" s="228"/>
      <c r="AX73" s="228"/>
      <c r="AY73" s="253"/>
      <c r="AZ73" s="228"/>
      <c r="BA73" s="228"/>
      <c r="BB73" s="228"/>
      <c r="BC73" s="228"/>
      <c r="BD73" s="228"/>
      <c r="BE73" s="228"/>
      <c r="BF73" s="228"/>
      <c r="BG73" s="228"/>
      <c r="BH73" s="228"/>
      <c r="BI73" s="253"/>
      <c r="BJ73" s="228"/>
      <c r="BK73" s="228"/>
      <c r="BL73" s="228"/>
      <c r="BM73" s="254"/>
      <c r="BN73" s="254"/>
      <c r="BO73" s="254" t="str">
        <v>Large coil, 4.7uH</v>
      </c>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row>
    <row r="74" spans="2:134" s="249" customFormat="1" hidden="1" x14ac:dyDescent="0.2">
      <c r="M74" s="264" t="s">
        <v>639</v>
      </c>
      <c r="R74" s="219" t="s">
        <v>421</v>
      </c>
      <c r="S74" s="219" t="s">
        <v>422</v>
      </c>
      <c r="T74" s="265">
        <f t="array" ref="T74">INDEX(CAPS,MATCH(MIN(ABS(CAPS-CIN/2)),ABS(CAPS-CIN/2),0),1)</f>
        <v>0.47</v>
      </c>
      <c r="U74" s="219" t="s">
        <v>363</v>
      </c>
      <c r="V74" s="219"/>
      <c r="W74" s="219"/>
      <c r="Y74" s="251"/>
      <c r="Z74" s="199" t="s">
        <v>518</v>
      </c>
      <c r="AA74" s="199">
        <f t="shared" si="6"/>
        <v>68</v>
      </c>
      <c r="AB74" s="199"/>
      <c r="AC74" s="199">
        <v>6.8</v>
      </c>
      <c r="AD74" s="199">
        <v>1</v>
      </c>
      <c r="AE74" s="199">
        <v>100</v>
      </c>
      <c r="AF74" s="197">
        <f t="shared" si="8"/>
        <v>-67.896369352685284</v>
      </c>
      <c r="AG74" s="218"/>
      <c r="AH74" s="197">
        <f t="shared" si="9"/>
        <v>-0.96471428571428586</v>
      </c>
      <c r="AI74" s="197">
        <f t="shared" si="10"/>
        <v>99.037499999999994</v>
      </c>
      <c r="AJ74" s="252"/>
      <c r="AK74" s="228"/>
      <c r="AL74" s="228"/>
      <c r="AM74" s="228"/>
      <c r="AN74" s="228"/>
      <c r="AO74" s="228"/>
      <c r="AP74" s="228"/>
      <c r="AQ74" s="228"/>
      <c r="AR74" s="228"/>
      <c r="AS74" s="228"/>
      <c r="AT74" s="228"/>
      <c r="AU74" s="228"/>
      <c r="AV74" s="228"/>
      <c r="AW74" s="228"/>
      <c r="AX74" s="228"/>
      <c r="AY74" s="253"/>
      <c r="AZ74" s="228"/>
      <c r="BA74" s="228"/>
      <c r="BB74" s="228"/>
      <c r="BC74" s="228"/>
      <c r="BD74" s="228"/>
      <c r="BE74" s="228"/>
      <c r="BF74" s="228"/>
      <c r="BG74" s="228"/>
      <c r="BH74" s="228"/>
      <c r="BI74" s="253"/>
      <c r="BJ74" s="228"/>
      <c r="BK74" s="228"/>
      <c r="BL74" s="228"/>
      <c r="BM74" s="254"/>
      <c r="BN74" s="254"/>
      <c r="BO74" s="254" t="str">
        <v>Large coil, 6.8uH</v>
      </c>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row>
    <row r="75" spans="2:134" s="249" customFormat="1" hidden="1" x14ac:dyDescent="0.2">
      <c r="M75" s="266">
        <v>0.2</v>
      </c>
      <c r="R75" s="219" t="s">
        <v>484</v>
      </c>
      <c r="S75" s="219" t="s">
        <v>483</v>
      </c>
      <c r="T75" s="265">
        <f t="array" ref="T75">INDEX(CAPS,MATCH(MIN(ABS(CAPS-COUT/2)),ABS(CAPS-COUT/2),0),1)</f>
        <v>1</v>
      </c>
      <c r="U75" s="219" t="s">
        <v>363</v>
      </c>
      <c r="V75" s="219"/>
      <c r="W75" s="219"/>
      <c r="Y75" s="251"/>
      <c r="Z75" s="199" t="s">
        <v>426</v>
      </c>
      <c r="AA75" s="199">
        <f t="shared" si="6"/>
        <v>69</v>
      </c>
      <c r="AB75" s="199"/>
      <c r="AC75" s="199">
        <v>10</v>
      </c>
      <c r="AD75" s="199">
        <v>1</v>
      </c>
      <c r="AE75" s="199">
        <v>100</v>
      </c>
      <c r="AF75" s="197">
        <f t="shared" si="8"/>
        <v>-64.696369352685281</v>
      </c>
      <c r="AG75" s="218"/>
      <c r="AH75" s="197">
        <f t="shared" si="9"/>
        <v>-0.96471428571428586</v>
      </c>
      <c r="AI75" s="197">
        <f t="shared" si="10"/>
        <v>99.037499999999994</v>
      </c>
      <c r="AJ75" s="252"/>
      <c r="AK75" s="228"/>
      <c r="AL75" s="228"/>
      <c r="AM75" s="228"/>
      <c r="AN75" s="228"/>
      <c r="AO75" s="228"/>
      <c r="AP75" s="228"/>
      <c r="AQ75" s="228"/>
      <c r="AR75" s="228"/>
      <c r="AS75" s="228"/>
      <c r="AT75" s="228"/>
      <c r="AU75" s="228"/>
      <c r="AV75" s="228"/>
      <c r="AW75" s="228"/>
      <c r="AX75" s="228"/>
      <c r="AY75" s="253"/>
      <c r="AZ75" s="228"/>
      <c r="BA75" s="228"/>
      <c r="BB75" s="228"/>
      <c r="BC75" s="228"/>
      <c r="BD75" s="228"/>
      <c r="BE75" s="228"/>
      <c r="BF75" s="228"/>
      <c r="BG75" s="228"/>
      <c r="BH75" s="228"/>
      <c r="BI75" s="253"/>
      <c r="BJ75" s="228"/>
      <c r="BK75" s="228"/>
      <c r="BL75" s="228"/>
      <c r="BM75" s="254"/>
      <c r="BN75" s="254"/>
      <c r="BO75" s="254" t="str">
        <v>Large coil, 10uH</v>
      </c>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row>
    <row r="76" spans="2:134" s="249" customFormat="1" hidden="1" x14ac:dyDescent="0.2">
      <c r="M76" s="266">
        <v>0.22500000000000001</v>
      </c>
      <c r="R76" s="219"/>
      <c r="S76" s="219"/>
      <c r="T76" s="219"/>
      <c r="U76" s="219"/>
      <c r="V76" s="219"/>
      <c r="W76" s="219"/>
      <c r="Y76" s="251"/>
      <c r="Z76" s="199" t="s">
        <v>181</v>
      </c>
      <c r="AA76" s="199">
        <f t="shared" si="6"/>
        <v>70</v>
      </c>
      <c r="AB76" s="199"/>
      <c r="AC76" s="199">
        <v>15</v>
      </c>
      <c r="AD76" s="199">
        <v>1</v>
      </c>
      <c r="AE76" s="199">
        <v>100</v>
      </c>
      <c r="AF76" s="197">
        <f t="shared" si="8"/>
        <v>-59.696369352685281</v>
      </c>
      <c r="AG76" s="218"/>
      <c r="AH76" s="197">
        <f t="shared" si="9"/>
        <v>-0.96471428571428586</v>
      </c>
      <c r="AI76" s="197">
        <f t="shared" si="10"/>
        <v>99.037499999999994</v>
      </c>
      <c r="AJ76" s="252"/>
      <c r="AK76" s="228"/>
      <c r="AL76" s="228"/>
      <c r="AM76" s="228"/>
      <c r="AN76" s="228"/>
      <c r="AO76" s="228"/>
      <c r="AP76" s="228"/>
      <c r="AQ76" s="228"/>
      <c r="AR76" s="228"/>
      <c r="AS76" s="228"/>
      <c r="AT76" s="228"/>
      <c r="AU76" s="228"/>
      <c r="AV76" s="228"/>
      <c r="AW76" s="228"/>
      <c r="AX76" s="228"/>
      <c r="AY76" s="253"/>
      <c r="AZ76" s="228"/>
      <c r="BA76" s="228"/>
      <c r="BB76" s="228"/>
      <c r="BC76" s="228"/>
      <c r="BD76" s="228"/>
      <c r="BE76" s="228"/>
      <c r="BF76" s="228"/>
      <c r="BG76" s="228"/>
      <c r="BH76" s="228"/>
      <c r="BI76" s="253"/>
      <c r="BJ76" s="228"/>
      <c r="BK76" s="228"/>
      <c r="BL76" s="228"/>
      <c r="BM76" s="254"/>
      <c r="BN76" s="254"/>
      <c r="BO76" s="254" t="str">
        <v>Large coil, 15uH</v>
      </c>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row>
    <row r="77" spans="2:134" s="249" customFormat="1" hidden="1" x14ac:dyDescent="0.2">
      <c r="M77" s="266">
        <v>0.25</v>
      </c>
      <c r="Q77" s="250"/>
      <c r="R77" s="219"/>
      <c r="S77" s="219"/>
      <c r="T77" s="219"/>
      <c r="U77" s="219"/>
      <c r="V77" s="219"/>
      <c r="W77" s="219"/>
      <c r="Y77" s="251"/>
      <c r="Z77" s="199" t="s">
        <v>180</v>
      </c>
      <c r="AA77" s="199">
        <f t="shared" si="6"/>
        <v>71</v>
      </c>
      <c r="AB77" s="199"/>
      <c r="AC77" s="199">
        <v>22</v>
      </c>
      <c r="AD77" s="199">
        <v>1</v>
      </c>
      <c r="AE77" s="199">
        <v>100</v>
      </c>
      <c r="AF77" s="197">
        <f t="shared" si="8"/>
        <v>-52.696369352685281</v>
      </c>
      <c r="AG77" s="218"/>
      <c r="AH77" s="197">
        <f t="shared" si="9"/>
        <v>-0.96471428571428586</v>
      </c>
      <c r="AI77" s="197">
        <f t="shared" si="10"/>
        <v>99.037499999999994</v>
      </c>
      <c r="AJ77" s="252"/>
      <c r="AK77" s="228"/>
      <c r="AL77" s="228"/>
      <c r="AM77" s="228"/>
      <c r="AN77" s="228"/>
      <c r="AO77" s="228"/>
      <c r="AP77" s="228"/>
      <c r="AQ77" s="228"/>
      <c r="AR77" s="228"/>
      <c r="AS77" s="228"/>
      <c r="AT77" s="228"/>
      <c r="AU77" s="228"/>
      <c r="AV77" s="228"/>
      <c r="AW77" s="228"/>
      <c r="AX77" s="228"/>
      <c r="AY77" s="253"/>
      <c r="AZ77" s="228"/>
      <c r="BA77" s="228"/>
      <c r="BB77" s="228"/>
      <c r="BC77" s="228"/>
      <c r="BD77" s="228"/>
      <c r="BE77" s="228"/>
      <c r="BF77" s="228"/>
      <c r="BG77" s="228"/>
      <c r="BH77" s="228"/>
      <c r="BI77" s="253"/>
      <c r="BJ77" s="228"/>
      <c r="BK77" s="228"/>
      <c r="BL77" s="228"/>
      <c r="BM77" s="254"/>
      <c r="BN77" s="254"/>
      <c r="BO77" s="254" t="str">
        <v>Large coil, 22uH</v>
      </c>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row>
    <row r="78" spans="2:134" s="249" customFormat="1" hidden="1" x14ac:dyDescent="0.2">
      <c r="M78" s="266">
        <v>0.27500000000000002</v>
      </c>
      <c r="Q78" s="250"/>
      <c r="R78" s="219" t="s">
        <v>394</v>
      </c>
      <c r="S78" s="219" t="s">
        <v>391</v>
      </c>
      <c r="T78" s="246">
        <f t="array" ref="T78">MAX($AV$120:$AV$660+$AX$120:$AX$660)</f>
        <v>8.8667999999999997E-2</v>
      </c>
      <c r="U78" s="219" t="s">
        <v>27</v>
      </c>
      <c r="V78" s="219"/>
      <c r="W78" s="219"/>
      <c r="Y78" s="251"/>
      <c r="Z78" s="199" t="s">
        <v>679</v>
      </c>
      <c r="AA78" s="199">
        <f t="shared" si="6"/>
        <v>72</v>
      </c>
      <c r="AB78" s="199"/>
      <c r="AC78" s="199">
        <v>39</v>
      </c>
      <c r="AD78" s="199">
        <v>1</v>
      </c>
      <c r="AE78" s="199">
        <v>100</v>
      </c>
      <c r="AF78" s="197">
        <f t="shared" si="8"/>
        <v>-35.696369352685281</v>
      </c>
      <c r="AG78" s="218"/>
      <c r="AH78" s="197">
        <f t="shared" si="9"/>
        <v>-0.96471428571428586</v>
      </c>
      <c r="AI78" s="197">
        <f t="shared" si="10"/>
        <v>99.037499999999994</v>
      </c>
      <c r="AJ78" s="252"/>
      <c r="AK78" s="228"/>
      <c r="AL78" s="228"/>
      <c r="AM78" s="228"/>
      <c r="AN78" s="228"/>
      <c r="AO78" s="228"/>
      <c r="AP78" s="228"/>
      <c r="AQ78" s="228"/>
      <c r="AR78" s="228"/>
      <c r="AS78" s="228"/>
      <c r="AT78" s="228"/>
      <c r="AU78" s="228"/>
      <c r="AV78" s="228"/>
      <c r="AW78" s="228"/>
      <c r="AX78" s="228"/>
      <c r="AY78" s="253"/>
      <c r="AZ78" s="228"/>
      <c r="BA78" s="228"/>
      <c r="BB78" s="228"/>
      <c r="BC78" s="228"/>
      <c r="BD78" s="228"/>
      <c r="BE78" s="228"/>
      <c r="BF78" s="228"/>
      <c r="BG78" s="228"/>
      <c r="BH78" s="228"/>
      <c r="BI78" s="253"/>
      <c r="BJ78" s="228"/>
      <c r="BK78" s="228"/>
      <c r="BL78" s="228"/>
      <c r="BM78" s="254"/>
      <c r="BN78" s="254"/>
      <c r="BO78" s="254" t="str">
        <v>Large coil, 39uH</v>
      </c>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row>
    <row r="79" spans="2:134" s="249" customFormat="1" hidden="1" x14ac:dyDescent="0.2">
      <c r="M79" s="266">
        <v>0.3</v>
      </c>
      <c r="Q79" s="250"/>
      <c r="R79" s="219" t="s">
        <v>395</v>
      </c>
      <c r="S79" s="219" t="s">
        <v>390</v>
      </c>
      <c r="T79" s="267">
        <f>TAMB+DISSNOLIM*RTH</f>
        <v>56.206760000000003</v>
      </c>
      <c r="U79" s="219" t="s">
        <v>37</v>
      </c>
      <c r="V79" s="219"/>
      <c r="W79" s="219"/>
      <c r="Y79" s="251"/>
      <c r="Z79" s="199" t="s">
        <v>201</v>
      </c>
      <c r="AA79" s="199">
        <f t="shared" si="6"/>
        <v>73</v>
      </c>
      <c r="AB79" s="199"/>
      <c r="AC79" s="199">
        <v>33</v>
      </c>
      <c r="AD79" s="199">
        <v>1</v>
      </c>
      <c r="AE79" s="199">
        <v>100</v>
      </c>
      <c r="AF79" s="197">
        <f t="shared" si="8"/>
        <v>-41.696369352685281</v>
      </c>
      <c r="AG79" s="218"/>
      <c r="AH79" s="197">
        <f t="shared" si="9"/>
        <v>-0.96471428571428586</v>
      </c>
      <c r="AI79" s="197">
        <f t="shared" si="10"/>
        <v>99.037499999999994</v>
      </c>
      <c r="AJ79" s="252"/>
      <c r="AK79" s="228"/>
      <c r="AL79" s="228"/>
      <c r="AM79" s="228"/>
      <c r="AN79" s="228"/>
      <c r="AO79" s="228"/>
      <c r="AP79" s="228"/>
      <c r="AQ79" s="228"/>
      <c r="AR79" s="228"/>
      <c r="AS79" s="228"/>
      <c r="AT79" s="228"/>
      <c r="AU79" s="228"/>
      <c r="AV79" s="228"/>
      <c r="AW79" s="228"/>
      <c r="AX79" s="228"/>
      <c r="AY79" s="253"/>
      <c r="AZ79" s="228"/>
      <c r="BA79" s="228"/>
      <c r="BB79" s="228"/>
      <c r="BC79" s="228"/>
      <c r="BD79" s="228"/>
      <c r="BE79" s="228"/>
      <c r="BF79" s="228"/>
      <c r="BG79" s="228"/>
      <c r="BH79" s="228"/>
      <c r="BI79" s="253"/>
      <c r="BJ79" s="228"/>
      <c r="BK79" s="228"/>
      <c r="BL79" s="228"/>
      <c r="BM79" s="254"/>
      <c r="BN79" s="254"/>
      <c r="BO79" s="254" t="str">
        <v>Large coil, 33uH</v>
      </c>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row>
    <row r="80" spans="2:134" s="249" customFormat="1" hidden="1" x14ac:dyDescent="0.2">
      <c r="M80" s="266">
        <v>0.32500000000000001</v>
      </c>
      <c r="Q80" s="250"/>
      <c r="R80" s="219" t="s">
        <v>376</v>
      </c>
      <c r="S80" s="219" t="s">
        <v>375</v>
      </c>
      <c r="T80" s="268">
        <f>(TJNOLIM&gt;TJMAX)*NOT(LOWV)</f>
        <v>0</v>
      </c>
      <c r="U80" s="219"/>
      <c r="V80" s="219" t="s">
        <v>458</v>
      </c>
      <c r="W80" s="219"/>
      <c r="Y80" s="251"/>
      <c r="Z80" s="199" t="s">
        <v>202</v>
      </c>
      <c r="AA80" s="199">
        <f t="shared" si="6"/>
        <v>74</v>
      </c>
      <c r="AB80" s="199"/>
      <c r="AC80" s="199">
        <v>47</v>
      </c>
      <c r="AD80" s="199">
        <v>1</v>
      </c>
      <c r="AE80" s="199">
        <v>100</v>
      </c>
      <c r="AF80" s="197">
        <f t="shared" si="8"/>
        <v>-27.696369352685281</v>
      </c>
      <c r="AG80" s="218"/>
      <c r="AH80" s="197">
        <f t="shared" si="9"/>
        <v>-0.96471428571428586</v>
      </c>
      <c r="AI80" s="197">
        <f t="shared" si="10"/>
        <v>99.037499999999994</v>
      </c>
      <c r="AJ80" s="252"/>
      <c r="AK80" s="228"/>
      <c r="AL80" s="228"/>
      <c r="AM80" s="228"/>
      <c r="AN80" s="228"/>
      <c r="AO80" s="228"/>
      <c r="AP80" s="228"/>
      <c r="AQ80" s="228"/>
      <c r="AR80" s="228"/>
      <c r="AS80" s="228"/>
      <c r="AT80" s="228"/>
      <c r="AU80" s="228"/>
      <c r="AV80" s="228"/>
      <c r="AW80" s="228"/>
      <c r="AX80" s="228"/>
      <c r="AY80" s="253"/>
      <c r="AZ80" s="228"/>
      <c r="BA80" s="228"/>
      <c r="BB80" s="228"/>
      <c r="BC80" s="228"/>
      <c r="BD80" s="228"/>
      <c r="BE80" s="228"/>
      <c r="BF80" s="228"/>
      <c r="BG80" s="228"/>
      <c r="BH80" s="228"/>
      <c r="BI80" s="253"/>
      <c r="BJ80" s="228"/>
      <c r="BK80" s="228"/>
      <c r="BL80" s="228"/>
      <c r="BM80" s="254"/>
      <c r="BN80" s="254"/>
      <c r="BO80" s="254" t="str">
        <v>Large coil, 47uH</v>
      </c>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row>
    <row r="81" spans="13:107" s="249" customFormat="1" hidden="1" x14ac:dyDescent="0.2">
      <c r="M81" s="266">
        <v>0.35</v>
      </c>
      <c r="Q81" s="250"/>
      <c r="R81" s="219" t="s">
        <v>457</v>
      </c>
      <c r="S81" s="219" t="s">
        <v>459</v>
      </c>
      <c r="T81" s="219">
        <v>15</v>
      </c>
      <c r="U81" s="219" t="s">
        <v>0</v>
      </c>
      <c r="V81" s="219"/>
      <c r="W81" s="219"/>
      <c r="Y81" s="251"/>
      <c r="Z81" s="199" t="s">
        <v>203</v>
      </c>
      <c r="AA81" s="199">
        <f t="shared" si="6"/>
        <v>75</v>
      </c>
      <c r="AB81" s="199"/>
      <c r="AC81" s="199">
        <v>68</v>
      </c>
      <c r="AD81" s="199">
        <v>1</v>
      </c>
      <c r="AE81" s="199">
        <v>100</v>
      </c>
      <c r="AF81" s="197">
        <f t="shared" si="8"/>
        <v>-6.6963693526852808</v>
      </c>
      <c r="AG81" s="218"/>
      <c r="AH81" s="197">
        <f t="shared" si="9"/>
        <v>-0.96471428571428586</v>
      </c>
      <c r="AI81" s="197">
        <f t="shared" si="10"/>
        <v>99.037499999999994</v>
      </c>
      <c r="AJ81" s="252"/>
      <c r="AK81" s="228"/>
      <c r="AL81" s="228"/>
      <c r="AM81" s="228"/>
      <c r="AN81" s="228"/>
      <c r="AO81" s="228"/>
      <c r="AP81" s="228"/>
      <c r="AQ81" s="228"/>
      <c r="AR81" s="228"/>
      <c r="AS81" s="228"/>
      <c r="AT81" s="228"/>
      <c r="AU81" s="228"/>
      <c r="AV81" s="228"/>
      <c r="AW81" s="228"/>
      <c r="AX81" s="228"/>
      <c r="AY81" s="253"/>
      <c r="AZ81" s="228"/>
      <c r="BA81" s="228"/>
      <c r="BB81" s="228"/>
      <c r="BC81" s="228"/>
      <c r="BD81" s="228"/>
      <c r="BE81" s="228"/>
      <c r="BF81" s="228"/>
      <c r="BG81" s="228"/>
      <c r="BH81" s="228"/>
      <c r="BI81" s="253"/>
      <c r="BJ81" s="228"/>
      <c r="BK81" s="228"/>
      <c r="BL81" s="228"/>
      <c r="BM81" s="254"/>
      <c r="BN81" s="254"/>
      <c r="BO81" s="254" t="str">
        <v>Large coil, 68uH</v>
      </c>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row>
    <row r="82" spans="13:107" s="249" customFormat="1" hidden="1" x14ac:dyDescent="0.2">
      <c r="M82" s="266">
        <v>0.375</v>
      </c>
      <c r="Q82" s="250"/>
      <c r="R82" s="219"/>
      <c r="S82" s="219" t="s">
        <v>632</v>
      </c>
      <c r="T82" s="219">
        <f>IF($C$20="AUTO",1,0)</f>
        <v>1</v>
      </c>
      <c r="U82" s="219"/>
      <c r="V82" s="219"/>
      <c r="W82" s="219"/>
      <c r="Y82" s="251"/>
      <c r="Z82" s="199" t="s">
        <v>680</v>
      </c>
      <c r="AA82" s="199">
        <f t="shared" si="6"/>
        <v>76</v>
      </c>
      <c r="AB82" s="199"/>
      <c r="AC82" s="199">
        <v>82</v>
      </c>
      <c r="AD82" s="199">
        <v>1</v>
      </c>
      <c r="AE82" s="199">
        <v>100</v>
      </c>
      <c r="AF82" s="197">
        <f t="shared" si="8"/>
        <v>7.3036306473147192</v>
      </c>
      <c r="AG82" s="218"/>
      <c r="AH82" s="197">
        <f t="shared" si="9"/>
        <v>-0.96471428571428586</v>
      </c>
      <c r="AI82" s="197">
        <f t="shared" si="10"/>
        <v>99.037499999999994</v>
      </c>
      <c r="AJ82" s="252"/>
      <c r="AK82" s="228"/>
      <c r="AL82" s="228"/>
      <c r="AM82" s="228"/>
      <c r="AN82" s="228"/>
      <c r="AO82" s="228"/>
      <c r="AP82" s="228"/>
      <c r="AQ82" s="228"/>
      <c r="AR82" s="228"/>
      <c r="AS82" s="228"/>
      <c r="AT82" s="228"/>
      <c r="AU82" s="228"/>
      <c r="AV82" s="228"/>
      <c r="AW82" s="228"/>
      <c r="AX82" s="228"/>
      <c r="AY82" s="253"/>
      <c r="AZ82" s="228"/>
      <c r="BA82" s="228"/>
      <c r="BB82" s="228"/>
      <c r="BC82" s="228"/>
      <c r="BD82" s="228"/>
      <c r="BE82" s="228"/>
      <c r="BF82" s="228"/>
      <c r="BG82" s="228"/>
      <c r="BH82" s="228"/>
      <c r="BI82" s="253"/>
      <c r="BJ82" s="228"/>
      <c r="BK82" s="228"/>
      <c r="BL82" s="228"/>
      <c r="BM82" s="254"/>
      <c r="BN82" s="254"/>
      <c r="BO82" s="254" t="str">
        <v>Large coil, 82uH</v>
      </c>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row>
    <row r="83" spans="13:107" s="249" customFormat="1" hidden="1" x14ac:dyDescent="0.2">
      <c r="M83" s="266">
        <v>0.4</v>
      </c>
      <c r="Q83" s="250"/>
      <c r="R83" s="219" t="s">
        <v>377</v>
      </c>
      <c r="S83" s="219" t="s">
        <v>407</v>
      </c>
      <c r="T83" s="268">
        <f>(VINMIN&lt;10)*(CONFIG&lt;&gt;"BUCK")*T82</f>
        <v>1</v>
      </c>
      <c r="U83" s="219"/>
      <c r="V83" s="219"/>
      <c r="W83" s="219"/>
      <c r="Y83" s="251"/>
      <c r="Z83" s="199" t="s">
        <v>204</v>
      </c>
      <c r="AA83" s="199">
        <f t="shared" si="6"/>
        <v>77</v>
      </c>
      <c r="AB83" s="199"/>
      <c r="AC83" s="199">
        <v>100</v>
      </c>
      <c r="AD83" s="199">
        <v>1</v>
      </c>
      <c r="AE83" s="199">
        <v>100</v>
      </c>
      <c r="AF83" s="197">
        <f t="shared" si="8"/>
        <v>25.303630647314719</v>
      </c>
      <c r="AG83" s="218"/>
      <c r="AH83" s="197">
        <f t="shared" si="9"/>
        <v>-0.96471428571428586</v>
      </c>
      <c r="AI83" s="197">
        <f t="shared" si="10"/>
        <v>99.037499999999994</v>
      </c>
      <c r="AJ83" s="252"/>
      <c r="AK83" s="228"/>
      <c r="AL83" s="228"/>
      <c r="AM83" s="228"/>
      <c r="AN83" s="228"/>
      <c r="AO83" s="228"/>
      <c r="AP83" s="228"/>
      <c r="AQ83" s="228"/>
      <c r="AR83" s="228"/>
      <c r="AS83" s="228"/>
      <c r="AT83" s="228"/>
      <c r="AU83" s="228"/>
      <c r="AV83" s="228"/>
      <c r="AW83" s="228"/>
      <c r="AX83" s="228"/>
      <c r="AY83" s="253"/>
      <c r="AZ83" s="228"/>
      <c r="BA83" s="228"/>
      <c r="BB83" s="228"/>
      <c r="BC83" s="228"/>
      <c r="BD83" s="228"/>
      <c r="BE83" s="228"/>
      <c r="BF83" s="228"/>
      <c r="BG83" s="228"/>
      <c r="BH83" s="228"/>
      <c r="BI83" s="253"/>
      <c r="BJ83" s="228"/>
      <c r="BK83" s="228"/>
      <c r="BL83" s="228"/>
      <c r="BM83" s="254"/>
      <c r="BN83" s="254"/>
      <c r="BO83" s="254" t="str">
        <v>Large coil, 100uH</v>
      </c>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row>
    <row r="84" spans="13:107" s="249" customFormat="1" hidden="1" x14ac:dyDescent="0.2">
      <c r="M84" s="266">
        <v>0.42499999999999999</v>
      </c>
      <c r="Q84" s="250"/>
      <c r="R84" s="219"/>
      <c r="S84" s="219"/>
      <c r="T84" s="219"/>
      <c r="U84" s="219"/>
      <c r="V84" s="219"/>
      <c r="W84" s="219"/>
      <c r="Y84" s="251"/>
      <c r="Z84" s="199" t="s">
        <v>205</v>
      </c>
      <c r="AA84" s="199">
        <f t="shared" si="6"/>
        <v>78</v>
      </c>
      <c r="AB84" s="199"/>
      <c r="AC84" s="199">
        <v>150</v>
      </c>
      <c r="AD84" s="199">
        <v>1</v>
      </c>
      <c r="AE84" s="199">
        <v>100</v>
      </c>
      <c r="AF84" s="197">
        <f t="shared" si="8"/>
        <v>75.303630647314719</v>
      </c>
      <c r="AG84" s="218"/>
      <c r="AH84" s="197">
        <f t="shared" si="9"/>
        <v>-0.96471428571428586</v>
      </c>
      <c r="AI84" s="197">
        <f t="shared" si="10"/>
        <v>99.037499999999994</v>
      </c>
      <c r="AJ84" s="252"/>
      <c r="AK84" s="228"/>
      <c r="AL84" s="228"/>
      <c r="AM84" s="228"/>
      <c r="AN84" s="228"/>
      <c r="AO84" s="228"/>
      <c r="AP84" s="228"/>
      <c r="AQ84" s="228"/>
      <c r="AR84" s="228"/>
      <c r="AS84" s="228"/>
      <c r="AT84" s="228"/>
      <c r="AU84" s="228"/>
      <c r="AV84" s="228"/>
      <c r="AW84" s="228"/>
      <c r="AX84" s="228"/>
      <c r="AY84" s="253"/>
      <c r="AZ84" s="228"/>
      <c r="BA84" s="228"/>
      <c r="BB84" s="228"/>
      <c r="BC84" s="228"/>
      <c r="BD84" s="228"/>
      <c r="BE84" s="228"/>
      <c r="BF84" s="228"/>
      <c r="BG84" s="228"/>
      <c r="BH84" s="228"/>
      <c r="BI84" s="253"/>
      <c r="BJ84" s="228"/>
      <c r="BK84" s="228"/>
      <c r="BL84" s="228"/>
      <c r="BM84" s="254"/>
      <c r="BN84" s="254"/>
      <c r="BO84" s="254" t="str">
        <v>Large coil, 150uH</v>
      </c>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row>
    <row r="85" spans="13:107" s="249" customFormat="1" hidden="1" x14ac:dyDescent="0.2">
      <c r="M85" s="266">
        <v>0.45</v>
      </c>
      <c r="Q85" s="250"/>
      <c r="R85" s="219"/>
      <c r="S85" s="219"/>
      <c r="T85" s="219"/>
      <c r="U85" s="219"/>
      <c r="V85" s="219"/>
      <c r="W85" s="219"/>
      <c r="Y85" s="251"/>
      <c r="Z85" s="199" t="s">
        <v>206</v>
      </c>
      <c r="AA85" s="199">
        <f t="shared" si="6"/>
        <v>79</v>
      </c>
      <c r="AB85" s="199"/>
      <c r="AC85" s="199">
        <v>220</v>
      </c>
      <c r="AD85" s="199">
        <v>1</v>
      </c>
      <c r="AE85" s="199">
        <v>100</v>
      </c>
      <c r="AF85" s="197">
        <f t="shared" si="8"/>
        <v>145.30363064731472</v>
      </c>
      <c r="AG85" s="218"/>
      <c r="AH85" s="197">
        <f t="shared" si="9"/>
        <v>-0.96471428571428586</v>
      </c>
      <c r="AI85" s="197">
        <f t="shared" si="10"/>
        <v>99.037499999999994</v>
      </c>
      <c r="AJ85" s="252"/>
      <c r="AK85" s="228"/>
      <c r="AL85" s="228"/>
      <c r="AM85" s="228"/>
      <c r="AN85" s="228"/>
      <c r="AO85" s="228"/>
      <c r="AP85" s="228"/>
      <c r="AQ85" s="228"/>
      <c r="AR85" s="228"/>
      <c r="AS85" s="228"/>
      <c r="AT85" s="228"/>
      <c r="AU85" s="228"/>
      <c r="AV85" s="228"/>
      <c r="AW85" s="228"/>
      <c r="AX85" s="228"/>
      <c r="AY85" s="253"/>
      <c r="AZ85" s="228"/>
      <c r="BA85" s="228"/>
      <c r="BB85" s="228"/>
      <c r="BC85" s="228"/>
      <c r="BD85" s="228"/>
      <c r="BE85" s="228"/>
      <c r="BF85" s="228"/>
      <c r="BG85" s="228"/>
      <c r="BH85" s="228"/>
      <c r="BI85" s="253"/>
      <c r="BJ85" s="228"/>
      <c r="BK85" s="228"/>
      <c r="BL85" s="228"/>
      <c r="BM85" s="228"/>
      <c r="BN85" s="228"/>
      <c r="BO85" s="228" t="str">
        <v>Large coil, 220uH</v>
      </c>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row>
    <row r="86" spans="13:107" s="249" customFormat="1" hidden="1" x14ac:dyDescent="0.2">
      <c r="M86" s="266">
        <v>0.47499999999999998</v>
      </c>
      <c r="Q86" s="250"/>
      <c r="R86" s="219"/>
      <c r="S86" s="219"/>
      <c r="T86" s="219"/>
      <c r="U86" s="219"/>
      <c r="V86" s="219"/>
      <c r="W86" s="219"/>
      <c r="Y86" s="251"/>
      <c r="Z86" s="199" t="s">
        <v>207</v>
      </c>
      <c r="AA86" s="199">
        <f t="shared" si="6"/>
        <v>80</v>
      </c>
      <c r="AB86" s="199"/>
      <c r="AC86" s="199">
        <v>330</v>
      </c>
      <c r="AD86" s="199">
        <v>1</v>
      </c>
      <c r="AE86" s="199">
        <v>100</v>
      </c>
      <c r="AF86" s="197">
        <f t="shared" si="8"/>
        <v>255.30363064731472</v>
      </c>
      <c r="AG86" s="218"/>
      <c r="AH86" s="197">
        <f t="shared" si="9"/>
        <v>-0.96471428571428586</v>
      </c>
      <c r="AI86" s="197">
        <f t="shared" si="10"/>
        <v>99.037499999999994</v>
      </c>
      <c r="AJ86" s="252"/>
      <c r="AK86" s="228"/>
      <c r="AL86" s="228"/>
      <c r="AM86" s="228"/>
      <c r="AN86" s="228"/>
      <c r="AO86" s="228"/>
      <c r="AP86" s="228"/>
      <c r="AQ86" s="228"/>
      <c r="AR86" s="228"/>
      <c r="AS86" s="228"/>
      <c r="AT86" s="228"/>
      <c r="AU86" s="228"/>
      <c r="AV86" s="228"/>
      <c r="AW86" s="228"/>
      <c r="AX86" s="228"/>
      <c r="AY86" s="253"/>
      <c r="AZ86" s="228"/>
      <c r="BA86" s="228"/>
      <c r="BB86" s="228"/>
      <c r="BC86" s="228"/>
      <c r="BD86" s="228"/>
      <c r="BE86" s="228"/>
      <c r="BF86" s="228"/>
      <c r="BG86" s="228"/>
      <c r="BH86" s="228"/>
      <c r="BI86" s="253"/>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row>
    <row r="87" spans="13:107" s="249" customFormat="1" hidden="1" x14ac:dyDescent="0.2">
      <c r="M87" s="266">
        <v>0.5</v>
      </c>
      <c r="Q87" s="250"/>
      <c r="R87" s="219"/>
      <c r="S87" s="219" t="s">
        <v>444</v>
      </c>
      <c r="T87" s="219">
        <f>IF((CONFIG="BUCK"),1,3)</f>
        <v>3</v>
      </c>
      <c r="U87" s="219"/>
      <c r="V87" s="219"/>
      <c r="W87" s="219"/>
      <c r="Y87" s="251"/>
      <c r="Z87" s="199" t="s">
        <v>681</v>
      </c>
      <c r="AA87" s="199">
        <f t="shared" si="6"/>
        <v>81</v>
      </c>
      <c r="AB87" s="199"/>
      <c r="AC87" s="199">
        <v>390</v>
      </c>
      <c r="AD87" s="199">
        <v>1</v>
      </c>
      <c r="AE87" s="199">
        <v>100</v>
      </c>
      <c r="AF87" s="197">
        <f t="shared" si="8"/>
        <v>315.30363064731472</v>
      </c>
      <c r="AG87" s="218"/>
      <c r="AH87" s="197">
        <f t="shared" si="9"/>
        <v>-0.96471428571428586</v>
      </c>
      <c r="AI87" s="197">
        <f t="shared" si="10"/>
        <v>99.037499999999994</v>
      </c>
      <c r="AJ87" s="252"/>
      <c r="AK87" s="228"/>
      <c r="AL87" s="228"/>
      <c r="AM87" s="228"/>
      <c r="AN87" s="228"/>
      <c r="AO87" s="228"/>
      <c r="AP87" s="228"/>
      <c r="AQ87" s="228"/>
      <c r="AR87" s="228"/>
      <c r="AS87" s="228"/>
      <c r="AT87" s="228"/>
      <c r="AU87" s="228"/>
      <c r="AV87" s="228"/>
      <c r="AW87" s="228"/>
      <c r="AX87" s="228"/>
      <c r="AY87" s="253"/>
      <c r="AZ87" s="228"/>
      <c r="BA87" s="228"/>
      <c r="BB87" s="228"/>
      <c r="BC87" s="228"/>
      <c r="BD87" s="228"/>
      <c r="BE87" s="228"/>
      <c r="BF87" s="228"/>
      <c r="BG87" s="228"/>
      <c r="BH87" s="228"/>
      <c r="BI87" s="253"/>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row>
    <row r="88" spans="13:107" s="249" customFormat="1" hidden="1" x14ac:dyDescent="0.2">
      <c r="Q88" s="250"/>
      <c r="R88" s="219"/>
      <c r="S88" s="219" t="s">
        <v>445</v>
      </c>
      <c r="T88" s="219">
        <f>IF(CONFIG="BUCK",2,4)</f>
        <v>4</v>
      </c>
      <c r="U88" s="219"/>
      <c r="V88" s="219"/>
      <c r="W88" s="219"/>
      <c r="Y88" s="251"/>
      <c r="Z88" s="199" t="s">
        <v>682</v>
      </c>
      <c r="AA88" s="199">
        <f t="shared" si="6"/>
        <v>82</v>
      </c>
      <c r="AB88" s="199"/>
      <c r="AC88" s="199">
        <v>470</v>
      </c>
      <c r="AD88" s="199">
        <v>1</v>
      </c>
      <c r="AE88" s="199">
        <v>100</v>
      </c>
      <c r="AF88" s="197">
        <f t="shared" si="8"/>
        <v>395.30363064731472</v>
      </c>
      <c r="AG88" s="218"/>
      <c r="AH88" s="197">
        <f t="shared" si="9"/>
        <v>-0.96471428571428586</v>
      </c>
      <c r="AI88" s="197">
        <f t="shared" si="10"/>
        <v>99.037499999999994</v>
      </c>
      <c r="AJ88" s="252"/>
      <c r="AK88" s="228"/>
      <c r="AL88" s="228"/>
      <c r="AM88" s="228"/>
      <c r="AN88" s="228"/>
      <c r="AO88" s="228"/>
      <c r="AP88" s="228"/>
      <c r="AQ88" s="228"/>
      <c r="AR88" s="228"/>
      <c r="AS88" s="228"/>
      <c r="AT88" s="228"/>
      <c r="AU88" s="228"/>
      <c r="AV88" s="228"/>
      <c r="AW88" s="228"/>
      <c r="AX88" s="228"/>
      <c r="AY88" s="253"/>
      <c r="AZ88" s="228"/>
      <c r="BA88" s="228"/>
      <c r="BB88" s="228"/>
      <c r="BC88" s="228"/>
      <c r="BD88" s="228"/>
      <c r="BE88" s="228"/>
      <c r="BF88" s="228"/>
      <c r="BG88" s="228"/>
      <c r="BH88" s="228"/>
      <c r="BI88" s="253"/>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row>
    <row r="89" spans="13:107" s="249" customFormat="1" hidden="1" x14ac:dyDescent="0.2">
      <c r="M89" s="249" t="s">
        <v>408</v>
      </c>
      <c r="Q89" s="250"/>
      <c r="R89" s="219"/>
      <c r="S89" s="219" t="s">
        <v>446</v>
      </c>
      <c r="T89" s="219">
        <f>IF(CONFIG="BUCK",0,5)</f>
        <v>5</v>
      </c>
      <c r="U89" s="219"/>
      <c r="V89" s="219"/>
      <c r="W89" s="219"/>
      <c r="Y89" s="251"/>
      <c r="AJ89" s="252"/>
      <c r="AK89" s="228"/>
      <c r="AL89" s="228"/>
      <c r="AM89" s="228"/>
      <c r="AN89" s="228"/>
      <c r="AO89" s="228"/>
      <c r="AP89" s="228"/>
      <c r="AQ89" s="228"/>
      <c r="AR89" s="228"/>
      <c r="AS89" s="228"/>
      <c r="AT89" s="228"/>
      <c r="AU89" s="228"/>
      <c r="AV89" s="228"/>
      <c r="AW89" s="228"/>
      <c r="AX89" s="228"/>
      <c r="AY89" s="253"/>
      <c r="AZ89" s="228"/>
      <c r="BA89" s="228"/>
      <c r="BB89" s="228"/>
      <c r="BC89" s="228"/>
      <c r="BD89" s="228"/>
      <c r="BE89" s="228"/>
      <c r="BF89" s="228"/>
      <c r="BG89" s="228"/>
      <c r="BH89" s="228"/>
      <c r="BI89" s="253"/>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row>
    <row r="90" spans="13:107" s="249" customFormat="1" hidden="1" x14ac:dyDescent="0.2">
      <c r="M90" s="249" t="s">
        <v>447</v>
      </c>
      <c r="Q90" s="250"/>
      <c r="R90" s="219"/>
      <c r="S90" s="219" t="s">
        <v>443</v>
      </c>
      <c r="T90" s="219">
        <f>IF(LOWV,T89,IF(DISSLIM,T88,T87))</f>
        <v>5</v>
      </c>
      <c r="U90" s="219"/>
      <c r="V90" s="219"/>
      <c r="W90" s="219"/>
      <c r="Y90" s="251"/>
      <c r="AJ90" s="252"/>
      <c r="AK90" s="228"/>
      <c r="AL90" s="228"/>
      <c r="AM90" s="228"/>
      <c r="AN90" s="228"/>
      <c r="AO90" s="228"/>
      <c r="AP90" s="228"/>
      <c r="AQ90" s="228"/>
      <c r="AR90" s="228"/>
      <c r="AS90" s="228"/>
      <c r="AT90" s="228"/>
      <c r="AU90" s="228"/>
      <c r="AV90" s="228"/>
      <c r="AW90" s="228"/>
      <c r="AX90" s="228"/>
      <c r="AY90" s="253"/>
      <c r="AZ90" s="228"/>
      <c r="BA90" s="228"/>
      <c r="BB90" s="228"/>
      <c r="BC90" s="228"/>
      <c r="BD90" s="228"/>
      <c r="BE90" s="228"/>
      <c r="BF90" s="228"/>
      <c r="BG90" s="228"/>
      <c r="BH90" s="228"/>
      <c r="BI90" s="253"/>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row>
    <row r="91" spans="13:107" s="249" customFormat="1" hidden="1" x14ac:dyDescent="0.2">
      <c r="Q91" s="250"/>
      <c r="R91" s="219" t="s">
        <v>516</v>
      </c>
      <c r="S91" s="219" t="s">
        <v>517</v>
      </c>
      <c r="T91" s="219">
        <f>IF(CONFIG="BUCK-BOOST",VLEDS+VINMAX,VLEDS)</f>
        <v>21</v>
      </c>
      <c r="U91" s="219" t="s">
        <v>0</v>
      </c>
      <c r="V91" s="219"/>
      <c r="W91" s="219"/>
      <c r="Y91" s="251"/>
      <c r="AJ91" s="252"/>
      <c r="AK91" s="228"/>
      <c r="AL91" s="228"/>
      <c r="AM91" s="228"/>
      <c r="AN91" s="228"/>
      <c r="AO91" s="228"/>
      <c r="AP91" s="228"/>
      <c r="AQ91" s="228"/>
      <c r="AR91" s="228"/>
      <c r="AS91" s="228"/>
      <c r="AT91" s="228"/>
      <c r="AU91" s="228"/>
      <c r="AV91" s="228"/>
      <c r="AW91" s="228"/>
      <c r="AX91" s="228"/>
      <c r="AY91" s="253"/>
      <c r="AZ91" s="228"/>
      <c r="BA91" s="228"/>
      <c r="BB91" s="228"/>
      <c r="BC91" s="228"/>
      <c r="BD91" s="228"/>
      <c r="BE91" s="228"/>
      <c r="BF91" s="228"/>
      <c r="BG91" s="228"/>
      <c r="BH91" s="228"/>
      <c r="BI91" s="253"/>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row>
    <row r="92" spans="13:107" s="249" customFormat="1" hidden="1" x14ac:dyDescent="0.2">
      <c r="Q92" s="250"/>
      <c r="R92" s="219" t="s">
        <v>462</v>
      </c>
      <c r="S92" s="219" t="s">
        <v>472</v>
      </c>
      <c r="T92" s="219">
        <f t="array" ref="T92">INDEX(ZENERS,MATCH(MIN(IF(ZENERS&gt;VOUTA*1.1,ZENERS,FALSE)),IF(ZENERS&gt;VOUTA*1.1,ZENERS,FALSE),0))</f>
        <v>33</v>
      </c>
      <c r="U92" s="219" t="s">
        <v>0</v>
      </c>
      <c r="V92" s="219"/>
      <c r="W92" s="219"/>
      <c r="Y92" s="251"/>
      <c r="AJ92" s="252"/>
      <c r="AK92" s="228"/>
      <c r="AL92" s="228"/>
      <c r="AM92" s="228"/>
      <c r="AN92" s="228"/>
      <c r="AO92" s="228"/>
      <c r="AP92" s="228"/>
      <c r="AQ92" s="228"/>
      <c r="AR92" s="228"/>
      <c r="AS92" s="228"/>
      <c r="AT92" s="228"/>
      <c r="AU92" s="228"/>
      <c r="AV92" s="228"/>
      <c r="AW92" s="228"/>
      <c r="AX92" s="228"/>
      <c r="AY92" s="253"/>
      <c r="AZ92" s="228"/>
      <c r="BA92" s="228"/>
      <c r="BB92" s="228"/>
      <c r="BC92" s="228"/>
      <c r="BD92" s="228"/>
      <c r="BE92" s="228"/>
      <c r="BF92" s="228"/>
      <c r="BG92" s="228"/>
      <c r="BH92" s="228"/>
      <c r="BI92" s="253"/>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row>
    <row r="93" spans="13:107" s="249" customFormat="1" hidden="1" x14ac:dyDescent="0.2">
      <c r="Q93" s="250"/>
      <c r="R93" s="219"/>
      <c r="S93" s="219" t="s">
        <v>534</v>
      </c>
      <c r="T93" s="219"/>
      <c r="U93" s="219"/>
      <c r="V93" s="219"/>
      <c r="W93" s="219"/>
      <c r="Y93" s="251"/>
      <c r="Z93" s="194" t="s">
        <v>95</v>
      </c>
      <c r="AA93" s="194"/>
      <c r="AB93" s="194"/>
      <c r="AC93" s="194"/>
      <c r="AD93" s="194"/>
      <c r="AE93" s="194" t="s">
        <v>282</v>
      </c>
      <c r="AF93" s="197">
        <f t="array" ref="AF93">MIN(ABS(AF7:AF88))</f>
        <v>6.6963693526852808</v>
      </c>
      <c r="AG93" s="197"/>
      <c r="AH93" s="197"/>
      <c r="AI93" s="194"/>
      <c r="AJ93" s="252"/>
      <c r="AK93" s="228"/>
      <c r="AL93" s="228"/>
      <c r="AM93" s="228"/>
      <c r="AN93" s="228"/>
      <c r="AO93" s="228"/>
      <c r="AP93" s="228"/>
      <c r="AQ93" s="228"/>
      <c r="AR93" s="228"/>
      <c r="AS93" s="228"/>
      <c r="AT93" s="228"/>
      <c r="AU93" s="228"/>
      <c r="AV93" s="228"/>
      <c r="AW93" s="228"/>
      <c r="AX93" s="228"/>
      <c r="AY93" s="253"/>
      <c r="AZ93" s="228"/>
      <c r="BA93" s="228"/>
      <c r="BB93" s="228"/>
      <c r="BC93" s="228"/>
      <c r="BD93" s="228"/>
      <c r="BE93" s="228"/>
      <c r="BF93" s="228"/>
      <c r="BG93" s="228"/>
      <c r="BH93" s="228"/>
      <c r="BI93" s="253"/>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row>
    <row r="94" spans="13:107" s="249" customFormat="1" hidden="1" x14ac:dyDescent="0.2">
      <c r="M94" s="249" t="s">
        <v>409</v>
      </c>
      <c r="Q94" s="250"/>
      <c r="R94" s="219"/>
      <c r="S94" s="219"/>
      <c r="T94" s="219"/>
      <c r="U94" s="219"/>
      <c r="V94" s="219"/>
      <c r="W94" s="219"/>
      <c r="Y94" s="251"/>
      <c r="Z94" s="194" t="s">
        <v>96</v>
      </c>
      <c r="AA94" s="194"/>
      <c r="AB94" s="194"/>
      <c r="AC94" s="194"/>
      <c r="AD94" s="194"/>
      <c r="AE94" s="194" t="s">
        <v>280</v>
      </c>
      <c r="AF94" s="218">
        <f t="array" ref="AF94">MATCH(1,(AC10:AC70&gt;AC100)*(AC10:AC70&lt;1.7*AC100)*(1=1),0)</f>
        <v>4</v>
      </c>
      <c r="AG94" s="218" t="s">
        <v>344</v>
      </c>
      <c r="AH94" s="197"/>
      <c r="AI94" s="194"/>
      <c r="AJ94" s="252"/>
      <c r="AK94" s="228"/>
      <c r="AL94" s="228"/>
      <c r="AM94" s="228"/>
      <c r="AN94" s="228"/>
      <c r="AO94" s="228"/>
      <c r="AP94" s="228"/>
      <c r="AQ94" s="228"/>
      <c r="AR94" s="228"/>
      <c r="AS94" s="228"/>
      <c r="AT94" s="228"/>
      <c r="AU94" s="228"/>
      <c r="AV94" s="228"/>
      <c r="AW94" s="228"/>
      <c r="AX94" s="228"/>
      <c r="AY94" s="253"/>
      <c r="AZ94" s="228"/>
      <c r="BA94" s="228"/>
      <c r="BB94" s="228"/>
      <c r="BC94" s="228"/>
      <c r="BD94" s="228"/>
      <c r="BE94" s="228"/>
      <c r="BF94" s="228"/>
      <c r="BG94" s="228"/>
      <c r="BH94" s="228"/>
      <c r="BI94" s="253"/>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row>
    <row r="95" spans="13:107" s="249" customFormat="1" hidden="1" x14ac:dyDescent="0.2">
      <c r="M95" s="249" t="s">
        <v>410</v>
      </c>
      <c r="Q95" s="250"/>
      <c r="R95" s="219" t="s">
        <v>514</v>
      </c>
      <c r="S95" s="219" t="s">
        <v>515</v>
      </c>
      <c r="T95" s="246">
        <f>MAX($BL$120:$BL$660)</f>
        <v>0.88975759887546491</v>
      </c>
      <c r="U95" s="219" t="s">
        <v>2</v>
      </c>
      <c r="V95" s="219"/>
      <c r="W95" s="219"/>
      <c r="Y95" s="251"/>
      <c r="Z95" s="194" t="s">
        <v>215</v>
      </c>
      <c r="AA95" s="194"/>
      <c r="AB95" s="194"/>
      <c r="AC95" s="194"/>
      <c r="AD95" s="194"/>
      <c r="AE95" s="269"/>
      <c r="AF95" s="197"/>
      <c r="AG95" s="197"/>
      <c r="AH95" s="197"/>
      <c r="AI95" s="194"/>
      <c r="AJ95" s="252"/>
      <c r="AK95" s="228"/>
      <c r="AL95" s="228"/>
      <c r="AM95" s="228"/>
      <c r="AN95" s="228"/>
      <c r="AO95" s="228"/>
      <c r="AP95" s="228"/>
      <c r="AQ95" s="228"/>
      <c r="AR95" s="228"/>
      <c r="AS95" s="228"/>
      <c r="AT95" s="228"/>
      <c r="AU95" s="228"/>
      <c r="AV95" s="228"/>
      <c r="AW95" s="228"/>
      <c r="AX95" s="228"/>
      <c r="AY95" s="253"/>
      <c r="AZ95" s="228"/>
      <c r="BA95" s="228"/>
      <c r="BB95" s="228"/>
      <c r="BC95" s="228"/>
      <c r="BD95" s="228"/>
      <c r="BE95" s="228"/>
      <c r="BF95" s="228"/>
      <c r="BG95" s="228"/>
      <c r="BH95" s="228"/>
      <c r="BI95" s="253"/>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row>
    <row r="96" spans="13:107" s="249" customFormat="1" hidden="1" x14ac:dyDescent="0.2">
      <c r="M96" s="249" t="s">
        <v>411</v>
      </c>
      <c r="Q96" s="250"/>
      <c r="R96" s="219" t="s">
        <v>536</v>
      </c>
      <c r="S96" s="219" t="s">
        <v>538</v>
      </c>
      <c r="T96" s="270">
        <f>MAX($AA$120:$AA$660)</f>
        <v>0.6386558933958173</v>
      </c>
      <c r="U96" s="219"/>
      <c r="V96" s="219"/>
      <c r="W96" s="219"/>
      <c r="Y96" s="251"/>
      <c r="Z96" s="202" t="s">
        <v>97</v>
      </c>
      <c r="AA96" s="194"/>
      <c r="AB96" s="194"/>
      <c r="AC96" s="271"/>
      <c r="AD96" s="194"/>
      <c r="AE96" s="192"/>
      <c r="AF96" s="197"/>
      <c r="AG96" s="197"/>
      <c r="AH96" s="197"/>
      <c r="AI96" s="194"/>
      <c r="AJ96" s="252"/>
      <c r="AK96" s="228"/>
      <c r="AL96" s="228"/>
      <c r="AM96" s="228"/>
      <c r="AN96" s="228"/>
      <c r="AO96" s="228"/>
      <c r="AP96" s="228"/>
      <c r="AQ96" s="228"/>
      <c r="AR96" s="228"/>
      <c r="AS96" s="228"/>
      <c r="AT96" s="228"/>
      <c r="AU96" s="228"/>
      <c r="AV96" s="228"/>
      <c r="AW96" s="228"/>
      <c r="AX96" s="228"/>
      <c r="AY96" s="253"/>
      <c r="AZ96" s="228"/>
      <c r="BA96" s="228"/>
      <c r="BB96" s="228"/>
      <c r="BC96" s="228"/>
      <c r="BD96" s="228"/>
      <c r="BE96" s="228"/>
      <c r="BF96" s="228"/>
      <c r="BG96" s="228"/>
      <c r="BH96" s="228"/>
      <c r="BI96" s="253"/>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row>
    <row r="97" spans="1:107" s="249" customFormat="1" hidden="1" x14ac:dyDescent="0.2">
      <c r="M97" s="249" t="s">
        <v>448</v>
      </c>
      <c r="Q97" s="250"/>
      <c r="R97" s="219" t="s">
        <v>537</v>
      </c>
      <c r="S97" s="219" t="s">
        <v>539</v>
      </c>
      <c r="T97" s="270">
        <f>MIN($AA$120:$AA$660)</f>
        <v>0.17335969315081967</v>
      </c>
      <c r="U97" s="219"/>
      <c r="V97" s="219"/>
      <c r="W97" s="219"/>
      <c r="Y97" s="251"/>
      <c r="AJ97" s="252"/>
      <c r="AK97" s="228"/>
      <c r="AL97" s="228"/>
      <c r="AM97" s="228"/>
      <c r="AN97" s="228"/>
      <c r="AO97" s="228"/>
      <c r="AP97" s="228"/>
      <c r="AQ97" s="228"/>
      <c r="AR97" s="228"/>
      <c r="AS97" s="228"/>
      <c r="AT97" s="228"/>
      <c r="AU97" s="228"/>
      <c r="AV97" s="228"/>
      <c r="AW97" s="228"/>
      <c r="AX97" s="228"/>
      <c r="AY97" s="253"/>
      <c r="AZ97" s="228"/>
      <c r="BA97" s="228"/>
      <c r="BB97" s="228"/>
      <c r="BC97" s="228"/>
      <c r="BD97" s="228"/>
      <c r="BE97" s="228"/>
      <c r="BF97" s="228"/>
      <c r="BG97" s="228"/>
      <c r="BH97" s="228"/>
      <c r="BI97" s="253"/>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row>
    <row r="98" spans="1:107" s="249" customFormat="1" hidden="1" x14ac:dyDescent="0.2">
      <c r="Q98" s="250"/>
      <c r="R98" s="229"/>
      <c r="S98" s="229"/>
      <c r="T98" s="272"/>
      <c r="U98" s="229"/>
      <c r="V98" s="273"/>
      <c r="W98" s="273"/>
      <c r="Y98" s="251"/>
      <c r="Z98" s="202" t="s">
        <v>121</v>
      </c>
      <c r="AA98" s="202"/>
      <c r="AB98" s="202"/>
      <c r="AC98" s="202"/>
      <c r="AD98" s="202"/>
      <c r="AE98" s="202"/>
      <c r="AF98" s="212"/>
      <c r="AG98" s="212"/>
      <c r="AH98" s="212"/>
      <c r="AI98" s="194"/>
      <c r="AJ98" s="252"/>
      <c r="AK98" s="228"/>
      <c r="AL98" s="228"/>
      <c r="AM98" s="228"/>
      <c r="AN98" s="228"/>
      <c r="AO98" s="228"/>
      <c r="AP98" s="228"/>
      <c r="AQ98" s="228"/>
      <c r="AR98" s="228"/>
      <c r="AS98" s="228"/>
      <c r="AT98" s="228"/>
      <c r="AU98" s="228"/>
      <c r="AV98" s="228"/>
      <c r="AW98" s="228"/>
      <c r="AX98" s="228"/>
      <c r="AY98" s="253"/>
      <c r="AZ98" s="228"/>
      <c r="BA98" s="228"/>
      <c r="BB98" s="228"/>
      <c r="BC98" s="228"/>
      <c r="BD98" s="228"/>
      <c r="BE98" s="228"/>
      <c r="BF98" s="228"/>
      <c r="BG98" s="228"/>
      <c r="BH98" s="228"/>
      <c r="BI98" s="253"/>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row>
    <row r="99" spans="1:107" s="249" customFormat="1" hidden="1" x14ac:dyDescent="0.25">
      <c r="Q99" s="250"/>
      <c r="R99" s="229"/>
      <c r="S99" s="229"/>
      <c r="T99" s="274"/>
      <c r="U99" s="229"/>
      <c r="V99" s="273"/>
      <c r="W99" s="273"/>
      <c r="Y99" s="251"/>
      <c r="Z99" s="202" t="s">
        <v>90</v>
      </c>
      <c r="AA99" s="202" t="s">
        <v>103</v>
      </c>
      <c r="AB99" s="202" t="s">
        <v>105</v>
      </c>
      <c r="AC99" s="202" t="s">
        <v>91</v>
      </c>
      <c r="AD99" s="202" t="s">
        <v>93</v>
      </c>
      <c r="AE99" s="202" t="s">
        <v>92</v>
      </c>
      <c r="AF99" s="212" t="s">
        <v>102</v>
      </c>
      <c r="AG99" s="212" t="s">
        <v>283</v>
      </c>
      <c r="AH99" s="212" t="s">
        <v>99</v>
      </c>
      <c r="AI99" s="212" t="s">
        <v>100</v>
      </c>
      <c r="AJ99" s="252"/>
      <c r="AK99" s="228"/>
      <c r="AL99" s="228"/>
      <c r="AM99" s="228"/>
      <c r="AN99" s="228"/>
      <c r="AO99" s="228"/>
      <c r="AP99" s="228"/>
      <c r="AQ99" s="228"/>
      <c r="AR99" s="228"/>
      <c r="AS99" s="228"/>
      <c r="AT99" s="228"/>
      <c r="AU99" s="228"/>
      <c r="AV99" s="228"/>
      <c r="AW99" s="228"/>
      <c r="AX99" s="228"/>
      <c r="AY99" s="253"/>
      <c r="AZ99" s="228"/>
      <c r="BA99" s="228"/>
      <c r="BB99" s="228"/>
      <c r="BC99" s="228"/>
      <c r="BD99" s="228"/>
      <c r="BE99" s="228"/>
      <c r="BF99" s="228"/>
      <c r="BG99" s="228"/>
      <c r="BH99" s="228"/>
      <c r="BI99" s="253"/>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row>
    <row r="100" spans="1:107" s="249" customFormat="1" hidden="1" x14ac:dyDescent="0.2">
      <c r="Q100" s="250"/>
      <c r="R100" s="229"/>
      <c r="S100" s="229"/>
      <c r="U100" s="229"/>
      <c r="V100" s="273"/>
      <c r="W100" s="273"/>
      <c r="Y100" s="251"/>
      <c r="Z100" s="197" t="str">
        <f t="array" ref="Z100">INDEX(COILS,MATCH(1,(ABS($AF$7:$AF$88)=$AF$93)*($AH$7:$AH$88&lt;0)*($AI$7:$AI$88&gt;0)*($AA$7:$AA$88&gt;0),0),1)</f>
        <v>Coilcraft MSS1246-683ML [68µH]</v>
      </c>
      <c r="AA100" s="194">
        <f t="shared" ref="AA100:AA112" si="11">VLOOKUP($Z100,COILS,2,FALSE)</f>
        <v>8</v>
      </c>
      <c r="AB100" s="194" t="str">
        <f t="shared" ref="AB100:AB112" si="12">VLOOKUP($Z100,COILS,3,FALSE)</f>
        <v>12x12x4.6h</v>
      </c>
      <c r="AC100" s="194">
        <f t="shared" ref="AC100:AC112" si="13">VLOOKUP($Z100,COILS,4,FALSE)</f>
        <v>68</v>
      </c>
      <c r="AD100" s="194">
        <f t="shared" ref="AD100:AD112" si="14">VLOOKUP($Z100,COILS,5,FALSE)</f>
        <v>167.3</v>
      </c>
      <c r="AE100" s="194">
        <f t="shared" ref="AE100:AE112" si="15">VLOOKUP($Z100,COILS,6,FALSE)</f>
        <v>2.1</v>
      </c>
      <c r="AF100" s="197">
        <f t="shared" ref="AF100:AF112" si="16">VLOOKUP($Z100,COILS,7,FALSE)</f>
        <v>-6.6963693526852808</v>
      </c>
      <c r="AG100" s="218"/>
      <c r="AH100" s="197">
        <f t="shared" ref="AH100:AH112" si="17">VLOOKUP($Z100,COILS,9,FALSE)</f>
        <v>-0.79841428571428585</v>
      </c>
      <c r="AI100" s="197">
        <f t="shared" ref="AI100:AI112" si="18">VLOOKUP($Z100,COILS,10,FALSE)</f>
        <v>1.1375</v>
      </c>
      <c r="AJ100" s="252"/>
      <c r="AK100" s="228"/>
      <c r="AL100" s="228"/>
      <c r="AM100" s="228"/>
      <c r="AN100" s="228"/>
      <c r="AO100" s="228"/>
      <c r="AP100" s="228"/>
      <c r="AQ100" s="228"/>
      <c r="AR100" s="228"/>
      <c r="AS100" s="228"/>
      <c r="AT100" s="228"/>
      <c r="AU100" s="228"/>
      <c r="AV100" s="228"/>
      <c r="AW100" s="228"/>
      <c r="AX100" s="228"/>
      <c r="AY100" s="253"/>
      <c r="AZ100" s="228"/>
      <c r="BA100" s="228"/>
      <c r="BB100" s="228"/>
      <c r="BC100" s="228"/>
      <c r="BD100" s="228"/>
      <c r="BE100" s="228"/>
      <c r="BF100" s="228"/>
      <c r="BG100" s="228"/>
      <c r="BH100" s="228"/>
      <c r="BI100" s="253"/>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row>
    <row r="101" spans="1:107" s="249" customFormat="1" hidden="1" x14ac:dyDescent="0.25">
      <c r="Q101" s="250"/>
      <c r="R101" s="229"/>
      <c r="S101" s="229"/>
      <c r="T101" s="272"/>
      <c r="U101" s="229"/>
      <c r="V101" s="273"/>
      <c r="W101" s="273"/>
      <c r="Y101" s="197"/>
      <c r="Z101" s="197" t="str">
        <f t="array" ref="Z101">INDEX(COILS,MATCH(1,(ABS($AF$7:$AF$88)=$AF$93)*($AH$7:$AH$88&lt;0)*($AI$7:$AI$88&gt;0)*($AA$7:$AA$88&gt;$AA100),0),1)</f>
        <v>Coilcraft MSS1278-683ML [68µH]</v>
      </c>
      <c r="AA101" s="194">
        <f t="shared" si="11"/>
        <v>13</v>
      </c>
      <c r="AB101" s="194" t="str">
        <f t="shared" si="12"/>
        <v>12.3x12.3x8h</v>
      </c>
      <c r="AC101" s="194">
        <f t="shared" si="13"/>
        <v>68</v>
      </c>
      <c r="AD101" s="194">
        <f t="shared" si="14"/>
        <v>91.3</v>
      </c>
      <c r="AE101" s="194">
        <f t="shared" si="15"/>
        <v>3.4</v>
      </c>
      <c r="AF101" s="197">
        <f t="shared" si="16"/>
        <v>-6.6963693526852808</v>
      </c>
      <c r="AG101" s="218"/>
      <c r="AH101" s="197">
        <f t="shared" si="17"/>
        <v>-0.87441428571428581</v>
      </c>
      <c r="AI101" s="197">
        <f t="shared" si="18"/>
        <v>2.4375</v>
      </c>
      <c r="AJ101" s="252"/>
      <c r="AK101" s="228"/>
      <c r="AL101" s="228"/>
      <c r="AM101" s="228"/>
      <c r="AN101" s="228"/>
      <c r="AO101" s="228"/>
      <c r="AP101" s="228"/>
      <c r="AQ101" s="228"/>
      <c r="AR101" s="228"/>
      <c r="AS101" s="228"/>
      <c r="AT101" s="228"/>
      <c r="AU101" s="228"/>
      <c r="AV101" s="228"/>
      <c r="AW101" s="228"/>
      <c r="AX101" s="228"/>
      <c r="AY101" s="253"/>
      <c r="AZ101" s="228"/>
      <c r="BA101" s="228"/>
      <c r="BB101" s="228"/>
      <c r="BC101" s="228"/>
      <c r="BD101" s="228"/>
      <c r="BE101" s="228"/>
      <c r="BF101" s="228"/>
      <c r="BG101" s="228"/>
      <c r="BH101" s="228"/>
      <c r="BI101" s="253"/>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row>
    <row r="102" spans="1:107" s="249" customFormat="1" hidden="1" x14ac:dyDescent="0.2">
      <c r="Q102" s="250"/>
      <c r="R102" s="229"/>
      <c r="S102" s="275" t="s">
        <v>702</v>
      </c>
      <c r="W102" s="273"/>
      <c r="Y102" s="251"/>
      <c r="Z102" s="197" t="str">
        <f t="array" ref="Z102">INDEX(COILS,MATCH(1,(ABS($AF$7:$AF$88)=$AF$93)*($AH$7:$AH$88&lt;0)*($AI$7:$AI$88&gt;0)*($AA$7:$AA$88&gt;$AA101),0),1)</f>
        <v>Wurth 744771168  [68µH]</v>
      </c>
      <c r="AA102" s="194">
        <f t="shared" si="11"/>
        <v>37</v>
      </c>
      <c r="AB102" s="194" t="str">
        <f t="shared" si="12"/>
        <v>12x12x6h</v>
      </c>
      <c r="AC102" s="194">
        <f t="shared" si="13"/>
        <v>68</v>
      </c>
      <c r="AD102" s="194">
        <f t="shared" si="14"/>
        <v>96</v>
      </c>
      <c r="AE102" s="194">
        <f t="shared" si="15"/>
        <v>2.19</v>
      </c>
      <c r="AF102" s="197">
        <f t="shared" si="16"/>
        <v>-6.6963693526852808</v>
      </c>
      <c r="AG102" s="218"/>
      <c r="AH102" s="197">
        <f t="shared" si="17"/>
        <v>-0.86971428571428588</v>
      </c>
      <c r="AI102" s="197">
        <f t="shared" si="18"/>
        <v>1.2274999999999998</v>
      </c>
      <c r="AJ102" s="252"/>
      <c r="AK102" s="228"/>
      <c r="AL102" s="228"/>
      <c r="AM102" s="228"/>
      <c r="AN102" s="228"/>
      <c r="AO102" s="228"/>
      <c r="AP102" s="228"/>
      <c r="AQ102" s="228"/>
      <c r="AR102" s="228"/>
      <c r="AS102" s="228"/>
      <c r="AT102" s="228"/>
      <c r="AU102" s="228"/>
      <c r="AV102" s="228"/>
      <c r="AW102" s="228"/>
      <c r="AX102" s="228"/>
      <c r="AY102" s="253"/>
      <c r="AZ102" s="228"/>
      <c r="BA102" s="228"/>
      <c r="BB102" s="228"/>
      <c r="BC102" s="228"/>
      <c r="BD102" s="228"/>
      <c r="BE102" s="228"/>
      <c r="BF102" s="228"/>
      <c r="BG102" s="228"/>
      <c r="BH102" s="228"/>
      <c r="BI102" s="253"/>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row>
    <row r="103" spans="1:107" s="249" customFormat="1" hidden="1" x14ac:dyDescent="0.2">
      <c r="Q103" s="229" t="s">
        <v>706</v>
      </c>
      <c r="S103" s="275" t="s">
        <v>703</v>
      </c>
      <c r="T103" s="249" t="str">
        <f>IFERROR(INDEX($S$103:$S$107,MATCH(ROW()-ROW($T$103),$R$103:$R$107,0)),"")</f>
        <v/>
      </c>
      <c r="V103" s="249" t="s">
        <v>704</v>
      </c>
      <c r="W103" s="249" t="s">
        <v>705</v>
      </c>
      <c r="Y103" s="251"/>
      <c r="Z103" s="197" t="str">
        <f t="array" ref="Z103">INDEX(COILS,MATCH(1,($AC$7:$AC$88&gt;$AC$100)*($AC$7:$AC$88&lt;1.7*$AC$100)*($AH$7:$AH$88&lt;0)*($AI$7:$AI$88&gt;0)*($AA$7:$AA$88&gt;0),0),1)</f>
        <v>Coilcraft MSS1246-104ML [100µH]</v>
      </c>
      <c r="AA103" s="194">
        <f t="shared" si="11"/>
        <v>7</v>
      </c>
      <c r="AB103" s="194" t="str">
        <f t="shared" si="12"/>
        <v>12x12x4.6h</v>
      </c>
      <c r="AC103" s="194">
        <f t="shared" si="13"/>
        <v>100</v>
      </c>
      <c r="AD103" s="194">
        <f t="shared" si="14"/>
        <v>216.8</v>
      </c>
      <c r="AE103" s="194">
        <f t="shared" si="15"/>
        <v>1.64</v>
      </c>
      <c r="AF103" s="197">
        <f t="shared" si="16"/>
        <v>25.303630647314719</v>
      </c>
      <c r="AG103" s="218"/>
      <c r="AH103" s="197">
        <f t="shared" si="17"/>
        <v>-0.74891428571428587</v>
      </c>
      <c r="AI103" s="197">
        <f t="shared" si="18"/>
        <v>0.67749999999999977</v>
      </c>
      <c r="AJ103" s="252"/>
      <c r="AK103" s="228"/>
      <c r="AL103" s="228"/>
      <c r="AM103" s="228"/>
      <c r="AN103" s="228"/>
      <c r="AO103" s="228"/>
      <c r="AP103" s="228"/>
      <c r="AQ103" s="228"/>
      <c r="AR103" s="228"/>
      <c r="AS103" s="228"/>
      <c r="AT103" s="228"/>
      <c r="AU103" s="228"/>
      <c r="AV103" s="228"/>
      <c r="AW103" s="228"/>
      <c r="AX103" s="228"/>
      <c r="AY103" s="253"/>
      <c r="AZ103" s="228"/>
      <c r="BA103" s="228"/>
      <c r="BB103" s="228"/>
      <c r="BC103" s="228"/>
      <c r="BD103" s="228"/>
      <c r="BE103" s="228"/>
      <c r="BF103" s="228"/>
      <c r="BG103" s="228"/>
      <c r="BH103" s="228"/>
      <c r="BI103" s="253"/>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row>
    <row r="104" spans="1:107" s="249" customFormat="1" hidden="1" x14ac:dyDescent="0.2">
      <c r="Q104" s="249" t="s">
        <v>700</v>
      </c>
      <c r="R104" s="249">
        <v>1</v>
      </c>
      <c r="S104" s="249" t="s">
        <v>700</v>
      </c>
      <c r="T104" s="249" t="str">
        <f>IFERROR(INDEX($S$103:$S$107,MATCH(ROW()-ROW($T$103),$R$103:$R$107,0)),"")</f>
        <v>AUTOMATIC SELECTION</v>
      </c>
      <c r="Y104" s="251"/>
      <c r="Z104" s="197" t="str">
        <f t="array" ref="Z104">INDEX(COILS,MATCH(1,($AC$7:$AC$88&gt;$AC$100)*($AC$7:$AC$88&lt;1.7*$AC$100)*($AH$7:$AH$88&lt;0)*($AI$7:$AI$88&gt;0)*($AA$7:$AA$88&gt;$AA103),0),1)</f>
        <v>Coilcraft MSS1278-104ML [100µH]</v>
      </c>
      <c r="AA104" s="194">
        <f t="shared" si="11"/>
        <v>12</v>
      </c>
      <c r="AB104" s="194" t="str">
        <f t="shared" si="12"/>
        <v>12.3x12.3x8h</v>
      </c>
      <c r="AC104" s="194">
        <f t="shared" si="13"/>
        <v>100</v>
      </c>
      <c r="AD104" s="194">
        <f t="shared" si="14"/>
        <v>135.1</v>
      </c>
      <c r="AE104" s="194">
        <f t="shared" si="15"/>
        <v>2.88</v>
      </c>
      <c r="AF104" s="197">
        <f t="shared" si="16"/>
        <v>25.303630647314719</v>
      </c>
      <c r="AG104" s="218"/>
      <c r="AH104" s="197">
        <f t="shared" si="17"/>
        <v>-0.83061428571428586</v>
      </c>
      <c r="AI104" s="197">
        <f t="shared" si="18"/>
        <v>1.9174999999999998</v>
      </c>
      <c r="AJ104" s="252"/>
      <c r="AK104" s="228"/>
      <c r="AL104" s="228"/>
      <c r="AM104" s="228"/>
      <c r="AN104" s="228"/>
      <c r="AO104" s="228"/>
      <c r="AP104" s="228"/>
      <c r="AQ104" s="228"/>
      <c r="AR104" s="228"/>
      <c r="AS104" s="228"/>
      <c r="AT104" s="228"/>
      <c r="AU104" s="228"/>
      <c r="AV104" s="228"/>
      <c r="AW104" s="228"/>
      <c r="AX104" s="228"/>
      <c r="AY104" s="253"/>
      <c r="AZ104" s="228"/>
      <c r="BA104" s="228"/>
      <c r="BB104" s="228"/>
      <c r="BC104" s="228"/>
      <c r="BD104" s="228"/>
      <c r="BE104" s="228"/>
      <c r="BF104" s="228"/>
      <c r="BG104" s="228"/>
      <c r="BH104" s="228"/>
      <c r="BI104" s="253"/>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row>
    <row r="105" spans="1:107" s="249" customFormat="1" hidden="1" x14ac:dyDescent="0.2">
      <c r="Q105" s="249" t="s">
        <v>425</v>
      </c>
      <c r="R105" s="249" t="str">
        <f>IF(S105="","",MAX($R$104:R104)+1)</f>
        <v/>
      </c>
      <c r="S105" s="249" t="str">
        <f>IF(OR(V105&gt;=1,W105&lt;=0),"",Q105)</f>
        <v/>
      </c>
      <c r="T105" s="249" t="str">
        <f>IFERROR(INDEX($S$103:$S$107,MATCH(ROW()-ROW($T$103),$R$103:$R$107,0)),"")</f>
        <v>BOOST</v>
      </c>
      <c r="V105" s="276">
        <f>MAX($X$120:$X$660)</f>
        <v>1</v>
      </c>
      <c r="W105" s="276">
        <f>MIN($X$120:$X$660)</f>
        <v>1</v>
      </c>
      <c r="Y105" s="251"/>
      <c r="Z105" s="197" t="str">
        <f t="array" ref="Z105">INDEX(COILS,MATCH(1,($AC$7:$AC$88&gt;$AC$100)*($AC$7:$AC$88&lt;1.7*$AC$100)*($AH$7:$AH$88&lt;0)*($AI$7:$AI$88&gt;0)*($AA$7:$AA$88&gt;$AA104),0),1)</f>
        <v>Wurth 7447715101  [100µH]</v>
      </c>
      <c r="AA105" s="194">
        <f t="shared" si="11"/>
        <v>30</v>
      </c>
      <c r="AB105" s="194" t="str">
        <f t="shared" si="12"/>
        <v>12x12x4.5h</v>
      </c>
      <c r="AC105" s="194">
        <f t="shared" si="13"/>
        <v>100</v>
      </c>
      <c r="AD105" s="194">
        <f t="shared" si="14"/>
        <v>250</v>
      </c>
      <c r="AE105" s="194">
        <f t="shared" si="15"/>
        <v>1.4</v>
      </c>
      <c r="AF105" s="197">
        <f t="shared" si="16"/>
        <v>25.303630647314719</v>
      </c>
      <c r="AG105" s="218"/>
      <c r="AH105" s="197">
        <f t="shared" si="17"/>
        <v>-0.71571428571428586</v>
      </c>
      <c r="AI105" s="197">
        <f t="shared" si="18"/>
        <v>0.43749999999999978</v>
      </c>
      <c r="AJ105" s="252"/>
      <c r="AK105" s="228"/>
      <c r="AL105" s="228"/>
      <c r="AM105" s="228"/>
      <c r="AN105" s="228"/>
      <c r="AO105" s="228"/>
      <c r="AP105" s="228"/>
      <c r="AQ105" s="228"/>
      <c r="AR105" s="228"/>
      <c r="AS105" s="228"/>
      <c r="AT105" s="228"/>
      <c r="AU105" s="228"/>
      <c r="AV105" s="228"/>
      <c r="AW105" s="228"/>
      <c r="AX105" s="228"/>
      <c r="AY105" s="253"/>
      <c r="AZ105" s="228"/>
      <c r="BA105" s="228"/>
      <c r="BB105" s="228"/>
      <c r="BC105" s="228"/>
      <c r="BD105" s="228"/>
      <c r="BE105" s="228"/>
      <c r="BF105" s="228"/>
      <c r="BG105" s="228"/>
      <c r="BH105" s="228"/>
      <c r="BI105" s="253"/>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row>
    <row r="106" spans="1:107" s="249" customFormat="1" hidden="1" x14ac:dyDescent="0.2">
      <c r="Q106" s="249" t="s">
        <v>701</v>
      </c>
      <c r="R106" s="249">
        <f>IF(S106="","",MAX($R$104:R105)+1)</f>
        <v>2</v>
      </c>
      <c r="S106" s="249" t="str">
        <f>IF(OR(V106&gt;=1,W106&lt;=0),"",Q106)</f>
        <v>BOOST</v>
      </c>
      <c r="T106" s="249" t="str">
        <f>IFERROR(INDEX($S$103:$S$107,MATCH(ROW()-ROW($T$103),$R$103:$R$107,0)),"")</f>
        <v>BUCK-BOOST</v>
      </c>
      <c r="V106" s="276">
        <f>MAX($Y$120:$Y$660)</f>
        <v>0.6386558933958173</v>
      </c>
      <c r="W106" s="276">
        <f>MIN($Y$120:$Y$660)</f>
        <v>0.17335969315081967</v>
      </c>
      <c r="Y106" s="251"/>
      <c r="Z106" s="197" t="str">
        <f t="array" ref="Z106">INDEX(COILS,MATCH(1,($AC$7:$AC$88&lt;$AC$100)*($AC$7:$AC$88&gt;0.6*$AC$100)*($AH$7:$AH$88&lt;0)*($AI$7:$AI$88&gt;0)*($AA$7:$AA$88&gt;0),0),1)</f>
        <v>Coilcraft MSS1246-473ML [47µH]</v>
      </c>
      <c r="AA106" s="194">
        <f t="shared" si="11"/>
        <v>9</v>
      </c>
      <c r="AB106" s="194" t="str">
        <f t="shared" si="12"/>
        <v>12x12x4.6h</v>
      </c>
      <c r="AC106" s="194">
        <f t="shared" si="13"/>
        <v>47</v>
      </c>
      <c r="AD106" s="194">
        <f t="shared" si="14"/>
        <v>120.6</v>
      </c>
      <c r="AE106" s="194">
        <f t="shared" si="15"/>
        <v>2.66</v>
      </c>
      <c r="AF106" s="197">
        <f t="shared" si="16"/>
        <v>-27.696369352685281</v>
      </c>
      <c r="AG106" s="218"/>
      <c r="AH106" s="197">
        <f t="shared" si="17"/>
        <v>-0.84511428571428582</v>
      </c>
      <c r="AI106" s="197">
        <f t="shared" si="18"/>
        <v>1.6975</v>
      </c>
      <c r="AJ106" s="252"/>
      <c r="AK106" s="228"/>
      <c r="AL106" s="228"/>
      <c r="AM106" s="228"/>
      <c r="AN106" s="228"/>
      <c r="AO106" s="228"/>
      <c r="AP106" s="228"/>
      <c r="AQ106" s="228"/>
      <c r="AR106" s="228"/>
      <c r="AS106" s="228"/>
      <c r="AT106" s="228"/>
      <c r="AU106" s="228"/>
      <c r="AV106" s="228"/>
      <c r="AW106" s="228"/>
      <c r="AX106" s="228"/>
      <c r="AY106" s="253"/>
      <c r="AZ106" s="228"/>
      <c r="BA106" s="228"/>
      <c r="BB106" s="228"/>
      <c r="BC106" s="228"/>
      <c r="BD106" s="228"/>
      <c r="BE106" s="228"/>
      <c r="BF106" s="228"/>
      <c r="BG106" s="228"/>
      <c r="BH106" s="228"/>
      <c r="BI106" s="253"/>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row>
    <row r="107" spans="1:107" s="249" customFormat="1" hidden="1" x14ac:dyDescent="0.2">
      <c r="Q107" s="249" t="s">
        <v>602</v>
      </c>
      <c r="R107" s="249">
        <f>IF(S107="","",MAX($R$104:R106)+1)</f>
        <v>3</v>
      </c>
      <c r="S107" s="249" t="str">
        <f>IF(OR(V107&gt;=1,W107&lt;=0),"",Q107)</f>
        <v>BUCK-BOOST</v>
      </c>
      <c r="T107" s="249" t="str">
        <f>IFERROR(INDEX($S$103:$S$107,MATCH(ROW()-ROW($T$103),$R$103:$R$107,0)),"")</f>
        <v/>
      </c>
      <c r="V107" s="276">
        <f>MAX($Z$120:$Z$660)</f>
        <v>0.73786319166626579</v>
      </c>
      <c r="W107" s="276">
        <f>MIN($Z$120:$Z$660)</f>
        <v>0.54964853345132902</v>
      </c>
      <c r="Y107" s="251"/>
      <c r="Z107" s="197" t="str">
        <f t="array" ref="Z107">INDEX(COILS,MATCH(1,($AC$7:$AC$88&lt;$AC$100)*($AC$7:$AC$88&gt;0.6*$AC$100)*($AH$7:$AH$88&lt;0)*($AI$7:$AI$88&gt;0)*($AA$7:$AA$88&gt;$AA106),0),1)</f>
        <v>Coilcraft MSS1278-473ML [47µH]</v>
      </c>
      <c r="AA107" s="194">
        <f t="shared" si="11"/>
        <v>14</v>
      </c>
      <c r="AB107" s="194" t="str">
        <f t="shared" si="12"/>
        <v>12.3x12.3x8h</v>
      </c>
      <c r="AC107" s="194">
        <f t="shared" si="13"/>
        <v>47</v>
      </c>
      <c r="AD107" s="194">
        <f t="shared" si="14"/>
        <v>72.3</v>
      </c>
      <c r="AE107" s="194">
        <f t="shared" si="15"/>
        <v>4.4000000000000004</v>
      </c>
      <c r="AF107" s="197">
        <f t="shared" si="16"/>
        <v>-27.696369352685281</v>
      </c>
      <c r="AG107" s="218"/>
      <c r="AH107" s="197">
        <f t="shared" si="17"/>
        <v>-0.89341428571428583</v>
      </c>
      <c r="AI107" s="197">
        <f t="shared" si="18"/>
        <v>3.4375</v>
      </c>
      <c r="AJ107" s="252"/>
      <c r="AK107" s="228"/>
      <c r="AL107" s="228"/>
      <c r="AM107" s="228"/>
      <c r="AN107" s="228"/>
      <c r="AO107" s="228"/>
      <c r="AP107" s="228"/>
      <c r="AQ107" s="228"/>
      <c r="AR107" s="228"/>
      <c r="AS107" s="228"/>
      <c r="AT107" s="228"/>
      <c r="AU107" s="228"/>
      <c r="AV107" s="228"/>
      <c r="AW107" s="228"/>
      <c r="AX107" s="228"/>
      <c r="AY107" s="253"/>
      <c r="AZ107" s="228"/>
      <c r="BA107" s="228"/>
      <c r="BB107" s="228"/>
      <c r="BC107" s="228"/>
      <c r="BD107" s="228"/>
      <c r="BE107" s="228"/>
      <c r="BF107" s="228"/>
      <c r="BG107" s="228"/>
      <c r="BH107" s="228"/>
      <c r="BI107" s="253"/>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row>
    <row r="108" spans="1:107" s="249" customFormat="1" hidden="1" x14ac:dyDescent="0.25">
      <c r="A108" s="274"/>
      <c r="B108" s="274"/>
      <c r="C108" s="274"/>
      <c r="D108" s="274"/>
      <c r="E108" s="274"/>
      <c r="F108" s="274"/>
      <c r="G108" s="274"/>
      <c r="H108" s="274"/>
      <c r="I108" s="274"/>
      <c r="J108" s="274"/>
      <c r="K108" s="274"/>
      <c r="L108" s="274"/>
      <c r="M108" s="274"/>
      <c r="N108" s="274"/>
      <c r="O108" s="274"/>
      <c r="P108" s="274"/>
      <c r="Q108" s="274"/>
      <c r="R108" s="229"/>
      <c r="S108" s="229"/>
      <c r="T108" s="272"/>
      <c r="U108" s="229"/>
      <c r="V108" s="274"/>
      <c r="W108" s="274"/>
      <c r="Y108" s="251"/>
      <c r="Z108" s="197" t="str">
        <f t="array" ref="Z108">INDEX(COILS,MATCH(1,($AC$7:$AC$88&lt;$AC$100)*($AC$7:$AC$88&gt;0.6*$AC$100)*($AH$7:$AH$88&lt;0)*($AI$7:$AI$88&gt;0)*($AA$7:$AA$88&gt;$AA107),0),1)</f>
        <v>Wurth 7447715470  [47µH]</v>
      </c>
      <c r="AA108" s="194">
        <f t="shared" si="11"/>
        <v>29</v>
      </c>
      <c r="AB108" s="194" t="str">
        <f t="shared" si="12"/>
        <v>12x12x4.5h</v>
      </c>
      <c r="AC108" s="194">
        <f t="shared" si="13"/>
        <v>47</v>
      </c>
      <c r="AD108" s="194">
        <f t="shared" si="14"/>
        <v>105</v>
      </c>
      <c r="AE108" s="194">
        <f t="shared" si="15"/>
        <v>2.1</v>
      </c>
      <c r="AF108" s="197">
        <f t="shared" si="16"/>
        <v>-27.696369352685281</v>
      </c>
      <c r="AG108" s="218"/>
      <c r="AH108" s="197">
        <f t="shared" si="17"/>
        <v>-0.86071428571428588</v>
      </c>
      <c r="AI108" s="197">
        <f t="shared" si="18"/>
        <v>1.1375</v>
      </c>
      <c r="AJ108" s="252"/>
      <c r="AK108" s="228"/>
      <c r="AL108" s="228"/>
      <c r="AM108" s="228"/>
      <c r="AN108" s="228"/>
      <c r="AO108" s="228"/>
      <c r="AP108" s="228"/>
      <c r="AQ108" s="228"/>
      <c r="AR108" s="228"/>
      <c r="AS108" s="228"/>
      <c r="AT108" s="228"/>
      <c r="AU108" s="228"/>
      <c r="AV108" s="228"/>
      <c r="AW108" s="228"/>
      <c r="AX108" s="228"/>
      <c r="AY108" s="253"/>
      <c r="AZ108" s="228"/>
      <c r="BA108" s="228"/>
      <c r="BB108" s="228"/>
      <c r="BC108" s="228"/>
      <c r="BD108" s="228"/>
      <c r="BE108" s="228"/>
      <c r="BF108" s="228"/>
      <c r="BG108" s="228"/>
      <c r="BH108" s="228"/>
      <c r="BI108" s="253"/>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row>
    <row r="109" spans="1:107" s="249" customFormat="1" hidden="1" x14ac:dyDescent="0.25">
      <c r="A109" s="274"/>
      <c r="B109" s="274"/>
      <c r="C109" s="274"/>
      <c r="D109" s="274"/>
      <c r="E109" s="274"/>
      <c r="F109" s="274"/>
      <c r="G109" s="274"/>
      <c r="H109" s="274"/>
      <c r="I109" s="274"/>
      <c r="J109" s="274"/>
      <c r="K109" s="274"/>
      <c r="L109" s="274"/>
      <c r="M109" s="274"/>
      <c r="N109" s="274"/>
      <c r="O109" s="274"/>
      <c r="P109" s="274"/>
      <c r="Q109" s="274"/>
      <c r="R109" s="229"/>
      <c r="S109" s="229"/>
      <c r="T109" s="272"/>
      <c r="U109" s="229"/>
      <c r="V109" s="273"/>
      <c r="W109" s="273"/>
      <c r="Y109" s="251"/>
      <c r="Z109" s="197" t="str">
        <f t="array" ref="Z109">INDEX(COILS,MATCH(1,($AC$7:$AC$88&gt;$AC$103)*($AC$7:$AC$88&lt;2.5*$AC$100)*($AH$7:$AH$88&lt;0)*($AI$7:$AI$88&gt;0)*($AA$7:$AA$88&gt;0),0),1)</f>
        <v>Coilcraft MSS1246-154KL [150µH]</v>
      </c>
      <c r="AA109" s="194">
        <f t="shared" si="11"/>
        <v>6</v>
      </c>
      <c r="AB109" s="194" t="str">
        <f t="shared" si="12"/>
        <v>12x12x4.6h</v>
      </c>
      <c r="AC109" s="194">
        <f t="shared" si="13"/>
        <v>150</v>
      </c>
      <c r="AD109" s="194">
        <f t="shared" si="14"/>
        <v>326.7</v>
      </c>
      <c r="AE109" s="194">
        <f t="shared" si="15"/>
        <v>1.36</v>
      </c>
      <c r="AF109" s="197">
        <f t="shared" si="16"/>
        <v>75.303630647314719</v>
      </c>
      <c r="AG109" s="218"/>
      <c r="AH109" s="197">
        <f t="shared" si="17"/>
        <v>-0.63901428571428587</v>
      </c>
      <c r="AI109" s="197">
        <f t="shared" si="18"/>
        <v>0.39749999999999996</v>
      </c>
      <c r="AJ109" s="252"/>
      <c r="AK109" s="228"/>
      <c r="AL109" s="228"/>
      <c r="AM109" s="228"/>
      <c r="AN109" s="228"/>
      <c r="AO109" s="228"/>
      <c r="AP109" s="228"/>
      <c r="AQ109" s="228"/>
      <c r="AR109" s="228"/>
      <c r="AS109" s="228"/>
      <c r="AT109" s="228"/>
      <c r="AU109" s="228"/>
      <c r="AV109" s="228"/>
      <c r="AW109" s="228"/>
      <c r="AX109" s="228"/>
      <c r="AY109" s="253"/>
      <c r="AZ109" s="228"/>
      <c r="BA109" s="228"/>
      <c r="BB109" s="228"/>
      <c r="BC109" s="228"/>
      <c r="BD109" s="228"/>
      <c r="BE109" s="228"/>
      <c r="BF109" s="228"/>
      <c r="BG109" s="228"/>
      <c r="BH109" s="228"/>
      <c r="BI109" s="253"/>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row>
    <row r="110" spans="1:107" s="249" customFormat="1" hidden="1" x14ac:dyDescent="0.25">
      <c r="A110" s="274"/>
      <c r="B110" s="274"/>
      <c r="C110" s="274"/>
      <c r="D110" s="274"/>
      <c r="E110" s="274"/>
      <c r="F110" s="274"/>
      <c r="G110" s="274"/>
      <c r="H110" s="274"/>
      <c r="I110" s="274"/>
      <c r="J110" s="274"/>
      <c r="K110" s="274"/>
      <c r="L110" s="274"/>
      <c r="M110" s="274"/>
      <c r="N110" s="274"/>
      <c r="O110" s="274"/>
      <c r="P110" s="274"/>
      <c r="Q110" s="274"/>
      <c r="R110" s="229"/>
      <c r="S110" s="229"/>
      <c r="T110" s="272"/>
      <c r="U110" s="229"/>
      <c r="V110" s="273"/>
      <c r="W110" s="273"/>
      <c r="Y110" s="251"/>
      <c r="Z110" s="197" t="str">
        <f t="array" ref="Z110">INDEX(COILS,MATCH(1,($AC$7:$AC$88&gt;$AC$103)*($AC$7:$AC$88&lt;2.5*$AC$100)*($AH$7:$AH$88&lt;0)*($AI$7:$AI$88&gt;0)*($AA$7:$AA$88&gt;22),0),1)</f>
        <v>Wurth 744771215  [150µH]</v>
      </c>
      <c r="AA110" s="194">
        <f t="shared" si="11"/>
        <v>39</v>
      </c>
      <c r="AB110" s="194" t="str">
        <f t="shared" si="12"/>
        <v>12x12x6h</v>
      </c>
      <c r="AC110" s="194">
        <f t="shared" si="13"/>
        <v>150</v>
      </c>
      <c r="AD110" s="194">
        <f t="shared" si="14"/>
        <v>185</v>
      </c>
      <c r="AE110" s="194">
        <f t="shared" si="15"/>
        <v>1.43</v>
      </c>
      <c r="AF110" s="197">
        <f t="shared" si="16"/>
        <v>75.303630647314719</v>
      </c>
      <c r="AG110" s="218"/>
      <c r="AH110" s="197">
        <f t="shared" si="17"/>
        <v>-0.78071428571428592</v>
      </c>
      <c r="AI110" s="197">
        <f t="shared" si="18"/>
        <v>0.4674999999999998</v>
      </c>
      <c r="AJ110" s="252"/>
      <c r="AK110" s="228"/>
      <c r="AL110" s="228"/>
      <c r="AM110" s="228"/>
      <c r="AN110" s="228"/>
      <c r="AO110" s="228"/>
      <c r="AP110" s="228"/>
      <c r="AQ110" s="228"/>
      <c r="AR110" s="228"/>
      <c r="AS110" s="228"/>
      <c r="AT110" s="228"/>
      <c r="AU110" s="228"/>
      <c r="AV110" s="228"/>
      <c r="AW110" s="228"/>
      <c r="AX110" s="228"/>
      <c r="AY110" s="253"/>
      <c r="AZ110" s="228"/>
      <c r="BA110" s="228"/>
      <c r="BB110" s="228"/>
      <c r="BC110" s="228"/>
      <c r="BD110" s="228"/>
      <c r="BE110" s="228"/>
      <c r="BF110" s="228"/>
      <c r="BG110" s="228"/>
      <c r="BH110" s="228"/>
      <c r="BI110" s="253"/>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row>
    <row r="111" spans="1:107" s="249" customFormat="1" hidden="1" x14ac:dyDescent="0.25">
      <c r="A111" s="274"/>
      <c r="B111" s="274"/>
      <c r="C111" s="274"/>
      <c r="D111" s="274"/>
      <c r="E111" s="274"/>
      <c r="F111" s="274"/>
      <c r="G111" s="274"/>
      <c r="H111" s="274"/>
      <c r="I111" s="274"/>
      <c r="J111" s="274"/>
      <c r="K111" s="274"/>
      <c r="L111" s="274"/>
      <c r="M111" s="274"/>
      <c r="N111" s="274"/>
      <c r="O111" s="274"/>
      <c r="P111" s="274"/>
      <c r="Q111" s="274"/>
      <c r="R111" s="229"/>
      <c r="S111" s="229"/>
      <c r="T111" s="272"/>
      <c r="U111" s="229"/>
      <c r="V111" s="273"/>
      <c r="W111" s="273"/>
      <c r="Y111" s="251"/>
      <c r="Z111" s="197" t="str">
        <f t="array" ref="Z111">INDEX(COILS,MATCH(1,($AC$7:$AC$88&lt;$AC$106)*($AC$7:$AC$88&gt;0.4*$AC$100)*($AH$7:$AH$88&lt;0)*($AI$7:$AI$88&gt;0)*($AA$7:$AA$88&gt;0),0),1)</f>
        <v>Coilcraft MSS1246-333ML [33µH]</v>
      </c>
      <c r="AA111" s="194">
        <f t="shared" si="11"/>
        <v>10</v>
      </c>
      <c r="AB111" s="194" t="str">
        <f t="shared" si="12"/>
        <v>12x12x4.6h</v>
      </c>
      <c r="AC111" s="194">
        <f t="shared" si="13"/>
        <v>33</v>
      </c>
      <c r="AD111" s="194">
        <f t="shared" si="14"/>
        <v>81.7</v>
      </c>
      <c r="AE111" s="194">
        <f t="shared" si="15"/>
        <v>3.14</v>
      </c>
      <c r="AF111" s="197">
        <f t="shared" si="16"/>
        <v>-41.696369352685281</v>
      </c>
      <c r="AG111" s="218"/>
      <c r="AH111" s="197">
        <f t="shared" si="17"/>
        <v>-0.88401428571428586</v>
      </c>
      <c r="AI111" s="197">
        <f t="shared" si="18"/>
        <v>2.1775000000000002</v>
      </c>
      <c r="AJ111" s="252"/>
      <c r="AK111" s="228"/>
      <c r="AL111" s="228"/>
      <c r="AM111" s="228"/>
      <c r="AN111" s="228"/>
      <c r="AO111" s="228"/>
      <c r="AP111" s="228"/>
      <c r="AQ111" s="228"/>
      <c r="AR111" s="228"/>
      <c r="AS111" s="228"/>
      <c r="AT111" s="228"/>
      <c r="AU111" s="228"/>
      <c r="AV111" s="228"/>
      <c r="AW111" s="228"/>
      <c r="AX111" s="228"/>
      <c r="AY111" s="253"/>
      <c r="AZ111" s="228"/>
      <c r="BA111" s="228"/>
      <c r="BB111" s="228"/>
      <c r="BC111" s="228"/>
      <c r="BD111" s="228"/>
      <c r="BE111" s="228"/>
      <c r="BF111" s="228"/>
      <c r="BG111" s="228"/>
      <c r="BH111" s="228"/>
      <c r="BI111" s="253"/>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row>
    <row r="112" spans="1:107" s="249" customFormat="1" hidden="1" x14ac:dyDescent="0.25">
      <c r="A112" s="274"/>
      <c r="B112" s="274"/>
      <c r="C112" s="274"/>
      <c r="D112" s="274"/>
      <c r="E112" s="274"/>
      <c r="F112" s="274"/>
      <c r="G112" s="274"/>
      <c r="H112" s="274"/>
      <c r="I112" s="274"/>
      <c r="J112" s="274"/>
      <c r="K112" s="274"/>
      <c r="L112" s="274"/>
      <c r="M112" s="274"/>
      <c r="N112" s="274"/>
      <c r="O112" s="274"/>
      <c r="P112" s="274"/>
      <c r="Q112" s="274"/>
      <c r="R112" s="229"/>
      <c r="S112" s="229"/>
      <c r="T112" s="272"/>
      <c r="U112" s="229"/>
      <c r="V112" s="273"/>
      <c r="W112" s="273"/>
      <c r="Y112" s="251"/>
      <c r="Z112" s="197" t="str">
        <f t="array" ref="Z112">INDEX(COILS,MATCH(1,($AC$7:$AC$88&lt;$AC$106)*($AC$7:$AC$88&gt;0.4*$AC$100)*($AH$7:$AH$88&lt;0)*($AI$7:$AI$88&gt;0)*($AA$7:$AA$88&gt;22),0),1)</f>
        <v>Wurth 744778133  [33µH]</v>
      </c>
      <c r="AA112" s="194">
        <f t="shared" si="11"/>
        <v>24</v>
      </c>
      <c r="AB112" s="194" t="str">
        <f t="shared" si="12"/>
        <v>7.3x7.3x3.2h</v>
      </c>
      <c r="AC112" s="194">
        <f t="shared" si="13"/>
        <v>33</v>
      </c>
      <c r="AD112" s="194">
        <f t="shared" si="14"/>
        <v>153</v>
      </c>
      <c r="AE112" s="194">
        <f t="shared" si="15"/>
        <v>1.22</v>
      </c>
      <c r="AF112" s="197">
        <f t="shared" si="16"/>
        <v>-41.696369352685281</v>
      </c>
      <c r="AG112" s="218"/>
      <c r="AH112" s="197">
        <f t="shared" si="17"/>
        <v>-0.81271428571428583</v>
      </c>
      <c r="AI112" s="197">
        <f t="shared" si="18"/>
        <v>0.25749999999999984</v>
      </c>
      <c r="AJ112" s="252"/>
      <c r="AK112" s="228"/>
      <c r="AL112" s="228"/>
      <c r="AM112" s="228"/>
      <c r="AN112" s="228"/>
      <c r="AO112" s="228"/>
      <c r="AP112" s="228"/>
      <c r="AQ112" s="228"/>
      <c r="AR112" s="228"/>
      <c r="AS112" s="228"/>
      <c r="AT112" s="228"/>
      <c r="AU112" s="228"/>
      <c r="AV112" s="228"/>
      <c r="AW112" s="228"/>
      <c r="AX112" s="228"/>
      <c r="AY112" s="253"/>
      <c r="AZ112" s="228"/>
      <c r="BA112" s="228"/>
      <c r="BB112" s="228"/>
      <c r="BC112" s="228"/>
      <c r="BD112" s="228"/>
      <c r="BE112" s="228"/>
      <c r="BF112" s="228"/>
      <c r="BG112" s="228"/>
      <c r="BH112" s="228"/>
      <c r="BI112" s="253"/>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row>
    <row r="113" spans="1:111" s="249" customFormat="1" hidden="1" x14ac:dyDescent="0.25">
      <c r="A113" s="274"/>
      <c r="B113" s="274"/>
      <c r="C113" s="274"/>
      <c r="D113" s="274"/>
      <c r="E113" s="274"/>
      <c r="F113" s="274"/>
      <c r="G113" s="274"/>
      <c r="H113" s="274"/>
      <c r="I113" s="274"/>
      <c r="J113" s="274"/>
      <c r="K113" s="274"/>
      <c r="L113" s="274"/>
      <c r="M113" s="274"/>
      <c r="N113" s="274"/>
      <c r="O113" s="274"/>
      <c r="P113" s="274"/>
      <c r="Q113" s="274"/>
      <c r="R113" s="229"/>
      <c r="S113" s="229"/>
      <c r="T113" s="272"/>
      <c r="U113" s="229"/>
      <c r="V113" s="273"/>
      <c r="W113" s="273"/>
      <c r="Y113" s="251"/>
      <c r="Z113" s="197"/>
      <c r="AA113" s="194"/>
      <c r="AB113" s="194"/>
      <c r="AC113" s="194"/>
      <c r="AD113" s="197"/>
      <c r="AE113" s="197"/>
      <c r="AF113" s="197"/>
      <c r="AG113" s="197"/>
      <c r="AH113" s="228"/>
      <c r="AI113" s="228"/>
      <c r="AJ113" s="252"/>
      <c r="AK113" s="228"/>
      <c r="AL113" s="228"/>
      <c r="AM113" s="228"/>
      <c r="AN113" s="228"/>
      <c r="AO113" s="228"/>
      <c r="AP113" s="228"/>
      <c r="AQ113" s="228"/>
      <c r="AR113" s="228"/>
      <c r="AS113" s="228"/>
      <c r="AT113" s="228"/>
      <c r="AU113" s="228"/>
      <c r="AV113" s="228"/>
      <c r="AW113" s="228"/>
      <c r="AX113" s="228"/>
      <c r="AY113" s="253"/>
      <c r="AZ113" s="228"/>
      <c r="BA113" s="228"/>
      <c r="BB113" s="228"/>
      <c r="BC113" s="228"/>
      <c r="BD113" s="228"/>
      <c r="BE113" s="228"/>
      <c r="BF113" s="228"/>
      <c r="BG113" s="228"/>
      <c r="BH113" s="228"/>
      <c r="BI113" s="253"/>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row>
    <row r="114" spans="1:111" s="249" customFormat="1" hidden="1" x14ac:dyDescent="0.25">
      <c r="A114" s="274"/>
      <c r="B114" s="274"/>
      <c r="C114" s="274"/>
      <c r="D114" s="274"/>
      <c r="E114" s="274"/>
      <c r="F114" s="274"/>
      <c r="G114" s="274"/>
      <c r="H114" s="274"/>
      <c r="I114" s="274"/>
      <c r="J114" s="274"/>
      <c r="K114" s="274"/>
      <c r="L114" s="274"/>
      <c r="M114" s="274"/>
      <c r="N114" s="274"/>
      <c r="O114" s="274"/>
      <c r="P114" s="274"/>
      <c r="Q114" s="274"/>
      <c r="R114" s="229"/>
      <c r="S114" s="229"/>
      <c r="T114" s="272"/>
      <c r="U114" s="229"/>
      <c r="V114" s="273"/>
      <c r="W114" s="273"/>
      <c r="Y114" s="251"/>
      <c r="Z114" s="197"/>
      <c r="AA114" s="194"/>
      <c r="AB114" s="194"/>
      <c r="AC114" s="194"/>
      <c r="AD114" s="197"/>
      <c r="AE114" s="197"/>
      <c r="AF114" s="197"/>
      <c r="AG114" s="197"/>
      <c r="AH114" s="228"/>
      <c r="AI114" s="228"/>
      <c r="AJ114" s="252"/>
      <c r="AK114" s="228"/>
      <c r="AL114" s="228"/>
      <c r="AM114" s="228"/>
      <c r="AN114" s="228"/>
      <c r="AO114" s="228"/>
      <c r="AP114" s="228"/>
      <c r="AQ114" s="228"/>
      <c r="AR114" s="228"/>
      <c r="AS114" s="228"/>
      <c r="AT114" s="228"/>
      <c r="AU114" s="228"/>
      <c r="AV114" s="228"/>
      <c r="AW114" s="228"/>
      <c r="AX114" s="228"/>
      <c r="AY114" s="253"/>
      <c r="AZ114" s="228"/>
      <c r="BA114" s="228"/>
      <c r="BB114" s="228"/>
      <c r="BC114" s="228"/>
      <c r="BD114" s="228"/>
      <c r="BE114" s="228"/>
      <c r="BF114" s="228"/>
      <c r="BG114" s="228"/>
      <c r="BH114" s="228"/>
      <c r="BI114" s="253"/>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row>
    <row r="115" spans="1:111" s="279" customFormat="1" hidden="1" x14ac:dyDescent="0.25">
      <c r="A115" s="274"/>
      <c r="B115" s="274"/>
      <c r="C115" s="274"/>
      <c r="D115" s="274"/>
      <c r="E115" s="274"/>
      <c r="F115" s="274"/>
      <c r="G115" s="274"/>
      <c r="H115" s="274"/>
      <c r="I115" s="274"/>
      <c r="J115" s="274"/>
      <c r="K115" s="274"/>
      <c r="L115" s="274"/>
      <c r="M115" s="274"/>
      <c r="N115" s="274"/>
      <c r="O115" s="274"/>
      <c r="P115" s="274"/>
      <c r="Q115" s="274"/>
      <c r="R115" s="277" t="s">
        <v>208</v>
      </c>
      <c r="S115" s="278"/>
      <c r="T115" s="278"/>
      <c r="U115" s="278"/>
      <c r="V115" s="278"/>
      <c r="W115" s="278"/>
      <c r="Y115" s="280"/>
      <c r="Z115" s="281"/>
      <c r="AA115" s="281"/>
      <c r="AB115" s="281"/>
      <c r="AC115" s="281"/>
      <c r="AD115" s="281"/>
      <c r="AE115" s="282"/>
      <c r="AF115" s="282"/>
      <c r="AG115" s="282"/>
      <c r="AH115" s="281"/>
      <c r="AI115" s="281"/>
      <c r="AJ115" s="282"/>
      <c r="AK115" s="281"/>
      <c r="AL115" s="281"/>
      <c r="AM115" s="281"/>
      <c r="AN115" s="281"/>
      <c r="AO115" s="281"/>
      <c r="AP115" s="281"/>
      <c r="AQ115" s="281"/>
      <c r="AR115" s="281"/>
      <c r="AS115" s="281"/>
      <c r="AT115" s="281"/>
      <c r="AU115" s="281"/>
      <c r="AV115" s="281"/>
      <c r="AW115" s="281"/>
      <c r="AX115" s="281"/>
      <c r="AY115" s="282"/>
      <c r="AZ115" s="281"/>
      <c r="BA115" s="281"/>
      <c r="BB115" s="281"/>
      <c r="BC115" s="281"/>
      <c r="BD115" s="281"/>
      <c r="BE115" s="281"/>
      <c r="BF115" s="281"/>
      <c r="BG115" s="281"/>
      <c r="BH115" s="281"/>
      <c r="BI115" s="282"/>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81"/>
      <c r="CJ115" s="281"/>
      <c r="CK115" s="281"/>
      <c r="CL115" s="281"/>
      <c r="CM115" s="281"/>
      <c r="CN115" s="281"/>
      <c r="CO115" s="281"/>
      <c r="CP115" s="281"/>
      <c r="CQ115" s="281"/>
      <c r="CR115" s="281"/>
      <c r="CS115" s="281"/>
      <c r="CT115" s="281"/>
      <c r="CU115" s="281"/>
      <c r="CV115" s="281"/>
      <c r="CW115" s="281"/>
      <c r="CX115" s="281"/>
      <c r="CY115" s="281"/>
      <c r="CZ115" s="281"/>
      <c r="DA115" s="281"/>
      <c r="DB115" s="281"/>
      <c r="DC115" s="281"/>
    </row>
    <row r="116" spans="1:111" s="194" customFormat="1" hidden="1" x14ac:dyDescent="0.35">
      <c r="B116" s="266"/>
      <c r="C116" s="266"/>
      <c r="D116" s="249"/>
      <c r="E116" s="249"/>
      <c r="F116" s="249"/>
      <c r="S116" s="194" t="s">
        <v>171</v>
      </c>
      <c r="V116" s="194" t="s">
        <v>170</v>
      </c>
      <c r="W116" s="195" t="s">
        <v>169</v>
      </c>
      <c r="X116" s="195" t="s">
        <v>166</v>
      </c>
      <c r="Y116" s="194" t="s">
        <v>167</v>
      </c>
      <c r="Z116" s="243" t="s">
        <v>168</v>
      </c>
      <c r="AB116" s="194" t="s">
        <v>183</v>
      </c>
      <c r="AC116" s="194" t="s">
        <v>184</v>
      </c>
      <c r="AD116" s="194" t="s">
        <v>192</v>
      </c>
      <c r="AE116" s="197" t="s">
        <v>192</v>
      </c>
      <c r="AG116" s="197"/>
      <c r="AH116" s="194" t="s">
        <v>185</v>
      </c>
      <c r="AI116" s="194" t="s">
        <v>199</v>
      </c>
      <c r="AJ116" s="194" t="s">
        <v>200</v>
      </c>
      <c r="AK116" s="197" t="s">
        <v>210</v>
      </c>
      <c r="AL116" s="194" t="s">
        <v>211</v>
      </c>
      <c r="AM116" s="194" t="s">
        <v>213</v>
      </c>
      <c r="AN116" s="194" t="s">
        <v>219</v>
      </c>
      <c r="AO116" s="194" t="s">
        <v>224</v>
      </c>
      <c r="AP116" s="194" t="s">
        <v>225</v>
      </c>
      <c r="AQ116" s="194" t="s">
        <v>226</v>
      </c>
      <c r="AR116" s="194" t="s">
        <v>227</v>
      </c>
      <c r="AS116" s="194" t="s">
        <v>228</v>
      </c>
      <c r="AT116" s="194" t="s">
        <v>229</v>
      </c>
      <c r="AV116" s="194" t="s">
        <v>232</v>
      </c>
      <c r="AW116" s="194" t="s">
        <v>454</v>
      </c>
      <c r="AY116" s="194" t="s">
        <v>463</v>
      </c>
      <c r="AZ116" s="194" t="s">
        <v>464</v>
      </c>
      <c r="BA116" s="194" t="s">
        <v>233</v>
      </c>
      <c r="BD116" s="197"/>
      <c r="BN116" s="197"/>
      <c r="BU116" s="194" t="s">
        <v>368</v>
      </c>
      <c r="BV116" s="194" t="s">
        <v>368</v>
      </c>
    </row>
    <row r="117" spans="1:111" s="249" customFormat="1" hidden="1" x14ac:dyDescent="0.2">
      <c r="B117" s="266"/>
      <c r="C117" s="266"/>
      <c r="Q117" s="250"/>
      <c r="R117" s="231"/>
      <c r="S117" s="231"/>
      <c r="U117" s="231"/>
      <c r="V117" s="231"/>
      <c r="W117" s="231"/>
      <c r="Y117" s="251"/>
      <c r="Z117" s="228"/>
      <c r="AA117" s="228"/>
      <c r="AB117" s="228"/>
      <c r="AC117" s="228"/>
      <c r="AD117" s="228"/>
      <c r="AE117" s="253"/>
      <c r="AF117" s="253"/>
      <c r="AG117" s="253"/>
      <c r="AH117" s="228"/>
      <c r="AI117" s="228"/>
      <c r="AJ117" s="253"/>
      <c r="AK117" s="228"/>
      <c r="AL117" s="228"/>
      <c r="AM117" s="228"/>
      <c r="AN117" s="228"/>
      <c r="AP117" s="228"/>
      <c r="AQ117" s="228"/>
      <c r="AR117" s="228"/>
      <c r="AT117" s="228"/>
      <c r="AV117" s="194" t="s">
        <v>275</v>
      </c>
      <c r="AW117" s="283"/>
      <c r="AX117" s="194" t="s">
        <v>275</v>
      </c>
      <c r="BA117" s="228"/>
      <c r="BB117" s="228"/>
      <c r="BC117" s="228"/>
      <c r="BD117" s="253"/>
      <c r="BE117" s="228"/>
      <c r="BF117" s="228"/>
      <c r="BG117" s="228"/>
      <c r="BH117" s="228"/>
      <c r="BI117" s="228"/>
      <c r="BJ117" s="228"/>
      <c r="BK117" s="228"/>
      <c r="BL117" s="228"/>
      <c r="BM117" s="228"/>
      <c r="BN117" s="253"/>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row>
    <row r="118" spans="1:111" s="192" customFormat="1" hidden="1" x14ac:dyDescent="0.2">
      <c r="B118" s="266"/>
      <c r="C118" s="266"/>
      <c r="D118" s="249"/>
      <c r="E118" s="249"/>
      <c r="F118" s="249"/>
      <c r="Q118" s="193"/>
      <c r="R118" s="194"/>
      <c r="S118" s="194"/>
      <c r="T118" s="194" t="s">
        <v>249</v>
      </c>
      <c r="U118" s="194"/>
      <c r="V118" s="195"/>
      <c r="W118" s="195"/>
      <c r="Y118" s="196"/>
      <c r="AE118" s="269"/>
      <c r="AF118" s="197"/>
      <c r="AG118" s="197"/>
      <c r="AH118" s="194" t="s">
        <v>288</v>
      </c>
      <c r="AI118" s="194"/>
      <c r="AJ118" s="197"/>
      <c r="AK118" s="194"/>
      <c r="AL118" s="194"/>
      <c r="AM118" s="194" t="s">
        <v>289</v>
      </c>
      <c r="AN118" s="228" t="s">
        <v>251</v>
      </c>
      <c r="AO118" s="194"/>
      <c r="AP118" s="228" t="s">
        <v>251</v>
      </c>
      <c r="AQ118" s="194"/>
      <c r="AR118" s="194"/>
      <c r="AS118" s="194"/>
      <c r="AT118" s="228" t="s">
        <v>251</v>
      </c>
      <c r="AU118" s="194"/>
      <c r="AV118" s="194"/>
      <c r="AW118" s="194"/>
      <c r="AX118" s="194" t="s">
        <v>393</v>
      </c>
      <c r="AY118" s="284"/>
      <c r="AZ118" s="194"/>
      <c r="BA118" s="228" t="s">
        <v>275</v>
      </c>
      <c r="BB118" s="194"/>
      <c r="BC118" s="194"/>
      <c r="BD118" s="197"/>
      <c r="BE118" s="194"/>
      <c r="BF118" s="194" t="s">
        <v>249</v>
      </c>
      <c r="BG118" s="194"/>
      <c r="BH118" s="194"/>
      <c r="BI118" s="194"/>
      <c r="BJ118" s="194" t="s">
        <v>246</v>
      </c>
      <c r="BK118" s="194"/>
      <c r="BL118" s="194"/>
      <c r="BM118" s="194"/>
      <c r="BN118" s="197"/>
      <c r="BO118" s="194"/>
      <c r="BP118" s="194"/>
      <c r="BQ118" s="194"/>
      <c r="BR118" s="194"/>
      <c r="BS118" s="194"/>
      <c r="BT118" s="194"/>
      <c r="BU118" s="194"/>
      <c r="BV118" s="194"/>
      <c r="BW118" s="194"/>
      <c r="BX118" s="194"/>
      <c r="BY118" s="194"/>
      <c r="BZ118" s="194"/>
      <c r="CA118" s="194"/>
      <c r="CB118" s="194"/>
      <c r="CC118" s="194"/>
      <c r="CD118" s="194"/>
      <c r="CE118" s="194"/>
      <c r="CF118" s="194"/>
      <c r="CG118" s="194"/>
      <c r="CH118" s="194"/>
      <c r="CI118" s="194"/>
      <c r="CJ118" s="194"/>
      <c r="CK118" s="194"/>
      <c r="CL118" s="194"/>
      <c r="CM118" s="194"/>
      <c r="CN118" s="194"/>
      <c r="CO118" s="194"/>
      <c r="CP118" s="194"/>
      <c r="CQ118" s="194"/>
      <c r="CR118" s="194"/>
      <c r="CS118" s="194"/>
      <c r="CT118" s="194"/>
      <c r="CU118" s="194"/>
      <c r="CV118" s="194"/>
      <c r="CW118" s="194"/>
      <c r="CX118" s="194"/>
      <c r="CY118" s="194"/>
      <c r="CZ118" s="194"/>
      <c r="DA118" s="194"/>
      <c r="DB118" s="194"/>
      <c r="DC118" s="194"/>
      <c r="DD118" s="194"/>
      <c r="DE118" s="194"/>
    </row>
    <row r="119" spans="1:111" s="192" customFormat="1" hidden="1" x14ac:dyDescent="0.25">
      <c r="B119" s="266"/>
      <c r="C119" s="266"/>
      <c r="D119" s="249"/>
      <c r="E119" s="249"/>
      <c r="F119" s="249"/>
      <c r="Q119" s="193"/>
      <c r="R119" s="202" t="s">
        <v>159</v>
      </c>
      <c r="S119" s="202" t="s">
        <v>165</v>
      </c>
      <c r="T119" s="202" t="s">
        <v>252</v>
      </c>
      <c r="U119" s="202" t="s">
        <v>287</v>
      </c>
      <c r="V119" s="202" t="s">
        <v>179</v>
      </c>
      <c r="W119" s="202" t="s">
        <v>31</v>
      </c>
      <c r="X119" s="202" t="s">
        <v>163</v>
      </c>
      <c r="Y119" s="202" t="s">
        <v>178</v>
      </c>
      <c r="Z119" s="202" t="s">
        <v>164</v>
      </c>
      <c r="AA119" s="202" t="s">
        <v>216</v>
      </c>
      <c r="AB119" s="202" t="s">
        <v>214</v>
      </c>
      <c r="AC119" s="202" t="s">
        <v>182</v>
      </c>
      <c r="AD119" s="202" t="s">
        <v>193</v>
      </c>
      <c r="AE119" s="202" t="s">
        <v>194</v>
      </c>
      <c r="AF119" s="202" t="s">
        <v>195</v>
      </c>
      <c r="AG119" s="202" t="s">
        <v>196</v>
      </c>
      <c r="AH119" s="202" t="s">
        <v>186</v>
      </c>
      <c r="AI119" s="202" t="s">
        <v>197</v>
      </c>
      <c r="AJ119" s="202" t="s">
        <v>198</v>
      </c>
      <c r="AK119" s="212" t="s">
        <v>209</v>
      </c>
      <c r="AL119" s="202" t="s">
        <v>247</v>
      </c>
      <c r="AM119" s="202" t="s">
        <v>212</v>
      </c>
      <c r="AN119" s="202" t="s">
        <v>378</v>
      </c>
      <c r="AO119" s="202" t="s">
        <v>36</v>
      </c>
      <c r="AP119" s="285" t="s">
        <v>223</v>
      </c>
      <c r="AQ119" s="194" t="s">
        <v>220</v>
      </c>
      <c r="AR119" s="194" t="s">
        <v>221</v>
      </c>
      <c r="AS119" s="194" t="s">
        <v>222</v>
      </c>
      <c r="AT119" s="285" t="s">
        <v>379</v>
      </c>
      <c r="AU119" s="194" t="s">
        <v>381</v>
      </c>
      <c r="AV119" s="285" t="s">
        <v>384</v>
      </c>
      <c r="AW119" s="194" t="s">
        <v>451</v>
      </c>
      <c r="AX119" s="194" t="s">
        <v>389</v>
      </c>
      <c r="AY119" s="284" t="s">
        <v>453</v>
      </c>
      <c r="AZ119" s="284" t="s">
        <v>452</v>
      </c>
      <c r="BA119" s="285" t="s">
        <v>392</v>
      </c>
      <c r="BB119" s="194" t="s">
        <v>241</v>
      </c>
      <c r="BC119" s="194" t="s">
        <v>242</v>
      </c>
      <c r="BD119" s="197" t="s">
        <v>243</v>
      </c>
      <c r="BE119" s="285" t="s">
        <v>234</v>
      </c>
      <c r="BF119" s="285" t="s">
        <v>250</v>
      </c>
      <c r="BG119" s="284" t="s">
        <v>248</v>
      </c>
      <c r="BH119" s="285" t="s">
        <v>218</v>
      </c>
      <c r="BI119" s="284" t="s">
        <v>39</v>
      </c>
      <c r="BJ119" s="194" t="s">
        <v>245</v>
      </c>
      <c r="BK119" s="194" t="s">
        <v>244</v>
      </c>
      <c r="BL119" s="194" t="s">
        <v>253</v>
      </c>
      <c r="BM119" s="194" t="s">
        <v>259</v>
      </c>
      <c r="BN119" s="197" t="s">
        <v>257</v>
      </c>
      <c r="BO119" s="194" t="s">
        <v>258</v>
      </c>
      <c r="BP119" s="194" t="s">
        <v>260</v>
      </c>
      <c r="BQ119" s="194" t="s">
        <v>388</v>
      </c>
      <c r="BR119" s="194" t="s">
        <v>345</v>
      </c>
      <c r="BS119" s="194" t="s">
        <v>355</v>
      </c>
      <c r="BT119" s="194" t="s">
        <v>356</v>
      </c>
      <c r="BU119" s="194" t="s">
        <v>362</v>
      </c>
      <c r="BV119" s="194" t="s">
        <v>361</v>
      </c>
      <c r="BW119" s="194"/>
      <c r="BX119" s="194"/>
      <c r="BY119" s="194"/>
      <c r="BZ119" s="194"/>
      <c r="CA119" s="194"/>
      <c r="CB119" s="194"/>
      <c r="CC119" s="194"/>
      <c r="CD119" s="194"/>
      <c r="CE119" s="194"/>
      <c r="CF119" s="194"/>
      <c r="CG119" s="194"/>
      <c r="CH119" s="194"/>
      <c r="CI119" s="194"/>
      <c r="CJ119" s="194"/>
      <c r="CK119" s="194"/>
      <c r="CL119" s="194"/>
      <c r="CM119" s="194"/>
      <c r="CN119" s="194"/>
      <c r="CO119" s="194"/>
      <c r="CP119" s="194"/>
      <c r="CQ119" s="194"/>
      <c r="CR119" s="194"/>
      <c r="CS119" s="194"/>
      <c r="CT119" s="194"/>
      <c r="CU119" s="194"/>
      <c r="CV119" s="194"/>
      <c r="CW119" s="194"/>
      <c r="CX119" s="194"/>
      <c r="CY119" s="194"/>
      <c r="CZ119" s="194"/>
      <c r="DA119" s="194"/>
      <c r="DB119" s="194"/>
      <c r="DC119" s="194"/>
      <c r="DD119" s="194"/>
      <c r="DE119" s="194"/>
      <c r="DF119" s="194"/>
      <c r="DG119" s="194"/>
    </row>
    <row r="120" spans="1:111" s="192" customFormat="1" hidden="1" x14ac:dyDescent="0.35">
      <c r="B120" s="266"/>
      <c r="C120" s="266"/>
      <c r="D120" s="249"/>
      <c r="E120" s="249"/>
      <c r="F120" s="249"/>
      <c r="Q120" s="193"/>
      <c r="R120" s="194">
        <f>VINMIN</f>
        <v>8</v>
      </c>
      <c r="S120" s="197">
        <f t="shared" ref="S120:S183" si="19">(VLEDS/R120)*ILED/0.9</f>
        <v>0.875</v>
      </c>
      <c r="T120" s="194">
        <f>$D$45</f>
        <v>0.69</v>
      </c>
      <c r="U120" s="194">
        <f>$D$48*0.001</f>
        <v>1.4999999999999999E-4</v>
      </c>
      <c r="V120" s="197">
        <f>IF(CONFIG="BUCK",ILED,IF(CONFIG="BOOST",S120,ILED+S120))</f>
        <v>0.875</v>
      </c>
      <c r="W120" s="197">
        <f t="shared" ref="W120:W183" si="20">V120*RON</f>
        <v>9.8000000000000014E-3</v>
      </c>
      <c r="X120" s="286">
        <f t="shared" ref="X120:X183" si="21">IF((VLEDS+T120+ILEDF*(RON+RCOIL))/(R120+T120-W120)&gt;1,1,(VLEDS+T120+ILEDF*(RON+RCOIL))/(R120+T120-W120))</f>
        <v>1</v>
      </c>
      <c r="Y120" s="286">
        <f t="shared" ref="Y120:Y183" si="22">IF((VLEDS-R120+T120+S120*(RON+RCOIL))/(VLEDS+T120-W120)&lt;0,0,(VLEDS-R120+T120+S120*(RON+RCOIL))/(VLEDS+T120-W120))</f>
        <v>0.6386558933958173</v>
      </c>
      <c r="Z120" s="286">
        <f t="shared" ref="Z120:Z183" si="23">(VLEDS+T120+(S120+ILEDF)*(RON+RCOIL))/(VLEDS+R120+T120-W120)</f>
        <v>0.73786319166626579</v>
      </c>
      <c r="AA120" s="286">
        <f>IF(CONFIG="BUCK",X120,IF(CONFIG="BOOST",Y120,Z120))</f>
        <v>0.6386558933958173</v>
      </c>
      <c r="AB120" s="197">
        <f t="shared" ref="AB120:AB183" si="24">IF(CONFIG="BUCK",ILEDF,ILEDF/(1-AA120))</f>
        <v>0.83317310733951155</v>
      </c>
      <c r="AC120" s="287">
        <f t="shared" ref="AC120:AC183" si="25">AA120/(FINIT*1000)</f>
        <v>1.6375792138354289E-6</v>
      </c>
      <c r="AD120" s="197">
        <f>IF(CONFIG="BUCK",RIPLOW,RIPLOW*(1-AA120)/GI_ADJ)</f>
        <v>5.1116971178152681</v>
      </c>
      <c r="AE120" s="197">
        <f>IF(CONFIG="BUCK",RIPHIGH,RIPHIGH*(1-AA120)/GI_ADJ)</f>
        <v>15.335091353445804</v>
      </c>
      <c r="AF120" s="197">
        <f>(AD120*2/100)*AB120</f>
        <v>8.5178571428571451E-2</v>
      </c>
      <c r="AG120" s="197">
        <f>(AE120*2/100)*AB120</f>
        <v>0.25553571428571431</v>
      </c>
      <c r="AH120" s="197">
        <f t="shared" ref="AH120:AH183" si="26">IF(CONFIG="BUCK",R120-VLEDS-AB120*(RS+RCOIL)-W120,R120-AB120*(RS+RCOIL)-W120)*AC120/(L*0.000001)</f>
        <v>0.18376352047690825</v>
      </c>
      <c r="AI120" s="197">
        <f>IF(AH120&lt;AF120,AF120,IF(AH120&gt;AG120,AG120,AH120))</f>
        <v>0.18376352047690825</v>
      </c>
      <c r="AJ120" s="218">
        <f t="shared" ref="AJ120:AJ183" si="27">0.001*AA120*AH120/(AI120*AC120)</f>
        <v>390</v>
      </c>
      <c r="AK120" s="197">
        <f>AB120*RCOIL</f>
        <v>0.13938986085790028</v>
      </c>
      <c r="AL120" s="197">
        <f>AB120*RS</f>
        <v>0.22008346231609738</v>
      </c>
      <c r="AM120" s="197">
        <f>AB120*RON</f>
        <v>9.3315388022025304E-3</v>
      </c>
      <c r="AN120" s="197">
        <f t="shared" ref="AN120:AN183" si="28">(QGSW/IGATE)+($D$37+$D$38)/2</f>
        <v>24.05</v>
      </c>
      <c r="AO120" s="197">
        <f t="shared" ref="AO120:AO183" si="29">IF(CONFIG="BUCK",R120+T120,IF(CONFIG="BOOST",VLEDS+T120,R120+VLEDS+T120))</f>
        <v>21.69</v>
      </c>
      <c r="AP120" s="197">
        <f>AB120*AO120*AN120*AJ120*0.000001</f>
        <v>0.16950186590671071</v>
      </c>
      <c r="AQ120" s="197">
        <f>AB120+AI120/2</f>
        <v>0.92505486757796573</v>
      </c>
      <c r="AR120" s="197">
        <f>AB120-AI120/2</f>
        <v>0.74129134710105737</v>
      </c>
      <c r="AS120" s="258">
        <f>SQRT((AA120/3)*(AQ120^2+AQ120*AR120+AR120^2))</f>
        <v>0.66718643366286279</v>
      </c>
      <c r="AT120" s="197">
        <f t="shared" ref="AT120:AT183" si="30">(AS120^2)*RON</f>
        <v>4.9855426573542205E-3</v>
      </c>
      <c r="AU120" s="194">
        <f>IF(LOWV,AO120-0.5,IF(DISSLIM,IF(R120&lt;_VZD3,R120,_VZD3),R120))</f>
        <v>21.19</v>
      </c>
      <c r="AV120" s="197">
        <f t="shared" ref="AV120:AV183" si="31">R120*IQ</f>
        <v>1.2E-2</v>
      </c>
      <c r="AW120" s="197">
        <f t="shared" ref="AW120:AW183" si="32">IQAUX+QGTOT*AJ120*0.000001</f>
        <v>3.4259999999999998E-3</v>
      </c>
      <c r="AX120" s="197">
        <f>R120*AW120</f>
        <v>2.7407999999999998E-2</v>
      </c>
      <c r="AY120" s="197">
        <f t="shared" ref="AY120:AY183" si="33">IF(LOWV,((AW120^2)*100)+0.5*AW120,0)</f>
        <v>2.8867475999999996E-3</v>
      </c>
      <c r="AZ120" s="197">
        <f t="shared" ref="AZ120:AZ183" si="34">IF(DISSLIM,((R120-AU120)^2/5000)+AU120*(((R120-AU120)/5000)-AW120),0)</f>
        <v>0</v>
      </c>
      <c r="BA120" s="197">
        <f>AU120*AW120</f>
        <v>7.2596939999999999E-2</v>
      </c>
      <c r="BB120" s="258">
        <f t="shared" ref="BB120:BB183" si="35">SQRT((1/3)*(AQ120^2+AQ120*AR120+AR120^2))</f>
        <v>0.83486017556751146</v>
      </c>
      <c r="BC120" s="197">
        <f t="shared" ref="BC120:BC183" si="36">BB120^2*RCOIL</f>
        <v>0.11660668008284347</v>
      </c>
      <c r="BD120" s="197">
        <f>BC120*0.2</f>
        <v>2.3321336016568696E-2</v>
      </c>
      <c r="BE120" s="197">
        <f>BC120+BD120</f>
        <v>0.13992801609941216</v>
      </c>
      <c r="BF120" s="197">
        <f t="shared" ref="BF120:BF183" si="37">T120*AB120*(1-AA120)</f>
        <v>0.20773291256157633</v>
      </c>
      <c r="BG120" s="197">
        <f t="shared" ref="BG120:BG183" si="38">U120*AA120*IF(CONFIG="BUCK",R120,IF(CONFIG="BOOST",VLEDS,R120+VLEDS))</f>
        <v>2.0117660641968244E-3</v>
      </c>
      <c r="BH120" s="197">
        <f t="shared" ref="BH120:BH183" si="39">BB120^2*RS</f>
        <v>0.18411096563170989</v>
      </c>
      <c r="BI120" s="197">
        <f>AP120+AT120+AV120+AY120+AZ120+BA120+BE120+BF120+BG120+BH120</f>
        <v>0.79575475652096017</v>
      </c>
      <c r="BJ120" s="197">
        <f t="shared" ref="BJ120:BJ183" si="40">PLEDS+BI120</f>
        <v>7.1180607910037192</v>
      </c>
      <c r="BK120" s="288">
        <f t="shared" ref="BK120:BK183" si="41">PLEDS/BJ120</f>
        <v>0.88820624326127018</v>
      </c>
      <c r="BL120" s="197">
        <f t="shared" ref="BL120:BL183" si="42">BJ120/R120</f>
        <v>0.88975759887546491</v>
      </c>
      <c r="BM120" s="197">
        <f t="shared" ref="BM120:BM183" si="43">AP120+AT120</f>
        <v>0.17448740856406492</v>
      </c>
      <c r="BN120" s="197">
        <f t="shared" ref="BN120:BN183" si="44">TAMB+BM120*RTHMOS</f>
        <v>60.469244513843897</v>
      </c>
      <c r="BO120" s="197">
        <f>BF120+BG120</f>
        <v>0.20974467862577315</v>
      </c>
      <c r="BP120" s="197">
        <f t="shared" ref="BP120:BP183" si="45">TAMB+BO120*RTHFW</f>
        <v>65.730850896932992</v>
      </c>
      <c r="BQ120" s="197">
        <f t="shared" ref="BQ120:BQ183" si="46">AV120+BA120</f>
        <v>8.4596939999999995E-2</v>
      </c>
      <c r="BR120" s="288">
        <f t="shared" ref="BR120:BR183" si="47">0.5*AI120/AB120</f>
        <v>0.11027931582171557</v>
      </c>
      <c r="BS120" s="197">
        <f t="shared" ref="BS120:BS183" si="48">IF(CONFIG="BOOST",AI120,AB120)</f>
        <v>0.18376352047690825</v>
      </c>
      <c r="BT120" s="197">
        <f>IF(CONFIG="BUCK",AI120,AB120)</f>
        <v>0.83317310733951155</v>
      </c>
      <c r="BU120" s="197">
        <f t="shared" ref="BU120:BU183" si="49">1000*BS120*(1-AA120)*AA120/(AJ120*VRIPIN)</f>
        <v>0.43495325640791677</v>
      </c>
      <c r="BV120" s="197">
        <f t="shared" ref="BV120:BV183" si="50">1000*BT120*(1-AA120)*AA120/(AJ120*VRIPOUT)</f>
        <v>1.9720527515381456</v>
      </c>
      <c r="BW120" s="194"/>
      <c r="BX120" s="194"/>
      <c r="BY120" s="194"/>
      <c r="BZ120" s="194"/>
      <c r="CA120" s="194"/>
      <c r="CB120" s="194"/>
      <c r="CC120" s="194"/>
      <c r="CD120" s="194"/>
      <c r="CE120" s="194"/>
      <c r="CF120" s="194"/>
      <c r="CG120" s="194"/>
      <c r="CH120" s="194"/>
      <c r="CI120" s="194"/>
      <c r="CJ120" s="194"/>
      <c r="CK120" s="194"/>
      <c r="CL120" s="194"/>
      <c r="CM120" s="194"/>
      <c r="CN120" s="194"/>
      <c r="CO120" s="194"/>
      <c r="CP120" s="194"/>
      <c r="CQ120" s="194"/>
      <c r="CR120" s="194"/>
      <c r="CS120" s="194"/>
      <c r="CT120" s="194"/>
      <c r="CU120" s="194"/>
      <c r="CV120" s="194"/>
      <c r="CW120" s="194"/>
      <c r="CX120" s="194"/>
      <c r="CY120" s="194"/>
      <c r="CZ120" s="194"/>
      <c r="DA120" s="194"/>
      <c r="DB120" s="194"/>
      <c r="DC120" s="194"/>
      <c r="DD120" s="194"/>
      <c r="DE120" s="194"/>
      <c r="DF120" s="194"/>
      <c r="DG120" s="194"/>
    </row>
    <row r="121" spans="1:111" s="192" customFormat="1" hidden="1" x14ac:dyDescent="0.35">
      <c r="B121" s="266"/>
      <c r="C121" s="266"/>
      <c r="D121" s="249"/>
      <c r="E121" s="249"/>
      <c r="F121" s="249"/>
      <c r="Q121" s="193"/>
      <c r="R121" s="194">
        <f t="shared" ref="R121:R184" si="51">MIN(R120+0.1,VINMAX)</f>
        <v>8.1</v>
      </c>
      <c r="S121" s="197">
        <f t="shared" si="19"/>
        <v>0.86419753086419748</v>
      </c>
      <c r="T121" s="194">
        <f>$D$45</f>
        <v>0.69</v>
      </c>
      <c r="U121" s="194">
        <f>$D$48*0.001</f>
        <v>1.4999999999999999E-4</v>
      </c>
      <c r="V121" s="197">
        <f t="shared" ref="V121:V184" si="52">IF(CONFIG="BUCK",ILED,IF(CONFIG="BOOST",S121,ILED+S121))</f>
        <v>0.86419753086419748</v>
      </c>
      <c r="W121" s="197">
        <f t="shared" si="20"/>
        <v>9.6790123456790139E-3</v>
      </c>
      <c r="X121" s="286">
        <f t="shared" si="21"/>
        <v>1</v>
      </c>
      <c r="Y121" s="286">
        <f t="shared" si="22"/>
        <v>0.63395091184700691</v>
      </c>
      <c r="Z121" s="286">
        <f t="shared" si="23"/>
        <v>0.73531775797951804</v>
      </c>
      <c r="AA121" s="286">
        <f t="shared" ref="AA121:AA184" si="53">IF(CONFIG="BUCK",X121,IF(CONFIG="BOOST",Y121,Z121))</f>
        <v>0.63395091184700691</v>
      </c>
      <c r="AB121" s="197">
        <f t="shared" si="24"/>
        <v>0.82246398601161197</v>
      </c>
      <c r="AC121" s="287">
        <f t="shared" si="25"/>
        <v>1.625515158582069E-6</v>
      </c>
      <c r="AD121" s="197">
        <f t="shared" ref="AD121:AD184" si="54">IF(CONFIG="BUCK",RIPLOW,RIPLOW*(1-AA121)/GI_ADJ)</f>
        <v>5.1782553933838056</v>
      </c>
      <c r="AE121" s="197">
        <f t="shared" ref="AE121:AE184" si="55">IF(CONFIG="BUCK",RIPHIGH,RIPHIGH*(1-AA121)/GI_ADJ)</f>
        <v>15.534766180151415</v>
      </c>
      <c r="AF121" s="197">
        <f t="shared" ref="AF121:AF184" si="56">(AD121*2/100)*AB121</f>
        <v>8.5178571428571451E-2</v>
      </c>
      <c r="AG121" s="197">
        <f t="shared" ref="AG121:AG184" si="57">(AE121*2/100)*AB121</f>
        <v>0.25553571428571431</v>
      </c>
      <c r="AH121" s="197">
        <f t="shared" si="26"/>
        <v>0.18491353964534871</v>
      </c>
      <c r="AI121" s="197">
        <f t="shared" ref="AI121:AI184" si="58">IF(AH121&lt;AF121,AF121,IF(AH121&gt;AG121,AG121,AH121))</f>
        <v>0.18491353964534871</v>
      </c>
      <c r="AJ121" s="218">
        <f t="shared" si="27"/>
        <v>390.00000000000006</v>
      </c>
      <c r="AK121" s="197">
        <f t="shared" ref="AK121:AK184" si="59">AB121*RCOIL</f>
        <v>0.13759822485974268</v>
      </c>
      <c r="AL121" s="197">
        <f t="shared" ref="AL121:AL184" si="60">AB121*RS</f>
        <v>0.21725463781438806</v>
      </c>
      <c r="AM121" s="197">
        <f t="shared" ref="AM121:AM184" si="61">AB121*RON</f>
        <v>9.2115966433300549E-3</v>
      </c>
      <c r="AN121" s="197">
        <f t="shared" si="28"/>
        <v>24.05</v>
      </c>
      <c r="AO121" s="197">
        <f t="shared" si="29"/>
        <v>21.69</v>
      </c>
      <c r="AP121" s="197">
        <f t="shared" ref="AP121:AP184" si="62">AB121*AO121*AN121*AJ121*0.000001</f>
        <v>0.16732318775290339</v>
      </c>
      <c r="AQ121" s="197">
        <f t="shared" ref="AQ121:AQ184" si="63">AB121+AI121/2</f>
        <v>0.91492075583428634</v>
      </c>
      <c r="AR121" s="197">
        <f t="shared" ref="AR121:AR184" si="64">AB121-AI121/2</f>
        <v>0.7300072161889376</v>
      </c>
      <c r="AS121" s="258">
        <f t="shared" ref="AS121:AS184" si="65">SQRT((AA121/3)*(AQ121^2+AQ121*AR121+AR121^2))</f>
        <v>0.65623211512310009</v>
      </c>
      <c r="AT121" s="197">
        <f t="shared" si="30"/>
        <v>4.8231745958921025E-3</v>
      </c>
      <c r="AU121" s="194">
        <f t="shared" ref="AU121:AU183" si="66">IF(LOWV,AO121-0.5,IF(DISSLIM,IF(R121&lt;_VZD3,R121,_VZD3),R121))</f>
        <v>21.19</v>
      </c>
      <c r="AV121" s="197">
        <f t="shared" si="31"/>
        <v>1.2149999999999999E-2</v>
      </c>
      <c r="AW121" s="197">
        <f t="shared" si="32"/>
        <v>3.4260000000000002E-3</v>
      </c>
      <c r="AX121" s="197">
        <f t="shared" ref="AX121:AX184" si="67">R121*(IQAUX+QGTOT*AJ121*0.000001)</f>
        <v>2.77506E-2</v>
      </c>
      <c r="AY121" s="197">
        <f t="shared" si="33"/>
        <v>2.8867476000000005E-3</v>
      </c>
      <c r="AZ121" s="197">
        <f t="shared" si="34"/>
        <v>0</v>
      </c>
      <c r="BA121" s="197">
        <f t="shared" ref="BA121:BA184" si="68">AU121*AW121</f>
        <v>7.2596940000000013E-2</v>
      </c>
      <c r="BB121" s="258">
        <f t="shared" si="35"/>
        <v>0.82419441054975418</v>
      </c>
      <c r="BC121" s="197">
        <f t="shared" si="36"/>
        <v>0.11364629213361771</v>
      </c>
      <c r="BD121" s="197">
        <f t="shared" ref="BD121:BD184" si="69">BC121*0.2</f>
        <v>2.2729258426723544E-2</v>
      </c>
      <c r="BE121" s="197">
        <f t="shared" ref="BE121:BE184" si="70">BC121+BD121</f>
        <v>0.13637555056034126</v>
      </c>
      <c r="BF121" s="197">
        <f t="shared" si="37"/>
        <v>0.20773291256157636</v>
      </c>
      <c r="BG121" s="197">
        <f t="shared" si="38"/>
        <v>1.9969453723180717E-3</v>
      </c>
      <c r="BH121" s="197">
        <f t="shared" si="39"/>
        <v>0.17943679187434705</v>
      </c>
      <c r="BI121" s="197">
        <f t="shared" ref="BI121:BI184" si="71">AP121+AT121+AV121+AY121+BA121+BE121+BF121+BG121+BH121</f>
        <v>0.78532225031737823</v>
      </c>
      <c r="BJ121" s="197">
        <f t="shared" si="40"/>
        <v>7.1076282848001373</v>
      </c>
      <c r="BK121" s="288">
        <f t="shared" si="41"/>
        <v>0.88950994356347923</v>
      </c>
      <c r="BL121" s="197">
        <f t="shared" si="42"/>
        <v>0.87748497343211573</v>
      </c>
      <c r="BM121" s="197">
        <f t="shared" si="43"/>
        <v>0.17214636234879549</v>
      </c>
      <c r="BN121" s="197">
        <f t="shared" si="44"/>
        <v>60.328781740927731</v>
      </c>
      <c r="BO121" s="197">
        <f t="shared" ref="BO121:BO184" si="72">BF121+BG121</f>
        <v>0.20972985793389443</v>
      </c>
      <c r="BP121" s="197">
        <f t="shared" si="45"/>
        <v>65.729739345042077</v>
      </c>
      <c r="BQ121" s="197">
        <f t="shared" si="46"/>
        <v>8.4746940000000007E-2</v>
      </c>
      <c r="BR121" s="288">
        <f t="shared" si="47"/>
        <v>0.11241436876893111</v>
      </c>
      <c r="BS121" s="197">
        <f t="shared" si="48"/>
        <v>0.18491353964534871</v>
      </c>
      <c r="BT121" s="197">
        <f t="shared" ref="BT121:BT183" si="73">IF(CONFIG="BUCK",AI121,AB121)</f>
        <v>0.82246398601161197</v>
      </c>
      <c r="BU121" s="197">
        <f t="shared" si="49"/>
        <v>0.44010779078024992</v>
      </c>
      <c r="BV121" s="197">
        <f t="shared" si="50"/>
        <v>1.9575246278564977</v>
      </c>
      <c r="BW121" s="194"/>
      <c r="BX121" s="194"/>
      <c r="BY121" s="194"/>
      <c r="BZ121" s="194"/>
      <c r="CA121" s="194"/>
      <c r="CB121" s="194"/>
      <c r="CC121" s="194"/>
      <c r="CD121" s="194"/>
      <c r="CE121" s="194"/>
      <c r="CF121" s="194"/>
      <c r="CG121" s="194"/>
      <c r="CH121" s="194"/>
      <c r="CI121" s="194"/>
      <c r="CJ121" s="194"/>
      <c r="CK121" s="194"/>
      <c r="CL121" s="194"/>
      <c r="CM121" s="194"/>
      <c r="CN121" s="194"/>
      <c r="CO121" s="194"/>
      <c r="CP121" s="194"/>
      <c r="CQ121" s="194"/>
      <c r="CR121" s="194"/>
      <c r="CS121" s="194"/>
      <c r="CT121" s="194"/>
      <c r="CU121" s="194"/>
      <c r="CV121" s="194"/>
      <c r="CW121" s="194"/>
      <c r="CX121" s="194"/>
      <c r="CY121" s="194"/>
      <c r="CZ121" s="194"/>
      <c r="DA121" s="194"/>
      <c r="DB121" s="194"/>
      <c r="DC121" s="194"/>
      <c r="DD121" s="194"/>
      <c r="DE121" s="194"/>
      <c r="DF121" s="194"/>
    </row>
    <row r="122" spans="1:111" s="192" customFormat="1" hidden="1" x14ac:dyDescent="0.35">
      <c r="B122" s="266"/>
      <c r="C122" s="266"/>
      <c r="D122" s="249"/>
      <c r="E122" s="249"/>
      <c r="F122" s="249"/>
      <c r="Q122" s="193"/>
      <c r="R122" s="194">
        <f t="shared" si="51"/>
        <v>8.1999999999999993</v>
      </c>
      <c r="S122" s="197">
        <f t="shared" si="19"/>
        <v>0.85365853658536583</v>
      </c>
      <c r="T122" s="194">
        <f t="shared" ref="T122:T185" si="74">$D$45</f>
        <v>0.69</v>
      </c>
      <c r="U122" s="194">
        <f t="shared" ref="U122:U185" si="75">$D$48*0.001</f>
        <v>1.4999999999999999E-4</v>
      </c>
      <c r="V122" s="197">
        <f t="shared" si="52"/>
        <v>0.85365853658536583</v>
      </c>
      <c r="W122" s="197">
        <f t="shared" si="20"/>
        <v>9.5609756097560991E-3</v>
      </c>
      <c r="X122" s="286">
        <f t="shared" si="21"/>
        <v>1</v>
      </c>
      <c r="Y122" s="286">
        <f t="shared" si="22"/>
        <v>0.62924823770556348</v>
      </c>
      <c r="Z122" s="286">
        <f t="shared" si="23"/>
        <v>0.73279102867935231</v>
      </c>
      <c r="AA122" s="286">
        <f t="shared" si="53"/>
        <v>0.62924823770556348</v>
      </c>
      <c r="AB122" s="197">
        <f t="shared" si="24"/>
        <v>0.81203172239848942</v>
      </c>
      <c r="AC122" s="287">
        <f t="shared" si="25"/>
        <v>1.6134570197578551E-6</v>
      </c>
      <c r="AD122" s="197">
        <f t="shared" si="54"/>
        <v>5.2447810275798341</v>
      </c>
      <c r="AE122" s="197">
        <f t="shared" si="55"/>
        <v>15.734343082739501</v>
      </c>
      <c r="AF122" s="197">
        <f t="shared" si="56"/>
        <v>8.5178571428571437E-2</v>
      </c>
      <c r="AG122" s="197">
        <f t="shared" si="57"/>
        <v>0.25553571428571431</v>
      </c>
      <c r="AH122" s="197">
        <f t="shared" si="26"/>
        <v>0.18602417180415873</v>
      </c>
      <c r="AI122" s="197">
        <f t="shared" si="58"/>
        <v>0.18602417180415873</v>
      </c>
      <c r="AJ122" s="218">
        <f t="shared" si="27"/>
        <v>389.99999999999994</v>
      </c>
      <c r="AK122" s="197">
        <f t="shared" si="59"/>
        <v>0.13585290715726728</v>
      </c>
      <c r="AL122" s="197">
        <f t="shared" si="60"/>
        <v>0.21449894553922361</v>
      </c>
      <c r="AM122" s="197">
        <f t="shared" si="61"/>
        <v>9.0947552908630831E-3</v>
      </c>
      <c r="AN122" s="197">
        <f t="shared" si="28"/>
        <v>24.05</v>
      </c>
      <c r="AO122" s="197">
        <f t="shared" si="29"/>
        <v>21.69</v>
      </c>
      <c r="AP122" s="197">
        <f t="shared" si="62"/>
        <v>0.16520083390773252</v>
      </c>
      <c r="AQ122" s="197">
        <f t="shared" si="63"/>
        <v>0.90504380830056874</v>
      </c>
      <c r="AR122" s="197">
        <f t="shared" si="64"/>
        <v>0.7190196364964101</v>
      </c>
      <c r="AS122" s="258">
        <f t="shared" si="65"/>
        <v>0.64555252456991619</v>
      </c>
      <c r="AT122" s="197">
        <f t="shared" si="30"/>
        <v>4.6674662941602338E-3</v>
      </c>
      <c r="AU122" s="194">
        <f t="shared" si="66"/>
        <v>21.19</v>
      </c>
      <c r="AV122" s="197">
        <f t="shared" si="31"/>
        <v>1.2299999999999998E-2</v>
      </c>
      <c r="AW122" s="197">
        <f t="shared" si="32"/>
        <v>3.4259999999999994E-3</v>
      </c>
      <c r="AX122" s="197">
        <f t="shared" si="67"/>
        <v>2.8093199999999992E-2</v>
      </c>
      <c r="AY122" s="197">
        <f t="shared" si="33"/>
        <v>2.8867475999999992E-3</v>
      </c>
      <c r="AZ122" s="197">
        <f t="shared" si="34"/>
        <v>0</v>
      </c>
      <c r="BA122" s="197">
        <f t="shared" si="68"/>
        <v>7.2596939999999985E-2</v>
      </c>
      <c r="BB122" s="258">
        <f t="shared" si="35"/>
        <v>0.8138054236462644</v>
      </c>
      <c r="BC122" s="197">
        <f t="shared" si="36"/>
        <v>0.11079932146213151</v>
      </c>
      <c r="BD122" s="197">
        <f t="shared" si="69"/>
        <v>2.2159864292426303E-2</v>
      </c>
      <c r="BE122" s="197">
        <f t="shared" si="70"/>
        <v>0.13295918575455781</v>
      </c>
      <c r="BF122" s="197">
        <f t="shared" si="37"/>
        <v>0.20773291256157633</v>
      </c>
      <c r="BG122" s="197">
        <f t="shared" si="38"/>
        <v>1.9821319487725248E-3</v>
      </c>
      <c r="BH122" s="197">
        <f t="shared" si="39"/>
        <v>0.17494169331669929</v>
      </c>
      <c r="BI122" s="197">
        <f t="shared" si="71"/>
        <v>0.77526791138349871</v>
      </c>
      <c r="BJ122" s="197">
        <f t="shared" si="40"/>
        <v>7.0975739458662579</v>
      </c>
      <c r="BK122" s="288">
        <f t="shared" si="41"/>
        <v>0.8907700127823216</v>
      </c>
      <c r="BL122" s="197">
        <f t="shared" si="42"/>
        <v>0.86555779827637302</v>
      </c>
      <c r="BM122" s="197">
        <f t="shared" si="43"/>
        <v>0.16986830020189275</v>
      </c>
      <c r="BN122" s="197">
        <f t="shared" si="44"/>
        <v>60.192098012113561</v>
      </c>
      <c r="BO122" s="197">
        <f t="shared" si="72"/>
        <v>0.20971504451034886</v>
      </c>
      <c r="BP122" s="197">
        <f t="shared" si="45"/>
        <v>65.728628338276167</v>
      </c>
      <c r="BQ122" s="197">
        <f t="shared" si="46"/>
        <v>8.4896939999999976E-2</v>
      </c>
      <c r="BR122" s="288">
        <f t="shared" si="47"/>
        <v>0.11454242899199869</v>
      </c>
      <c r="BS122" s="197">
        <f t="shared" si="48"/>
        <v>0.18602417180415873</v>
      </c>
      <c r="BT122" s="197">
        <f t="shared" si="73"/>
        <v>0.81203172239848942</v>
      </c>
      <c r="BU122" s="197">
        <f t="shared" si="49"/>
        <v>0.445112710418125</v>
      </c>
      <c r="BV122" s="197">
        <f t="shared" si="50"/>
        <v>1.9430036290273629</v>
      </c>
      <c r="BW122" s="194"/>
      <c r="BX122" s="194"/>
      <c r="BY122" s="194"/>
      <c r="BZ122" s="194"/>
      <c r="CA122" s="194"/>
      <c r="CB122" s="194"/>
      <c r="CC122" s="194"/>
      <c r="CD122" s="194"/>
      <c r="CE122" s="194"/>
      <c r="CF122" s="194"/>
      <c r="CG122" s="194"/>
      <c r="CH122" s="194"/>
      <c r="CI122" s="194"/>
      <c r="CJ122" s="194"/>
      <c r="CK122" s="194"/>
      <c r="CL122" s="194"/>
      <c r="CM122" s="194"/>
      <c r="CN122" s="194"/>
      <c r="CO122" s="194"/>
      <c r="CP122" s="194"/>
      <c r="CQ122" s="194"/>
      <c r="CR122" s="194"/>
      <c r="CS122" s="194"/>
      <c r="CT122" s="194"/>
      <c r="CU122" s="194"/>
      <c r="CV122" s="194"/>
      <c r="CW122" s="194"/>
      <c r="CX122" s="194"/>
      <c r="CY122" s="194"/>
      <c r="CZ122" s="194"/>
      <c r="DA122" s="194"/>
      <c r="DB122" s="194"/>
      <c r="DC122" s="194"/>
      <c r="DD122" s="194"/>
      <c r="DE122" s="194"/>
      <c r="DF122" s="194"/>
    </row>
    <row r="123" spans="1:111" s="192" customFormat="1" hidden="1" x14ac:dyDescent="0.35">
      <c r="B123" s="266"/>
      <c r="C123" s="266"/>
      <c r="D123" s="249"/>
      <c r="E123" s="249"/>
      <c r="F123" s="249"/>
      <c r="Q123" s="193"/>
      <c r="R123" s="194">
        <f t="shared" si="51"/>
        <v>8.2999999999999989</v>
      </c>
      <c r="S123" s="197">
        <f t="shared" si="19"/>
        <v>0.84337349397590367</v>
      </c>
      <c r="T123" s="194">
        <f t="shared" si="74"/>
        <v>0.69</v>
      </c>
      <c r="U123" s="194">
        <f t="shared" si="75"/>
        <v>1.4999999999999999E-4</v>
      </c>
      <c r="V123" s="197">
        <f t="shared" si="52"/>
        <v>0.84337349397590367</v>
      </c>
      <c r="W123" s="197">
        <f t="shared" si="20"/>
        <v>9.4457831325301216E-3</v>
      </c>
      <c r="X123" s="286">
        <f t="shared" si="21"/>
        <v>1</v>
      </c>
      <c r="Y123" s="286">
        <f t="shared" si="22"/>
        <v>0.62454778753488494</v>
      </c>
      <c r="Z123" s="286">
        <f t="shared" si="23"/>
        <v>0.73028275633576456</v>
      </c>
      <c r="AA123" s="286">
        <f t="shared" si="53"/>
        <v>0.62454778753488494</v>
      </c>
      <c r="AB123" s="197">
        <f t="shared" si="24"/>
        <v>0.80186554273188526</v>
      </c>
      <c r="AC123" s="287">
        <f t="shared" si="25"/>
        <v>1.6014045834227819E-6</v>
      </c>
      <c r="AD123" s="197">
        <f t="shared" si="54"/>
        <v>5.3112752007260182</v>
      </c>
      <c r="AE123" s="197">
        <f t="shared" si="55"/>
        <v>15.933825602178056</v>
      </c>
      <c r="AF123" s="197">
        <f t="shared" si="56"/>
        <v>8.5178571428571437E-2</v>
      </c>
      <c r="AG123" s="197">
        <f t="shared" si="57"/>
        <v>0.25553571428571431</v>
      </c>
      <c r="AH123" s="197">
        <f t="shared" si="26"/>
        <v>0.18709559636140025</v>
      </c>
      <c r="AI123" s="197">
        <f t="shared" si="58"/>
        <v>0.18709559636140025</v>
      </c>
      <c r="AJ123" s="218">
        <f t="shared" si="27"/>
        <v>390.00000000000011</v>
      </c>
      <c r="AK123" s="197">
        <f t="shared" si="59"/>
        <v>0.13415210529904439</v>
      </c>
      <c r="AL123" s="197">
        <f t="shared" si="60"/>
        <v>0.21181353958955459</v>
      </c>
      <c r="AM123" s="197">
        <f t="shared" si="61"/>
        <v>8.9808940785971163E-3</v>
      </c>
      <c r="AN123" s="197">
        <f t="shared" si="28"/>
        <v>24.05</v>
      </c>
      <c r="AO123" s="197">
        <f t="shared" si="29"/>
        <v>21.69</v>
      </c>
      <c r="AP123" s="197">
        <f t="shared" si="62"/>
        <v>0.16313261254118519</v>
      </c>
      <c r="AQ123" s="197">
        <f t="shared" si="63"/>
        <v>0.8954133409125854</v>
      </c>
      <c r="AR123" s="197">
        <f t="shared" si="64"/>
        <v>0.70831774455118512</v>
      </c>
      <c r="AS123" s="258">
        <f t="shared" si="65"/>
        <v>0.63513683258495335</v>
      </c>
      <c r="AT123" s="197">
        <f t="shared" si="30"/>
        <v>4.518066516387728E-3</v>
      </c>
      <c r="AU123" s="194">
        <f t="shared" si="66"/>
        <v>21.19</v>
      </c>
      <c r="AV123" s="197">
        <f t="shared" si="31"/>
        <v>1.2449999999999999E-2</v>
      </c>
      <c r="AW123" s="197">
        <f t="shared" si="32"/>
        <v>3.4260000000000007E-3</v>
      </c>
      <c r="AX123" s="197">
        <f t="shared" si="67"/>
        <v>2.8435800000000001E-2</v>
      </c>
      <c r="AY123" s="197">
        <f t="shared" si="33"/>
        <v>2.8867476000000009E-3</v>
      </c>
      <c r="AZ123" s="197">
        <f t="shared" si="34"/>
        <v>0</v>
      </c>
      <c r="BA123" s="197">
        <f t="shared" si="68"/>
        <v>7.2596940000000013E-2</v>
      </c>
      <c r="BB123" s="258">
        <f t="shared" si="35"/>
        <v>0.80368240750654729</v>
      </c>
      <c r="BC123" s="197">
        <f t="shared" si="36"/>
        <v>0.1080599754502725</v>
      </c>
      <c r="BD123" s="197">
        <f t="shared" si="69"/>
        <v>2.16119950900545E-2</v>
      </c>
      <c r="BE123" s="197">
        <f t="shared" si="70"/>
        <v>0.129671970540327</v>
      </c>
      <c r="BF123" s="197">
        <f t="shared" si="37"/>
        <v>0.20773291256157633</v>
      </c>
      <c r="BG123" s="197">
        <f t="shared" si="38"/>
        <v>1.9673255307348873E-3</v>
      </c>
      <c r="BH123" s="197">
        <f t="shared" si="39"/>
        <v>0.17061652396032603</v>
      </c>
      <c r="BI123" s="197">
        <f t="shared" si="71"/>
        <v>0.76557309925053707</v>
      </c>
      <c r="BJ123" s="197">
        <f t="shared" si="40"/>
        <v>7.0878791337332965</v>
      </c>
      <c r="BK123" s="288">
        <f t="shared" si="41"/>
        <v>0.89198840939499791</v>
      </c>
      <c r="BL123" s="197">
        <f t="shared" si="42"/>
        <v>0.85396134141365032</v>
      </c>
      <c r="BM123" s="197">
        <f t="shared" si="43"/>
        <v>0.16765067905757292</v>
      </c>
      <c r="BN123" s="197">
        <f t="shared" si="44"/>
        <v>60.059040743454375</v>
      </c>
      <c r="BO123" s="197">
        <f t="shared" si="72"/>
        <v>0.20970023809231123</v>
      </c>
      <c r="BP123" s="197">
        <f t="shared" si="45"/>
        <v>65.727517856923342</v>
      </c>
      <c r="BQ123" s="197">
        <f t="shared" si="46"/>
        <v>8.5046940000000015E-2</v>
      </c>
      <c r="BR123" s="288">
        <f t="shared" si="47"/>
        <v>0.11666269866390694</v>
      </c>
      <c r="BS123" s="197">
        <f t="shared" si="48"/>
        <v>0.18709559636140025</v>
      </c>
      <c r="BT123" s="197">
        <f t="shared" si="73"/>
        <v>0.80186554273188526</v>
      </c>
      <c r="BU123" s="197">
        <f t="shared" si="49"/>
        <v>0.4499655782265799</v>
      </c>
      <c r="BV123" s="197">
        <f t="shared" si="50"/>
        <v>1.9284894974137525</v>
      </c>
      <c r="BW123" s="194"/>
      <c r="BX123" s="194"/>
      <c r="BY123" s="194"/>
      <c r="BZ123" s="194"/>
      <c r="CA123" s="194"/>
      <c r="CB123" s="194"/>
      <c r="CC123" s="194"/>
      <c r="CD123" s="194"/>
      <c r="CE123" s="194"/>
      <c r="CF123" s="194"/>
      <c r="CG123" s="194"/>
      <c r="CH123" s="194"/>
      <c r="CI123" s="194"/>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row>
    <row r="124" spans="1:111" s="192" customFormat="1" hidden="1" x14ac:dyDescent="0.35">
      <c r="B124" s="266"/>
      <c r="C124" s="266"/>
      <c r="D124" s="249"/>
      <c r="E124" s="249"/>
      <c r="F124" s="249"/>
      <c r="Q124" s="193"/>
      <c r="R124" s="194">
        <f t="shared" si="51"/>
        <v>8.3999999999999986</v>
      </c>
      <c r="S124" s="197">
        <f t="shared" si="19"/>
        <v>0.83333333333333348</v>
      </c>
      <c r="T124" s="194">
        <f t="shared" si="74"/>
        <v>0.69</v>
      </c>
      <c r="U124" s="194">
        <f t="shared" si="75"/>
        <v>1.4999999999999999E-4</v>
      </c>
      <c r="V124" s="197">
        <f t="shared" si="52"/>
        <v>0.83333333333333348</v>
      </c>
      <c r="W124" s="197">
        <f t="shared" si="20"/>
        <v>9.3333333333333358E-3</v>
      </c>
      <c r="X124" s="286">
        <f t="shared" si="21"/>
        <v>1</v>
      </c>
      <c r="Y124" s="286">
        <f t="shared" si="22"/>
        <v>0.61984948187325117</v>
      </c>
      <c r="Z124" s="286">
        <f t="shared" si="23"/>
        <v>0.72779269967287197</v>
      </c>
      <c r="AA124" s="286">
        <f t="shared" si="53"/>
        <v>0.61984948187325117</v>
      </c>
      <c r="AB124" s="197">
        <f t="shared" si="24"/>
        <v>0.79195523289500613</v>
      </c>
      <c r="AC124" s="287">
        <f t="shared" si="25"/>
        <v>1.5893576458288492E-6</v>
      </c>
      <c r="AD124" s="197">
        <f t="shared" si="54"/>
        <v>5.377739036914984</v>
      </c>
      <c r="AE124" s="197">
        <f t="shared" si="55"/>
        <v>16.133217110744951</v>
      </c>
      <c r="AF124" s="197">
        <f t="shared" si="56"/>
        <v>8.5178571428571437E-2</v>
      </c>
      <c r="AG124" s="197">
        <f t="shared" si="57"/>
        <v>0.25553571428571431</v>
      </c>
      <c r="AH124" s="197">
        <f t="shared" si="26"/>
        <v>0.18812798342212325</v>
      </c>
      <c r="AI124" s="197">
        <f t="shared" si="58"/>
        <v>0.18812798342212325</v>
      </c>
      <c r="AJ124" s="218">
        <f t="shared" si="27"/>
        <v>390</v>
      </c>
      <c r="AK124" s="197">
        <f t="shared" si="59"/>
        <v>0.13249411046333454</v>
      </c>
      <c r="AL124" s="197">
        <f t="shared" si="60"/>
        <v>0.20919572189679406</v>
      </c>
      <c r="AM124" s="197">
        <f t="shared" si="61"/>
        <v>8.8698986084240691E-3</v>
      </c>
      <c r="AN124" s="197">
        <f t="shared" si="28"/>
        <v>24.05</v>
      </c>
      <c r="AO124" s="197">
        <f t="shared" si="29"/>
        <v>21.69</v>
      </c>
      <c r="AP124" s="197">
        <f t="shared" si="62"/>
        <v>0.16111644567950065</v>
      </c>
      <c r="AQ124" s="197">
        <f t="shared" si="63"/>
        <v>0.88601922460606775</v>
      </c>
      <c r="AR124" s="197">
        <f t="shared" si="64"/>
        <v>0.69789124118394452</v>
      </c>
      <c r="AS124" s="258">
        <f t="shared" si="65"/>
        <v>0.62497476933815932</v>
      </c>
      <c r="AT124" s="197">
        <f t="shared" si="30"/>
        <v>4.3746467778639974E-3</v>
      </c>
      <c r="AU124" s="194">
        <f t="shared" si="66"/>
        <v>21.19</v>
      </c>
      <c r="AV124" s="197">
        <f t="shared" si="31"/>
        <v>1.2599999999999998E-2</v>
      </c>
      <c r="AW124" s="197">
        <f t="shared" si="32"/>
        <v>3.4259999999999998E-3</v>
      </c>
      <c r="AX124" s="197">
        <f t="shared" si="67"/>
        <v>2.8778399999999992E-2</v>
      </c>
      <c r="AY124" s="197">
        <f t="shared" si="33"/>
        <v>2.8867475999999996E-3</v>
      </c>
      <c r="AZ124" s="197">
        <f t="shared" si="34"/>
        <v>0</v>
      </c>
      <c r="BA124" s="197">
        <f t="shared" si="68"/>
        <v>7.2596939999999999E-2</v>
      </c>
      <c r="BB124" s="258">
        <f t="shared" si="35"/>
        <v>0.79381511434043817</v>
      </c>
      <c r="BC124" s="197">
        <f t="shared" si="36"/>
        <v>0.10542282950186553</v>
      </c>
      <c r="BD124" s="197">
        <f t="shared" si="69"/>
        <v>2.1084565900373109E-2</v>
      </c>
      <c r="BE124" s="197">
        <f t="shared" si="70"/>
        <v>0.12650739540223865</v>
      </c>
      <c r="BF124" s="197">
        <f t="shared" si="37"/>
        <v>0.20773291256157636</v>
      </c>
      <c r="BG124" s="197">
        <f t="shared" si="38"/>
        <v>1.9525258679007412E-3</v>
      </c>
      <c r="BH124" s="197">
        <f t="shared" si="39"/>
        <v>0.16645271887876453</v>
      </c>
      <c r="BI124" s="197">
        <f t="shared" si="71"/>
        <v>0.75622033276784495</v>
      </c>
      <c r="BJ124" s="197">
        <f t="shared" si="40"/>
        <v>7.0785263672506042</v>
      </c>
      <c r="BK124" s="288">
        <f t="shared" si="41"/>
        <v>0.89316698228792901</v>
      </c>
      <c r="BL124" s="197">
        <f t="shared" si="42"/>
        <v>0.84268171038697681</v>
      </c>
      <c r="BM124" s="197">
        <f t="shared" si="43"/>
        <v>0.16549109245736465</v>
      </c>
      <c r="BN124" s="197">
        <f t="shared" si="44"/>
        <v>59.929465547441879</v>
      </c>
      <c r="BO124" s="197">
        <f t="shared" si="72"/>
        <v>0.20968543842947709</v>
      </c>
      <c r="BP124" s="197">
        <f t="shared" si="45"/>
        <v>65.726407882210779</v>
      </c>
      <c r="BQ124" s="197">
        <f t="shared" si="46"/>
        <v>8.5196939999999999E-2</v>
      </c>
      <c r="BR124" s="288">
        <f t="shared" si="47"/>
        <v>0.11877437991944199</v>
      </c>
      <c r="BS124" s="197">
        <f t="shared" si="48"/>
        <v>0.18812798342212325</v>
      </c>
      <c r="BT124" s="197">
        <f t="shared" si="73"/>
        <v>0.79195523289500613</v>
      </c>
      <c r="BU124" s="197">
        <f t="shared" si="49"/>
        <v>0.45466404752078737</v>
      </c>
      <c r="BV124" s="197">
        <f t="shared" si="50"/>
        <v>1.9139819876523896</v>
      </c>
      <c r="BW124" s="194"/>
      <c r="BX124" s="194"/>
      <c r="BY124" s="194"/>
      <c r="BZ124" s="194"/>
      <c r="CA124" s="194"/>
      <c r="CB124" s="194"/>
      <c r="CC124" s="194"/>
      <c r="CD124" s="194"/>
      <c r="CE124" s="194"/>
      <c r="CF124" s="194"/>
      <c r="CG124" s="194"/>
      <c r="CH124" s="194"/>
      <c r="CI124" s="194"/>
      <c r="CJ124" s="194"/>
      <c r="CK124" s="194"/>
      <c r="CL124" s="194"/>
      <c r="CM124" s="194"/>
      <c r="CN124" s="194"/>
      <c r="CO124" s="194"/>
      <c r="CP124" s="194"/>
      <c r="CQ124" s="194"/>
      <c r="CR124" s="194"/>
      <c r="CS124" s="194"/>
      <c r="CT124" s="194"/>
      <c r="CU124" s="194"/>
      <c r="CV124" s="194"/>
      <c r="CW124" s="194"/>
      <c r="CX124" s="194"/>
      <c r="CY124" s="194"/>
      <c r="CZ124" s="194"/>
      <c r="DA124" s="194"/>
      <c r="DB124" s="194"/>
      <c r="DC124" s="194"/>
      <c r="DD124" s="194"/>
      <c r="DE124" s="194"/>
      <c r="DF124" s="194"/>
    </row>
    <row r="125" spans="1:111" s="192" customFormat="1" hidden="1" x14ac:dyDescent="0.35">
      <c r="B125" s="266"/>
      <c r="C125" s="266"/>
      <c r="D125" s="249"/>
      <c r="E125" s="249"/>
      <c r="F125" s="249"/>
      <c r="Q125" s="193"/>
      <c r="R125" s="194">
        <f t="shared" si="51"/>
        <v>8.4999999999999982</v>
      </c>
      <c r="S125" s="197">
        <f t="shared" si="19"/>
        <v>0.82352941176470607</v>
      </c>
      <c r="T125" s="194">
        <f t="shared" si="74"/>
        <v>0.69</v>
      </c>
      <c r="U125" s="194">
        <f t="shared" si="75"/>
        <v>1.4999999999999999E-4</v>
      </c>
      <c r="V125" s="197">
        <f t="shared" si="52"/>
        <v>0.82352941176470607</v>
      </c>
      <c r="W125" s="197">
        <f t="shared" si="20"/>
        <v>9.2235294117647085E-3</v>
      </c>
      <c r="X125" s="286">
        <f t="shared" si="21"/>
        <v>1</v>
      </c>
      <c r="Y125" s="286">
        <f t="shared" si="22"/>
        <v>0.61515324499990787</v>
      </c>
      <c r="Z125" s="286">
        <f t="shared" si="23"/>
        <v>0.7253206232989422</v>
      </c>
      <c r="AA125" s="286">
        <f t="shared" si="53"/>
        <v>0.61515324499990787</v>
      </c>
      <c r="AB125" s="197">
        <f t="shared" si="24"/>
        <v>0.78229110212493413</v>
      </c>
      <c r="AC125" s="287">
        <f t="shared" si="25"/>
        <v>1.5773160128202766E-6</v>
      </c>
      <c r="AD125" s="197">
        <f t="shared" si="54"/>
        <v>5.4441736073183771</v>
      </c>
      <c r="AE125" s="197">
        <f t="shared" si="55"/>
        <v>16.332520821955129</v>
      </c>
      <c r="AF125" s="197">
        <f t="shared" si="56"/>
        <v>8.5178571428571423E-2</v>
      </c>
      <c r="AG125" s="197">
        <f t="shared" si="57"/>
        <v>0.25553571428571425</v>
      </c>
      <c r="AH125" s="197">
        <f t="shared" si="26"/>
        <v>0.18912149439062159</v>
      </c>
      <c r="AI125" s="197">
        <f t="shared" si="58"/>
        <v>0.18912149439062159</v>
      </c>
      <c r="AJ125" s="218">
        <f t="shared" si="27"/>
        <v>390</v>
      </c>
      <c r="AK125" s="197">
        <f t="shared" si="59"/>
        <v>0.13087730138550149</v>
      </c>
      <c r="AL125" s="197">
        <f t="shared" si="60"/>
        <v>0.20664293263677505</v>
      </c>
      <c r="AM125" s="197">
        <f t="shared" si="61"/>
        <v>8.7616603437992643E-3</v>
      </c>
      <c r="AN125" s="197">
        <f t="shared" si="28"/>
        <v>24.05</v>
      </c>
      <c r="AO125" s="197">
        <f t="shared" si="29"/>
        <v>21.69</v>
      </c>
      <c r="AP125" s="197">
        <f t="shared" si="62"/>
        <v>0.15915036182073997</v>
      </c>
      <c r="AQ125" s="197">
        <f t="shared" si="63"/>
        <v>0.87685184932024496</v>
      </c>
      <c r="AR125" s="197">
        <f t="shared" si="64"/>
        <v>0.68773035492962331</v>
      </c>
      <c r="AS125" s="258">
        <f t="shared" si="65"/>
        <v>0.61505658828991305</v>
      </c>
      <c r="AT125" s="197">
        <f t="shared" si="30"/>
        <v>4.2368995961468694E-3</v>
      </c>
      <c r="AU125" s="194">
        <f t="shared" si="66"/>
        <v>21.19</v>
      </c>
      <c r="AV125" s="197">
        <f t="shared" si="31"/>
        <v>1.2749999999999997E-2</v>
      </c>
      <c r="AW125" s="197">
        <f t="shared" si="32"/>
        <v>3.4259999999999998E-3</v>
      </c>
      <c r="AX125" s="197">
        <f t="shared" si="67"/>
        <v>2.9120999999999991E-2</v>
      </c>
      <c r="AY125" s="197">
        <f t="shared" si="33"/>
        <v>2.8867475999999996E-3</v>
      </c>
      <c r="AZ125" s="197">
        <f t="shared" si="34"/>
        <v>0</v>
      </c>
      <c r="BA125" s="197">
        <f t="shared" si="68"/>
        <v>7.2596939999999999E-2</v>
      </c>
      <c r="BB125" s="258">
        <f t="shared" si="35"/>
        <v>0.78419381964360235</v>
      </c>
      <c r="BC125" s="197">
        <f t="shared" si="36"/>
        <v>0.10288279909415637</v>
      </c>
      <c r="BD125" s="197">
        <f t="shared" si="69"/>
        <v>2.0576559818831275E-2</v>
      </c>
      <c r="BE125" s="197">
        <f t="shared" si="70"/>
        <v>0.12345935891298765</v>
      </c>
      <c r="BF125" s="197">
        <f t="shared" si="37"/>
        <v>0.20773291256157633</v>
      </c>
      <c r="BG125" s="197">
        <f t="shared" si="38"/>
        <v>1.9377327217497096E-3</v>
      </c>
      <c r="BH125" s="197">
        <f t="shared" si="39"/>
        <v>0.16244225008945506</v>
      </c>
      <c r="BI125" s="197">
        <f t="shared" si="71"/>
        <v>0.7471932033026556</v>
      </c>
      <c r="BJ125" s="197">
        <f t="shared" si="40"/>
        <v>7.0694992377854149</v>
      </c>
      <c r="BK125" s="288">
        <f t="shared" si="41"/>
        <v>0.89430747805883903</v>
      </c>
      <c r="BL125" s="197">
        <f t="shared" si="42"/>
        <v>0.83170579268063727</v>
      </c>
      <c r="BM125" s="197">
        <f t="shared" si="43"/>
        <v>0.16338726141688684</v>
      </c>
      <c r="BN125" s="197">
        <f t="shared" si="44"/>
        <v>59.803235685013206</v>
      </c>
      <c r="BO125" s="197">
        <f t="shared" si="72"/>
        <v>0.20967064528332605</v>
      </c>
      <c r="BP125" s="197">
        <f t="shared" si="45"/>
        <v>65.725298396249457</v>
      </c>
      <c r="BQ125" s="197">
        <f t="shared" si="46"/>
        <v>8.5346939999999996E-2</v>
      </c>
      <c r="BR125" s="288">
        <f t="shared" si="47"/>
        <v>0.12087667485729522</v>
      </c>
      <c r="BS125" s="197">
        <f t="shared" si="48"/>
        <v>0.18912149439062159</v>
      </c>
      <c r="BT125" s="197">
        <f t="shared" si="73"/>
        <v>0.78229110212493413</v>
      </c>
      <c r="BU125" s="197">
        <f t="shared" si="49"/>
        <v>0.45920586205768993</v>
      </c>
      <c r="BV125" s="197">
        <f t="shared" si="50"/>
        <v>1.8994808659314129</v>
      </c>
      <c r="BW125" s="194"/>
      <c r="BX125" s="194"/>
      <c r="BY125" s="194"/>
      <c r="BZ125" s="194"/>
      <c r="CA125" s="194"/>
      <c r="CB125" s="194"/>
      <c r="CC125" s="194"/>
      <c r="CD125" s="194"/>
      <c r="CE125" s="194"/>
      <c r="CF125" s="194"/>
      <c r="CG125" s="194"/>
      <c r="CH125" s="194"/>
      <c r="CI125" s="194"/>
      <c r="CJ125" s="194"/>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row>
    <row r="126" spans="1:111" s="192" customFormat="1" hidden="1" x14ac:dyDescent="0.35">
      <c r="B126" s="266"/>
      <c r="C126" s="266"/>
      <c r="D126" s="249"/>
      <c r="E126" s="249"/>
      <c r="F126" s="249"/>
      <c r="Q126" s="193"/>
      <c r="R126" s="194">
        <f t="shared" si="51"/>
        <v>8.5999999999999979</v>
      </c>
      <c r="S126" s="197">
        <f t="shared" si="19"/>
        <v>0.81395348837209325</v>
      </c>
      <c r="T126" s="194">
        <f t="shared" si="74"/>
        <v>0.69</v>
      </c>
      <c r="U126" s="194">
        <f t="shared" si="75"/>
        <v>1.4999999999999999E-4</v>
      </c>
      <c r="V126" s="197">
        <f t="shared" si="52"/>
        <v>0.81395348837209325</v>
      </c>
      <c r="W126" s="197">
        <f t="shared" si="20"/>
        <v>9.116279069767445E-3</v>
      </c>
      <c r="X126" s="286">
        <f t="shared" si="21"/>
        <v>1</v>
      </c>
      <c r="Y126" s="286">
        <f t="shared" si="22"/>
        <v>0.61045900471747705</v>
      </c>
      <c r="Z126" s="286">
        <f t="shared" si="23"/>
        <v>0.72286629745345787</v>
      </c>
      <c r="AA126" s="286">
        <f t="shared" si="53"/>
        <v>0.61045900471747705</v>
      </c>
      <c r="AB126" s="197">
        <f t="shared" si="24"/>
        <v>0.77286394953084414</v>
      </c>
      <c r="AC126" s="287">
        <f t="shared" si="25"/>
        <v>1.5652794992755821E-6</v>
      </c>
      <c r="AD126" s="197">
        <f t="shared" si="54"/>
        <v>5.5105799332649585</v>
      </c>
      <c r="AE126" s="197">
        <f t="shared" si="55"/>
        <v>16.531739799794877</v>
      </c>
      <c r="AF126" s="197">
        <f t="shared" si="56"/>
        <v>8.5178571428571423E-2</v>
      </c>
      <c r="AG126" s="197">
        <f t="shared" si="57"/>
        <v>0.25553571428571431</v>
      </c>
      <c r="AH126" s="197">
        <f t="shared" si="26"/>
        <v>0.19007628252605482</v>
      </c>
      <c r="AI126" s="197">
        <f t="shared" si="58"/>
        <v>0.19007628252605482</v>
      </c>
      <c r="AJ126" s="218">
        <f t="shared" si="27"/>
        <v>390.00000000000006</v>
      </c>
      <c r="AK126" s="197">
        <f t="shared" si="59"/>
        <v>0.12930013875651022</v>
      </c>
      <c r="AL126" s="197">
        <f t="shared" si="60"/>
        <v>0.20415274138550599</v>
      </c>
      <c r="AM126" s="197">
        <f t="shared" si="61"/>
        <v>8.6560762347454561E-3</v>
      </c>
      <c r="AN126" s="197">
        <f t="shared" si="28"/>
        <v>24.05</v>
      </c>
      <c r="AO126" s="197">
        <f t="shared" si="29"/>
        <v>21.69</v>
      </c>
      <c r="AP126" s="197">
        <f t="shared" si="62"/>
        <v>0.15723248912320659</v>
      </c>
      <c r="AQ126" s="197">
        <f t="shared" si="63"/>
        <v>0.86790209079387159</v>
      </c>
      <c r="AR126" s="197">
        <f t="shared" si="64"/>
        <v>0.67782580826781669</v>
      </c>
      <c r="AS126" s="258">
        <f t="shared" si="65"/>
        <v>0.60537303270872822</v>
      </c>
      <c r="AT126" s="197">
        <f t="shared" si="30"/>
        <v>4.1045368977867857E-3</v>
      </c>
      <c r="AU126" s="194">
        <f t="shared" si="66"/>
        <v>21.19</v>
      </c>
      <c r="AV126" s="197">
        <f t="shared" si="31"/>
        <v>1.2899999999999997E-2</v>
      </c>
      <c r="AW126" s="197">
        <f t="shared" si="32"/>
        <v>3.4260000000000002E-3</v>
      </c>
      <c r="AX126" s="197">
        <f t="shared" si="67"/>
        <v>2.9463599999999996E-2</v>
      </c>
      <c r="AY126" s="197">
        <f t="shared" si="33"/>
        <v>2.8867476000000005E-3</v>
      </c>
      <c r="AZ126" s="197">
        <f t="shared" si="34"/>
        <v>0</v>
      </c>
      <c r="BA126" s="197">
        <f t="shared" si="68"/>
        <v>7.2596940000000013E-2</v>
      </c>
      <c r="BB126" s="258">
        <f t="shared" si="35"/>
        <v>0.77480928873884325</v>
      </c>
      <c r="BC126" s="197">
        <f t="shared" si="36"/>
        <v>0.10043511429414549</v>
      </c>
      <c r="BD126" s="197">
        <f t="shared" si="69"/>
        <v>2.0087022858829101E-2</v>
      </c>
      <c r="BE126" s="197">
        <f t="shared" si="70"/>
        <v>0.12052213715297459</v>
      </c>
      <c r="BF126" s="197">
        <f t="shared" si="37"/>
        <v>0.20773291256157636</v>
      </c>
      <c r="BG126" s="197">
        <f t="shared" si="38"/>
        <v>1.9229458648600526E-3</v>
      </c>
      <c r="BH126" s="197">
        <f t="shared" si="39"/>
        <v>0.15857758631743188</v>
      </c>
      <c r="BI126" s="197">
        <f t="shared" si="71"/>
        <v>0.73847629551783633</v>
      </c>
      <c r="BJ126" s="197">
        <f t="shared" si="40"/>
        <v>7.0607823300005954</v>
      </c>
      <c r="BK126" s="288">
        <f t="shared" si="41"/>
        <v>0.89541154775723353</v>
      </c>
      <c r="BL126" s="197">
        <f t="shared" si="42"/>
        <v>0.82102120116286015</v>
      </c>
      <c r="BM126" s="197">
        <f t="shared" si="43"/>
        <v>0.16133702602099337</v>
      </c>
      <c r="BN126" s="197">
        <f t="shared" si="44"/>
        <v>59.6802215612596</v>
      </c>
      <c r="BO126" s="197">
        <f t="shared" si="72"/>
        <v>0.20965585842643641</v>
      </c>
      <c r="BP126" s="197">
        <f t="shared" si="45"/>
        <v>65.724189381982725</v>
      </c>
      <c r="BQ126" s="197">
        <f t="shared" si="46"/>
        <v>8.5496940000000007E-2</v>
      </c>
      <c r="BR126" s="288">
        <f t="shared" si="47"/>
        <v>0.12296878554203354</v>
      </c>
      <c r="BS126" s="197">
        <f t="shared" si="48"/>
        <v>0.19007628252605482</v>
      </c>
      <c r="BT126" s="197">
        <f t="shared" si="73"/>
        <v>0.77286394953084414</v>
      </c>
      <c r="BU126" s="197">
        <f t="shared" si="49"/>
        <v>0.46358885606548522</v>
      </c>
      <c r="BV126" s="197">
        <f t="shared" si="50"/>
        <v>1.8849859093185073</v>
      </c>
      <c r="BW126" s="194"/>
      <c r="BX126" s="194"/>
      <c r="BY126" s="194"/>
      <c r="BZ126" s="194"/>
      <c r="CA126" s="194"/>
      <c r="CB126" s="194"/>
      <c r="CC126" s="194"/>
      <c r="CD126" s="194"/>
      <c r="CE126" s="194"/>
      <c r="CF126" s="194"/>
      <c r="CG126" s="194"/>
      <c r="CH126" s="194"/>
      <c r="CI126" s="194"/>
      <c r="CJ126" s="194"/>
      <c r="CK126" s="194"/>
      <c r="CL126" s="194"/>
      <c r="CM126" s="194"/>
      <c r="CN126" s="194"/>
      <c r="CO126" s="194"/>
      <c r="CP126" s="194"/>
      <c r="CQ126" s="194"/>
      <c r="CR126" s="194"/>
      <c r="CS126" s="194"/>
      <c r="CT126" s="194"/>
      <c r="CU126" s="194"/>
      <c r="CV126" s="194"/>
      <c r="CW126" s="194"/>
      <c r="CX126" s="194"/>
      <c r="CY126" s="194"/>
      <c r="CZ126" s="194"/>
      <c r="DA126" s="194"/>
      <c r="DB126" s="194"/>
      <c r="DC126" s="194"/>
      <c r="DD126" s="194"/>
      <c r="DE126" s="194"/>
      <c r="DF126" s="194"/>
    </row>
    <row r="127" spans="1:111" s="192" customFormat="1" hidden="1" x14ac:dyDescent="0.35">
      <c r="B127" s="266"/>
      <c r="C127" s="266"/>
      <c r="D127" s="249"/>
      <c r="E127" s="249"/>
      <c r="F127" s="249"/>
      <c r="Q127" s="193"/>
      <c r="R127" s="194">
        <f t="shared" si="51"/>
        <v>8.6999999999999975</v>
      </c>
      <c r="S127" s="197">
        <f t="shared" si="19"/>
        <v>0.80459770114942553</v>
      </c>
      <c r="T127" s="194">
        <f t="shared" si="74"/>
        <v>0.69</v>
      </c>
      <c r="U127" s="194">
        <f t="shared" si="75"/>
        <v>1.4999999999999999E-4</v>
      </c>
      <c r="V127" s="197">
        <f t="shared" si="52"/>
        <v>0.80459770114942553</v>
      </c>
      <c r="W127" s="197">
        <f t="shared" si="20"/>
        <v>9.0114942528735677E-3</v>
      </c>
      <c r="X127" s="286">
        <f t="shared" si="21"/>
        <v>1</v>
      </c>
      <c r="Y127" s="286">
        <f t="shared" si="22"/>
        <v>0.60576669214938039</v>
      </c>
      <c r="Z127" s="286">
        <f t="shared" si="23"/>
        <v>0.72042949776989251</v>
      </c>
      <c r="AA127" s="286">
        <f t="shared" si="53"/>
        <v>0.60576669214938039</v>
      </c>
      <c r="AB127" s="197">
        <f t="shared" si="24"/>
        <v>0.76366503317447543</v>
      </c>
      <c r="AC127" s="287">
        <f t="shared" si="25"/>
        <v>1.5532479285881549E-6</v>
      </c>
      <c r="AD127" s="197">
        <f t="shared" si="54"/>
        <v>5.576958989106326</v>
      </c>
      <c r="AE127" s="197">
        <f t="shared" si="55"/>
        <v>16.730876967318981</v>
      </c>
      <c r="AF127" s="197">
        <f t="shared" si="56"/>
        <v>8.5178571428571423E-2</v>
      </c>
      <c r="AG127" s="197">
        <f t="shared" si="57"/>
        <v>0.25553571428571431</v>
      </c>
      <c r="AH127" s="197">
        <f t="shared" si="26"/>
        <v>0.19099249345562702</v>
      </c>
      <c r="AI127" s="197">
        <f t="shared" si="58"/>
        <v>0.19099249345562702</v>
      </c>
      <c r="AJ127" s="218">
        <f t="shared" si="27"/>
        <v>390.00000000000006</v>
      </c>
      <c r="AK127" s="197">
        <f t="shared" si="59"/>
        <v>0.12776116005008975</v>
      </c>
      <c r="AL127" s="197">
        <f t="shared" si="60"/>
        <v>0.20172283895174822</v>
      </c>
      <c r="AM127" s="197">
        <f t="shared" si="61"/>
        <v>8.5530483715541266E-3</v>
      </c>
      <c r="AN127" s="197">
        <f t="shared" si="28"/>
        <v>24.05</v>
      </c>
      <c r="AO127" s="197">
        <f t="shared" si="29"/>
        <v>21.69</v>
      </c>
      <c r="AP127" s="197">
        <f t="shared" si="62"/>
        <v>0.15536104911513526</v>
      </c>
      <c r="AQ127" s="197">
        <f t="shared" si="63"/>
        <v>0.85916127990228897</v>
      </c>
      <c r="AR127" s="197">
        <f t="shared" si="64"/>
        <v>0.66816878644666189</v>
      </c>
      <c r="AS127" s="258">
        <f t="shared" si="65"/>
        <v>0.59591530475090704</v>
      </c>
      <c r="AT127" s="197">
        <f t="shared" si="30"/>
        <v>3.9772885648873043E-3</v>
      </c>
      <c r="AU127" s="194">
        <f t="shared" si="66"/>
        <v>21.19</v>
      </c>
      <c r="AV127" s="197">
        <f t="shared" si="31"/>
        <v>1.3049999999999997E-2</v>
      </c>
      <c r="AW127" s="197">
        <f t="shared" si="32"/>
        <v>3.4260000000000002E-3</v>
      </c>
      <c r="AX127" s="197">
        <f t="shared" si="67"/>
        <v>2.9806199999999995E-2</v>
      </c>
      <c r="AY127" s="197">
        <f t="shared" si="33"/>
        <v>2.8867476000000005E-3</v>
      </c>
      <c r="AZ127" s="197">
        <f t="shared" si="34"/>
        <v>0</v>
      </c>
      <c r="BA127" s="197">
        <f t="shared" si="68"/>
        <v>7.2596940000000013E-2</v>
      </c>
      <c r="BB127" s="258">
        <f t="shared" si="35"/>
        <v>0.76565274587966603</v>
      </c>
      <c r="BC127" s="197">
        <f t="shared" si="36"/>
        <v>9.8075296492785027E-2</v>
      </c>
      <c r="BD127" s="197">
        <f t="shared" si="69"/>
        <v>1.9615059298557006E-2</v>
      </c>
      <c r="BE127" s="197">
        <f t="shared" si="70"/>
        <v>0.11769035579134203</v>
      </c>
      <c r="BF127" s="197">
        <f t="shared" si="37"/>
        <v>0.20773291256157636</v>
      </c>
      <c r="BG127" s="197">
        <f t="shared" si="38"/>
        <v>1.9081650802705481E-3</v>
      </c>
      <c r="BH127" s="197">
        <f t="shared" si="39"/>
        <v>0.1548516562608116</v>
      </c>
      <c r="BI127" s="197">
        <f t="shared" si="71"/>
        <v>0.73005511497402309</v>
      </c>
      <c r="BJ127" s="197">
        <f t="shared" si="40"/>
        <v>7.0523611494567824</v>
      </c>
      <c r="BK127" s="288">
        <f t="shared" si="41"/>
        <v>0.89648075311199049</v>
      </c>
      <c r="BL127" s="197">
        <f t="shared" si="42"/>
        <v>0.8106162240754925</v>
      </c>
      <c r="BM127" s="197">
        <f t="shared" si="43"/>
        <v>0.15933833768002256</v>
      </c>
      <c r="BN127" s="197">
        <f t="shared" si="44"/>
        <v>59.560300260801355</v>
      </c>
      <c r="BO127" s="197">
        <f t="shared" si="72"/>
        <v>0.20964107764184692</v>
      </c>
      <c r="BP127" s="197">
        <f t="shared" si="45"/>
        <v>65.723080823138517</v>
      </c>
      <c r="BQ127" s="197">
        <f t="shared" si="46"/>
        <v>8.5646940000000005E-2</v>
      </c>
      <c r="BR127" s="288">
        <f t="shared" si="47"/>
        <v>0.12504991400594268</v>
      </c>
      <c r="BS127" s="197">
        <f t="shared" si="48"/>
        <v>0.19099249345562702</v>
      </c>
      <c r="BT127" s="197">
        <f t="shared" si="73"/>
        <v>0.76366503317447543</v>
      </c>
      <c r="BU127" s="197">
        <f t="shared" si="49"/>
        <v>0.46781095427112196</v>
      </c>
      <c r="BV127" s="197">
        <f t="shared" si="50"/>
        <v>1.8704969051353781</v>
      </c>
      <c r="BW127" s="194"/>
      <c r="BX127" s="194"/>
      <c r="BY127" s="194"/>
      <c r="BZ127" s="194"/>
      <c r="CA127" s="194"/>
      <c r="CB127" s="194"/>
      <c r="CC127" s="194"/>
      <c r="CD127" s="194"/>
      <c r="CE127" s="194"/>
      <c r="CF127" s="194"/>
      <c r="CG127" s="194"/>
      <c r="CH127" s="194"/>
      <c r="CI127" s="194"/>
      <c r="CJ127" s="194"/>
      <c r="CK127" s="194"/>
      <c r="CL127" s="194"/>
      <c r="CM127" s="194"/>
      <c r="CN127" s="194"/>
      <c r="CO127" s="194"/>
      <c r="CP127" s="194"/>
      <c r="CQ127" s="194"/>
      <c r="CR127" s="194"/>
      <c r="CS127" s="194"/>
      <c r="CT127" s="194"/>
      <c r="CU127" s="194"/>
      <c r="CV127" s="194"/>
      <c r="CW127" s="194"/>
      <c r="CX127" s="194"/>
      <c r="CY127" s="194"/>
      <c r="CZ127" s="194"/>
      <c r="DA127" s="194"/>
      <c r="DB127" s="194"/>
      <c r="DC127" s="194"/>
      <c r="DD127" s="194"/>
      <c r="DE127" s="194"/>
      <c r="DF127" s="194"/>
    </row>
    <row r="128" spans="1:111" s="192" customFormat="1" hidden="1" x14ac:dyDescent="0.35">
      <c r="B128" s="266"/>
      <c r="C128" s="266"/>
      <c r="D128" s="249"/>
      <c r="E128" s="249"/>
      <c r="F128" s="249"/>
      <c r="Q128" s="193"/>
      <c r="R128" s="194">
        <f t="shared" si="51"/>
        <v>8.7999999999999972</v>
      </c>
      <c r="S128" s="197">
        <f t="shared" si="19"/>
        <v>0.79545454545454575</v>
      </c>
      <c r="T128" s="194">
        <f t="shared" si="74"/>
        <v>0.69</v>
      </c>
      <c r="U128" s="194">
        <f t="shared" si="75"/>
        <v>1.4999999999999999E-4</v>
      </c>
      <c r="V128" s="197">
        <f t="shared" si="52"/>
        <v>0.79545454545454575</v>
      </c>
      <c r="W128" s="197">
        <f t="shared" si="20"/>
        <v>8.9090909090909134E-3</v>
      </c>
      <c r="X128" s="286">
        <f t="shared" si="21"/>
        <v>1</v>
      </c>
      <c r="Y128" s="286">
        <f t="shared" si="22"/>
        <v>0.6010762415510793</v>
      </c>
      <c r="Z128" s="286">
        <f t="shared" si="23"/>
        <v>0.71801000505298118</v>
      </c>
      <c r="AA128" s="286">
        <f t="shared" si="53"/>
        <v>0.6010762415510793</v>
      </c>
      <c r="AB128" s="197">
        <f t="shared" si="24"/>
        <v>0.75468604148523144</v>
      </c>
      <c r="AC128" s="287">
        <f t="shared" si="25"/>
        <v>1.5412211321822546E-6</v>
      </c>
      <c r="AD128" s="197">
        <f t="shared" si="54"/>
        <v>5.6433117048871715</v>
      </c>
      <c r="AE128" s="197">
        <f t="shared" si="55"/>
        <v>16.929935114661514</v>
      </c>
      <c r="AF128" s="197">
        <f t="shared" si="56"/>
        <v>8.5178571428571451E-2</v>
      </c>
      <c r="AG128" s="197">
        <f t="shared" si="57"/>
        <v>0.25553571428571431</v>
      </c>
      <c r="AH128" s="197">
        <f t="shared" si="26"/>
        <v>0.19187026564908749</v>
      </c>
      <c r="AI128" s="197">
        <f t="shared" si="58"/>
        <v>0.19187026564908749</v>
      </c>
      <c r="AJ128" s="218">
        <f t="shared" si="27"/>
        <v>390</v>
      </c>
      <c r="AK128" s="197">
        <f t="shared" si="59"/>
        <v>0.12625897474047923</v>
      </c>
      <c r="AL128" s="197">
        <f t="shared" si="60"/>
        <v>0.19935102982628755</v>
      </c>
      <c r="AM128" s="197">
        <f t="shared" si="61"/>
        <v>8.4524836646345941E-3</v>
      </c>
      <c r="AN128" s="197">
        <f t="shared" si="28"/>
        <v>24.05</v>
      </c>
      <c r="AO128" s="197">
        <f t="shared" si="29"/>
        <v>21.69</v>
      </c>
      <c r="AP128" s="197">
        <f t="shared" si="62"/>
        <v>0.15353435087934167</v>
      </c>
      <c r="AQ128" s="197">
        <f t="shared" si="63"/>
        <v>0.85062117430977513</v>
      </c>
      <c r="AR128" s="197">
        <f t="shared" si="64"/>
        <v>0.65875090866068775</v>
      </c>
      <c r="AS128" s="258">
        <f t="shared" si="65"/>
        <v>0.58667503687444289</v>
      </c>
      <c r="AT128" s="197">
        <f t="shared" si="30"/>
        <v>3.8549011075862446E-3</v>
      </c>
      <c r="AU128" s="194">
        <f t="shared" si="66"/>
        <v>21.19</v>
      </c>
      <c r="AV128" s="197">
        <f t="shared" si="31"/>
        <v>1.3199999999999996E-2</v>
      </c>
      <c r="AW128" s="197">
        <f t="shared" si="32"/>
        <v>3.4259999999999998E-3</v>
      </c>
      <c r="AX128" s="197">
        <f t="shared" si="67"/>
        <v>3.0148799999999989E-2</v>
      </c>
      <c r="AY128" s="197">
        <f t="shared" si="33"/>
        <v>2.8867475999999996E-3</v>
      </c>
      <c r="AZ128" s="197">
        <f t="shared" si="34"/>
        <v>0</v>
      </c>
      <c r="BA128" s="197">
        <f t="shared" si="68"/>
        <v>7.2596939999999999E-2</v>
      </c>
      <c r="BB128" s="258">
        <f t="shared" si="35"/>
        <v>0.75671584568846106</v>
      </c>
      <c r="BC128" s="197">
        <f t="shared" si="36"/>
        <v>9.5799137137707283E-2</v>
      </c>
      <c r="BD128" s="197">
        <f t="shared" si="69"/>
        <v>1.9159827427541458E-2</v>
      </c>
      <c r="BE128" s="197">
        <f t="shared" si="70"/>
        <v>0.11495896456524873</v>
      </c>
      <c r="BF128" s="197">
        <f t="shared" si="37"/>
        <v>0.20773291256157636</v>
      </c>
      <c r="BG128" s="197">
        <f t="shared" si="38"/>
        <v>1.8933901608858997E-3</v>
      </c>
      <c r="BH128" s="197">
        <f t="shared" si="39"/>
        <v>0.15125781501177435</v>
      </c>
      <c r="BI128" s="197">
        <f t="shared" si="71"/>
        <v>0.72191602188641324</v>
      </c>
      <c r="BJ128" s="197">
        <f t="shared" si="40"/>
        <v>7.044222056369172</v>
      </c>
      <c r="BK128" s="288">
        <f t="shared" si="41"/>
        <v>0.89751657229009718</v>
      </c>
      <c r="BL128" s="197">
        <f t="shared" si="42"/>
        <v>0.80047977913286072</v>
      </c>
      <c r="BM128" s="197">
        <f t="shared" si="43"/>
        <v>0.15738925198692791</v>
      </c>
      <c r="BN128" s="197">
        <f t="shared" si="44"/>
        <v>59.443355119215674</v>
      </c>
      <c r="BO128" s="197">
        <f t="shared" si="72"/>
        <v>0.20962630272246227</v>
      </c>
      <c r="BP128" s="197">
        <f t="shared" si="45"/>
        <v>65.721972704184665</v>
      </c>
      <c r="BQ128" s="197">
        <f t="shared" si="46"/>
        <v>8.5796939999999988E-2</v>
      </c>
      <c r="BR128" s="288">
        <f t="shared" si="47"/>
        <v>0.12711926225075293</v>
      </c>
      <c r="BS128" s="197">
        <f t="shared" si="48"/>
        <v>0.19187026564908749</v>
      </c>
      <c r="BT128" s="197">
        <f t="shared" si="73"/>
        <v>0.75468604148523144</v>
      </c>
      <c r="BU128" s="197">
        <f t="shared" si="49"/>
        <v>0.47187017192596797</v>
      </c>
      <c r="BV128" s="197">
        <f t="shared" si="50"/>
        <v>1.8560136503748983</v>
      </c>
      <c r="BW128" s="194"/>
      <c r="BX128" s="194"/>
      <c r="BY128" s="194"/>
      <c r="BZ128" s="194"/>
      <c r="CA128" s="194"/>
      <c r="CB128" s="194"/>
      <c r="CC128" s="194"/>
      <c r="CD128" s="194"/>
      <c r="CE128" s="194"/>
      <c r="CF128" s="194"/>
      <c r="CG128" s="194"/>
      <c r="CH128" s="194"/>
      <c r="CI128" s="194"/>
      <c r="CJ128" s="194"/>
      <c r="CK128" s="194"/>
      <c r="CL128" s="194"/>
      <c r="CM128" s="194"/>
      <c r="CN128" s="194"/>
      <c r="CO128" s="194"/>
      <c r="CP128" s="194"/>
      <c r="CQ128" s="194"/>
      <c r="CR128" s="194"/>
      <c r="CS128" s="194"/>
      <c r="CT128" s="194"/>
      <c r="CU128" s="194"/>
      <c r="CV128" s="194"/>
      <c r="CW128" s="194"/>
      <c r="CX128" s="194"/>
      <c r="CY128" s="194"/>
      <c r="CZ128" s="194"/>
      <c r="DA128" s="194"/>
      <c r="DB128" s="194"/>
      <c r="DC128" s="194"/>
      <c r="DD128" s="194"/>
      <c r="DE128" s="194"/>
      <c r="DF128" s="194"/>
    </row>
    <row r="129" spans="2:110" s="192" customFormat="1" hidden="1" x14ac:dyDescent="0.35">
      <c r="B129" s="266"/>
      <c r="C129" s="266"/>
      <c r="D129" s="249"/>
      <c r="E129" s="249"/>
      <c r="F129" s="249"/>
      <c r="Q129" s="193"/>
      <c r="R129" s="194">
        <f t="shared" si="51"/>
        <v>8.8999999999999968</v>
      </c>
      <c r="S129" s="197">
        <f t="shared" si="19"/>
        <v>0.78651685393258453</v>
      </c>
      <c r="T129" s="194">
        <f t="shared" si="74"/>
        <v>0.69</v>
      </c>
      <c r="U129" s="194">
        <f t="shared" si="75"/>
        <v>1.4999999999999999E-4</v>
      </c>
      <c r="V129" s="197">
        <f t="shared" si="52"/>
        <v>0.78651685393258453</v>
      </c>
      <c r="W129" s="197">
        <f t="shared" si="20"/>
        <v>8.8089887640449473E-3</v>
      </c>
      <c r="X129" s="286">
        <f t="shared" si="21"/>
        <v>1</v>
      </c>
      <c r="Y129" s="286">
        <f t="shared" si="22"/>
        <v>0.59638759013404685</v>
      </c>
      <c r="Z129" s="286">
        <f t="shared" si="23"/>
        <v>0.71560760506938847</v>
      </c>
      <c r="AA129" s="286">
        <f t="shared" si="53"/>
        <v>0.59638759013404685</v>
      </c>
      <c r="AB129" s="197">
        <f t="shared" si="24"/>
        <v>0.745919066805242</v>
      </c>
      <c r="AC129" s="287">
        <f t="shared" si="25"/>
        <v>1.5291989490616585E-6</v>
      </c>
      <c r="AD129" s="197">
        <f t="shared" si="54"/>
        <v>5.709638968835435</v>
      </c>
      <c r="AE129" s="197">
        <f t="shared" si="55"/>
        <v>17.128916906506305</v>
      </c>
      <c r="AF129" s="197">
        <f t="shared" si="56"/>
        <v>8.5178571428571437E-2</v>
      </c>
      <c r="AG129" s="197">
        <f t="shared" si="57"/>
        <v>0.25553571428571431</v>
      </c>
      <c r="AH129" s="197">
        <f t="shared" si="26"/>
        <v>0.19270973085793736</v>
      </c>
      <c r="AI129" s="197">
        <f t="shared" si="58"/>
        <v>0.19270973085793736</v>
      </c>
      <c r="AJ129" s="218">
        <f t="shared" si="27"/>
        <v>390.00000000000006</v>
      </c>
      <c r="AK129" s="197">
        <f t="shared" si="59"/>
        <v>0.12479225987651699</v>
      </c>
      <c r="AL129" s="197">
        <f t="shared" si="60"/>
        <v>0.19703522519383751</v>
      </c>
      <c r="AM129" s="197">
        <f t="shared" si="61"/>
        <v>8.3542935482187122E-3</v>
      </c>
      <c r="AN129" s="197">
        <f t="shared" si="28"/>
        <v>24.05</v>
      </c>
      <c r="AO129" s="197">
        <f t="shared" si="29"/>
        <v>21.69</v>
      </c>
      <c r="AP129" s="197">
        <f t="shared" si="62"/>
        <v>0.15175078567119396</v>
      </c>
      <c r="AQ129" s="197">
        <f t="shared" si="63"/>
        <v>0.84227393223421065</v>
      </c>
      <c r="AR129" s="197">
        <f t="shared" si="64"/>
        <v>0.64956420137627335</v>
      </c>
      <c r="AS129" s="258">
        <f t="shared" si="65"/>
        <v>0.57764426538243874</v>
      </c>
      <c r="AT129" s="197">
        <f t="shared" si="30"/>
        <v>3.7371364500872343E-3</v>
      </c>
      <c r="AU129" s="194">
        <f t="shared" si="66"/>
        <v>21.19</v>
      </c>
      <c r="AV129" s="197">
        <f t="shared" si="31"/>
        <v>1.3349999999999996E-2</v>
      </c>
      <c r="AW129" s="197">
        <f t="shared" si="32"/>
        <v>3.4260000000000002E-3</v>
      </c>
      <c r="AX129" s="197">
        <f t="shared" si="67"/>
        <v>3.0491399999999991E-2</v>
      </c>
      <c r="AY129" s="197">
        <f t="shared" si="33"/>
        <v>2.8867476000000005E-3</v>
      </c>
      <c r="AZ129" s="197">
        <f t="shared" si="34"/>
        <v>0</v>
      </c>
      <c r="BA129" s="197">
        <f t="shared" si="68"/>
        <v>7.2596940000000013E-2</v>
      </c>
      <c r="BB129" s="258">
        <f t="shared" si="35"/>
        <v>0.74799064672464188</v>
      </c>
      <c r="BC129" s="197">
        <f t="shared" si="36"/>
        <v>9.3602678269396777E-2</v>
      </c>
      <c r="BD129" s="197">
        <f t="shared" si="69"/>
        <v>1.8720535653879357E-2</v>
      </c>
      <c r="BE129" s="197">
        <f t="shared" si="70"/>
        <v>0.11232321392327613</v>
      </c>
      <c r="BF129" s="197">
        <f t="shared" si="37"/>
        <v>0.20773291256157633</v>
      </c>
      <c r="BG129" s="197">
        <f t="shared" si="38"/>
        <v>1.8786209089222473E-3</v>
      </c>
      <c r="BH129" s="197">
        <f t="shared" si="39"/>
        <v>0.14778981332501268</v>
      </c>
      <c r="BI129" s="197">
        <f t="shared" si="71"/>
        <v>0.71404617044006846</v>
      </c>
      <c r="BJ129" s="197">
        <f t="shared" si="40"/>
        <v>7.036352204922828</v>
      </c>
      <c r="BK129" s="288">
        <f t="shared" si="41"/>
        <v>0.89852040522637533</v>
      </c>
      <c r="BL129" s="197">
        <f t="shared" si="42"/>
        <v>0.79060137133964392</v>
      </c>
      <c r="BM129" s="197">
        <f t="shared" si="43"/>
        <v>0.15548792212128121</v>
      </c>
      <c r="BN129" s="197">
        <f t="shared" si="44"/>
        <v>59.329275327276875</v>
      </c>
      <c r="BO129" s="197">
        <f t="shared" si="72"/>
        <v>0.20961153347049857</v>
      </c>
      <c r="BP129" s="197">
        <f t="shared" si="45"/>
        <v>65.720865010287397</v>
      </c>
      <c r="BQ129" s="197">
        <f t="shared" si="46"/>
        <v>8.5946940000000013E-2</v>
      </c>
      <c r="BR129" s="288">
        <f t="shared" si="47"/>
        <v>0.12917603224925572</v>
      </c>
      <c r="BS129" s="197">
        <f t="shared" si="48"/>
        <v>0.19270973085793736</v>
      </c>
      <c r="BT129" s="197">
        <f t="shared" si="73"/>
        <v>0.745919066805242</v>
      </c>
      <c r="BU129" s="197">
        <f t="shared" si="49"/>
        <v>0.47576461482978682</v>
      </c>
      <c r="BV129" s="197">
        <f t="shared" si="50"/>
        <v>1.8415359511575649</v>
      </c>
      <c r="BW129" s="194"/>
      <c r="BX129" s="194"/>
      <c r="BY129" s="194"/>
      <c r="BZ129" s="194"/>
      <c r="CA129" s="194"/>
      <c r="CB129" s="194"/>
      <c r="CC129" s="194"/>
      <c r="CD129" s="194"/>
      <c r="CE129" s="194"/>
      <c r="CF129" s="194"/>
      <c r="CG129" s="194"/>
      <c r="CH129" s="194"/>
      <c r="CI129" s="194"/>
      <c r="CJ129" s="194"/>
      <c r="CK129" s="194"/>
      <c r="CL129" s="194"/>
      <c r="CM129" s="194"/>
      <c r="CN129" s="194"/>
      <c r="CO129" s="194"/>
      <c r="CP129" s="194"/>
      <c r="CQ129" s="194"/>
      <c r="CR129" s="194"/>
      <c r="CS129" s="194"/>
      <c r="CT129" s="194"/>
      <c r="CU129" s="194"/>
      <c r="CV129" s="194"/>
      <c r="CW129" s="194"/>
      <c r="CX129" s="194"/>
      <c r="CY129" s="194"/>
      <c r="CZ129" s="194"/>
      <c r="DA129" s="194"/>
      <c r="DB129" s="194"/>
      <c r="DC129" s="194"/>
      <c r="DD129" s="194"/>
      <c r="DE129" s="194"/>
      <c r="DF129" s="194"/>
    </row>
    <row r="130" spans="2:110" s="192" customFormat="1" hidden="1" x14ac:dyDescent="0.35">
      <c r="B130" s="266"/>
      <c r="C130" s="266"/>
      <c r="D130" s="249"/>
      <c r="E130" s="249"/>
      <c r="F130" s="249"/>
      <c r="Q130" s="193"/>
      <c r="R130" s="194">
        <f t="shared" si="51"/>
        <v>8.9999999999999964</v>
      </c>
      <c r="S130" s="197">
        <f t="shared" si="19"/>
        <v>0.77777777777777812</v>
      </c>
      <c r="T130" s="194">
        <f t="shared" si="74"/>
        <v>0.69</v>
      </c>
      <c r="U130" s="194">
        <f t="shared" si="75"/>
        <v>1.4999999999999999E-4</v>
      </c>
      <c r="V130" s="197">
        <f t="shared" si="52"/>
        <v>0.77777777777777812</v>
      </c>
      <c r="W130" s="197">
        <f t="shared" si="20"/>
        <v>8.7111111111111156E-3</v>
      </c>
      <c r="X130" s="286">
        <f t="shared" si="21"/>
        <v>1</v>
      </c>
      <c r="Y130" s="286">
        <f t="shared" si="22"/>
        <v>0.59170067790147796</v>
      </c>
      <c r="Z130" s="286">
        <f t="shared" si="23"/>
        <v>0.7132220883507645</v>
      </c>
      <c r="AA130" s="286">
        <f t="shared" si="53"/>
        <v>0.59170067790147796</v>
      </c>
      <c r="AB130" s="197">
        <f t="shared" si="24"/>
        <v>0.73735658088009448</v>
      </c>
      <c r="AC130" s="287">
        <f t="shared" si="25"/>
        <v>1.5171812253884051E-6</v>
      </c>
      <c r="AD130" s="197">
        <f t="shared" si="54"/>
        <v>5.7759416296864092</v>
      </c>
      <c r="AE130" s="197">
        <f t="shared" si="55"/>
        <v>17.327824889059229</v>
      </c>
      <c r="AF130" s="197">
        <f t="shared" si="56"/>
        <v>8.5178571428571423E-2</v>
      </c>
      <c r="AG130" s="197">
        <f t="shared" si="57"/>
        <v>0.25553571428571431</v>
      </c>
      <c r="AH130" s="197">
        <f t="shared" si="26"/>
        <v>0.19351101452239036</v>
      </c>
      <c r="AI130" s="197">
        <f t="shared" si="58"/>
        <v>0.19351101452239036</v>
      </c>
      <c r="AJ130" s="218">
        <f t="shared" si="27"/>
        <v>390</v>
      </c>
      <c r="AK130" s="197">
        <f t="shared" si="59"/>
        <v>0.12335975598123981</v>
      </c>
      <c r="AL130" s="197">
        <f t="shared" si="60"/>
        <v>0.19477343645889289</v>
      </c>
      <c r="AM130" s="197">
        <f t="shared" si="61"/>
        <v>8.2583937058570596E-3</v>
      </c>
      <c r="AN130" s="197">
        <f t="shared" si="28"/>
        <v>24.05</v>
      </c>
      <c r="AO130" s="197">
        <f t="shared" si="29"/>
        <v>21.69</v>
      </c>
      <c r="AP130" s="197">
        <f t="shared" si="62"/>
        <v>0.15000882193241352</v>
      </c>
      <c r="AQ130" s="197">
        <f t="shared" si="63"/>
        <v>0.83411208814128968</v>
      </c>
      <c r="AR130" s="197">
        <f t="shared" si="64"/>
        <v>0.64060107361889929</v>
      </c>
      <c r="AS130" s="258">
        <f t="shared" si="65"/>
        <v>0.56881540591168089</v>
      </c>
      <c r="AT130" s="197">
        <f t="shared" si="30"/>
        <v>3.623770819227668E-3</v>
      </c>
      <c r="AU130" s="194">
        <f t="shared" si="66"/>
        <v>21.19</v>
      </c>
      <c r="AV130" s="197">
        <f t="shared" si="31"/>
        <v>1.3499999999999995E-2</v>
      </c>
      <c r="AW130" s="197">
        <f t="shared" si="32"/>
        <v>3.4259999999999998E-3</v>
      </c>
      <c r="AX130" s="197">
        <f t="shared" si="67"/>
        <v>3.0833999999999986E-2</v>
      </c>
      <c r="AY130" s="197">
        <f t="shared" si="33"/>
        <v>2.8867475999999996E-3</v>
      </c>
      <c r="AZ130" s="197">
        <f t="shared" si="34"/>
        <v>0</v>
      </c>
      <c r="BA130" s="197">
        <f t="shared" si="68"/>
        <v>7.2596939999999999E-2</v>
      </c>
      <c r="BB130" s="258">
        <f t="shared" si="35"/>
        <v>0.7394695869984379</v>
      </c>
      <c r="BC130" s="197">
        <f t="shared" si="36"/>
        <v>9.1482194687000626E-2</v>
      </c>
      <c r="BD130" s="197">
        <f t="shared" si="69"/>
        <v>1.8296438937400124E-2</v>
      </c>
      <c r="BE130" s="197">
        <f t="shared" si="70"/>
        <v>0.10977863362440075</v>
      </c>
      <c r="BF130" s="197">
        <f t="shared" si="37"/>
        <v>0.20773291256157633</v>
      </c>
      <c r="BG130" s="197">
        <f t="shared" si="38"/>
        <v>1.8638571353896554E-3</v>
      </c>
      <c r="BH130" s="197">
        <f t="shared" si="39"/>
        <v>0.14444176945922574</v>
      </c>
      <c r="BI130" s="197">
        <f t="shared" si="71"/>
        <v>0.70643345313223349</v>
      </c>
      <c r="BJ130" s="197">
        <f t="shared" si="40"/>
        <v>7.0287394876149927</v>
      </c>
      <c r="BK130" s="288">
        <f t="shared" si="41"/>
        <v>0.89949357856028012</v>
      </c>
      <c r="BL130" s="197">
        <f t="shared" si="42"/>
        <v>0.7809710541794439</v>
      </c>
      <c r="BM130" s="197">
        <f t="shared" si="43"/>
        <v>0.15363259275164118</v>
      </c>
      <c r="BN130" s="197">
        <f t="shared" si="44"/>
        <v>59.217955565098471</v>
      </c>
      <c r="BO130" s="197">
        <f t="shared" si="72"/>
        <v>0.209596769696966</v>
      </c>
      <c r="BP130" s="197">
        <f t="shared" si="45"/>
        <v>65.719757727272452</v>
      </c>
      <c r="BQ130" s="197">
        <f t="shared" si="46"/>
        <v>8.6096939999999997E-2</v>
      </c>
      <c r="BR130" s="288">
        <f t="shared" si="47"/>
        <v>0.13121942594681896</v>
      </c>
      <c r="BS130" s="197">
        <f t="shared" si="48"/>
        <v>0.19351101452239036</v>
      </c>
      <c r="BT130" s="197">
        <f t="shared" si="73"/>
        <v>0.73735658088009448</v>
      </c>
      <c r="BU130" s="197">
        <f t="shared" si="49"/>
        <v>0.47949247935315098</v>
      </c>
      <c r="BV130" s="197">
        <f t="shared" si="50"/>
        <v>1.8270636222242018</v>
      </c>
      <c r="BW130" s="194"/>
      <c r="BX130" s="194"/>
      <c r="BY130" s="194"/>
      <c r="BZ130" s="194"/>
      <c r="CA130" s="194"/>
      <c r="CB130" s="194"/>
      <c r="CC130" s="194"/>
      <c r="CD130" s="194"/>
      <c r="CE130" s="194"/>
      <c r="CF130" s="194"/>
      <c r="CG130" s="194"/>
      <c r="CH130" s="194"/>
      <c r="CI130" s="194"/>
      <c r="CJ130" s="194"/>
      <c r="CK130" s="194"/>
      <c r="CL130" s="194"/>
      <c r="CM130" s="194"/>
      <c r="CN130" s="194"/>
      <c r="CO130" s="194"/>
      <c r="CP130" s="194"/>
      <c r="CQ130" s="194"/>
      <c r="CR130" s="194"/>
      <c r="CS130" s="194"/>
      <c r="CT130" s="194"/>
      <c r="CU130" s="194"/>
      <c r="CV130" s="194"/>
      <c r="CW130" s="194"/>
      <c r="CX130" s="194"/>
      <c r="CY130" s="194"/>
      <c r="CZ130" s="194"/>
      <c r="DA130" s="194"/>
      <c r="DB130" s="194"/>
      <c r="DC130" s="194"/>
      <c r="DD130" s="194"/>
      <c r="DE130" s="194"/>
      <c r="DF130" s="194"/>
    </row>
    <row r="131" spans="2:110" s="192" customFormat="1" hidden="1" x14ac:dyDescent="0.35">
      <c r="B131" s="266"/>
      <c r="C131" s="266"/>
      <c r="D131" s="249"/>
      <c r="E131" s="249"/>
      <c r="F131" s="249"/>
      <c r="Q131" s="193"/>
      <c r="R131" s="194">
        <f t="shared" si="51"/>
        <v>9.0999999999999961</v>
      </c>
      <c r="S131" s="197">
        <f t="shared" si="19"/>
        <v>0.76923076923076961</v>
      </c>
      <c r="T131" s="194">
        <f t="shared" si="74"/>
        <v>0.69</v>
      </c>
      <c r="U131" s="194">
        <f t="shared" si="75"/>
        <v>1.4999999999999999E-4</v>
      </c>
      <c r="V131" s="197">
        <f t="shared" si="52"/>
        <v>0.76923076923076961</v>
      </c>
      <c r="W131" s="197">
        <f t="shared" si="20"/>
        <v>8.6153846153846202E-3</v>
      </c>
      <c r="X131" s="286">
        <f t="shared" si="21"/>
        <v>1</v>
      </c>
      <c r="Y131" s="286">
        <f t="shared" si="22"/>
        <v>0.58701544749483792</v>
      </c>
      <c r="Z131" s="286">
        <f t="shared" si="23"/>
        <v>0.71085325000827282</v>
      </c>
      <c r="AA131" s="286">
        <f t="shared" si="53"/>
        <v>0.58701544749483792</v>
      </c>
      <c r="AB131" s="197">
        <f t="shared" si="24"/>
        <v>0.72899141212906138</v>
      </c>
      <c r="AC131" s="287">
        <f t="shared" si="25"/>
        <v>1.505167814089328E-6</v>
      </c>
      <c r="AD131" s="197">
        <f t="shared" si="54"/>
        <v>5.8422204988535134</v>
      </c>
      <c r="AE131" s="197">
        <f t="shared" si="55"/>
        <v>17.526661496560536</v>
      </c>
      <c r="AF131" s="197">
        <f t="shared" si="56"/>
        <v>8.5178571428571437E-2</v>
      </c>
      <c r="AG131" s="197">
        <f t="shared" si="57"/>
        <v>0.25553571428571425</v>
      </c>
      <c r="AH131" s="197">
        <f t="shared" si="26"/>
        <v>0.19427423614883851</v>
      </c>
      <c r="AI131" s="197">
        <f t="shared" si="58"/>
        <v>0.19427423614883851</v>
      </c>
      <c r="AJ131" s="218">
        <f t="shared" si="27"/>
        <v>389.99999999999994</v>
      </c>
      <c r="AK131" s="197">
        <f t="shared" si="59"/>
        <v>0.12196026324919197</v>
      </c>
      <c r="AL131" s="197">
        <f t="shared" si="60"/>
        <v>0.19256376924163884</v>
      </c>
      <c r="AM131" s="197">
        <f t="shared" si="61"/>
        <v>8.164703815845489E-3</v>
      </c>
      <c r="AN131" s="197">
        <f t="shared" si="28"/>
        <v>24.05</v>
      </c>
      <c r="AO131" s="197">
        <f t="shared" si="29"/>
        <v>21.69</v>
      </c>
      <c r="AP131" s="197">
        <f t="shared" si="62"/>
        <v>0.1483070006668997</v>
      </c>
      <c r="AQ131" s="197">
        <f t="shared" si="63"/>
        <v>0.82612853020348065</v>
      </c>
      <c r="AR131" s="197">
        <f t="shared" si="64"/>
        <v>0.63185429405464211</v>
      </c>
      <c r="AS131" s="258">
        <f t="shared" si="65"/>
        <v>0.56018123070012682</v>
      </c>
      <c r="AT131" s="197">
        <f t="shared" si="30"/>
        <v>3.5145937257615376E-3</v>
      </c>
      <c r="AU131" s="194">
        <f t="shared" si="66"/>
        <v>21.19</v>
      </c>
      <c r="AV131" s="197">
        <f t="shared" si="31"/>
        <v>1.3649999999999994E-2</v>
      </c>
      <c r="AW131" s="197">
        <f t="shared" si="32"/>
        <v>3.4259999999999994E-3</v>
      </c>
      <c r="AX131" s="197">
        <f t="shared" si="67"/>
        <v>3.1176599999999981E-2</v>
      </c>
      <c r="AY131" s="197">
        <f t="shared" si="33"/>
        <v>2.8867475999999992E-3</v>
      </c>
      <c r="AZ131" s="197">
        <f t="shared" si="34"/>
        <v>0</v>
      </c>
      <c r="BA131" s="197">
        <f t="shared" si="68"/>
        <v>7.2596939999999985E-2</v>
      </c>
      <c r="BB131" s="258">
        <f t="shared" si="35"/>
        <v>0.73114546126416657</v>
      </c>
      <c r="BC131" s="197">
        <f t="shared" si="36"/>
        <v>8.9434177588699038E-2</v>
      </c>
      <c r="BD131" s="197">
        <f t="shared" si="69"/>
        <v>1.788683551773981E-2</v>
      </c>
      <c r="BE131" s="197">
        <f t="shared" si="70"/>
        <v>0.10732101310643885</v>
      </c>
      <c r="BF131" s="197">
        <f t="shared" si="37"/>
        <v>0.20773291256157631</v>
      </c>
      <c r="BG131" s="197">
        <f t="shared" si="38"/>
        <v>1.8490986596087393E-3</v>
      </c>
      <c r="BH131" s="197">
        <f t="shared" si="39"/>
        <v>0.14120814334680512</v>
      </c>
      <c r="BI131" s="197">
        <f t="shared" si="71"/>
        <v>0.6990664496670902</v>
      </c>
      <c r="BJ131" s="197">
        <f t="shared" si="40"/>
        <v>7.0213724841498495</v>
      </c>
      <c r="BK131" s="288">
        <f t="shared" si="41"/>
        <v>0.90043735021248716</v>
      </c>
      <c r="BL131" s="197">
        <f t="shared" si="42"/>
        <v>0.7715793938626212</v>
      </c>
      <c r="BM131" s="197">
        <f t="shared" si="43"/>
        <v>0.15182159439266124</v>
      </c>
      <c r="BN131" s="197">
        <f t="shared" si="44"/>
        <v>59.109295663559678</v>
      </c>
      <c r="BO131" s="197">
        <f t="shared" si="72"/>
        <v>0.20958201122118505</v>
      </c>
      <c r="BP131" s="197">
        <f t="shared" si="45"/>
        <v>65.718650841588882</v>
      </c>
      <c r="BQ131" s="197">
        <f t="shared" si="46"/>
        <v>8.624693999999998E-2</v>
      </c>
      <c r="BR131" s="288">
        <f t="shared" si="47"/>
        <v>0.13324864526280866</v>
      </c>
      <c r="BS131" s="197">
        <f t="shared" si="48"/>
        <v>0.19427423614883851</v>
      </c>
      <c r="BT131" s="197">
        <f t="shared" si="73"/>
        <v>0.72899141212906138</v>
      </c>
      <c r="BU131" s="197">
        <f t="shared" si="49"/>
        <v>0.48305205245841148</v>
      </c>
      <c r="BV131" s="197">
        <f t="shared" si="50"/>
        <v>1.81259648646213</v>
      </c>
      <c r="BW131" s="194"/>
      <c r="BX131" s="194"/>
      <c r="BY131" s="194"/>
      <c r="BZ131" s="194"/>
      <c r="CA131" s="194"/>
      <c r="CB131" s="194"/>
      <c r="CC131" s="194"/>
      <c r="CD131" s="194"/>
      <c r="CE131" s="194"/>
      <c r="CF131" s="194"/>
      <c r="CG131" s="194"/>
      <c r="CH131" s="194"/>
      <c r="CI131" s="194"/>
      <c r="CJ131" s="194"/>
      <c r="CK131" s="194"/>
      <c r="CL131" s="194"/>
      <c r="CM131" s="194"/>
      <c r="CN131" s="194"/>
      <c r="CO131" s="194"/>
      <c r="CP131" s="194"/>
      <c r="CQ131" s="194"/>
      <c r="CR131" s="194"/>
      <c r="CS131" s="194"/>
      <c r="CT131" s="194"/>
      <c r="CU131" s="194"/>
      <c r="CV131" s="194"/>
      <c r="CW131" s="194"/>
      <c r="CX131" s="194"/>
      <c r="CY131" s="194"/>
      <c r="CZ131" s="194"/>
      <c r="DA131" s="194"/>
      <c r="DB131" s="194"/>
      <c r="DC131" s="194"/>
      <c r="DD131" s="194"/>
      <c r="DE131" s="194"/>
      <c r="DF131" s="194"/>
    </row>
    <row r="132" spans="2:110" s="192" customFormat="1" hidden="1" x14ac:dyDescent="0.35">
      <c r="B132" s="266"/>
      <c r="C132" s="266"/>
      <c r="D132" s="249"/>
      <c r="E132" s="249"/>
      <c r="F132" s="249"/>
      <c r="Q132" s="193"/>
      <c r="R132" s="194">
        <f t="shared" si="51"/>
        <v>9.1999999999999957</v>
      </c>
      <c r="S132" s="197">
        <f t="shared" si="19"/>
        <v>0.76086956521739169</v>
      </c>
      <c r="T132" s="194">
        <f t="shared" si="74"/>
        <v>0.69</v>
      </c>
      <c r="U132" s="194">
        <f t="shared" si="75"/>
        <v>1.4999999999999999E-4</v>
      </c>
      <c r="V132" s="197">
        <f t="shared" si="52"/>
        <v>0.76086956521739169</v>
      </c>
      <c r="W132" s="197">
        <f t="shared" si="20"/>
        <v>8.5217391304347884E-3</v>
      </c>
      <c r="X132" s="286">
        <f t="shared" si="21"/>
        <v>1</v>
      </c>
      <c r="Y132" s="286">
        <f t="shared" si="22"/>
        <v>0.58233184405042182</v>
      </c>
      <c r="Z132" s="286">
        <f t="shared" si="23"/>
        <v>0.70850088955775015</v>
      </c>
      <c r="AA132" s="286">
        <f t="shared" si="53"/>
        <v>0.58233184405042182</v>
      </c>
      <c r="AB132" s="197">
        <f t="shared" si="24"/>
        <v>0.72081672454476398</v>
      </c>
      <c r="AC132" s="287">
        <f t="shared" si="25"/>
        <v>1.4931585744882612E-6</v>
      </c>
      <c r="AD132" s="197">
        <f t="shared" si="54"/>
        <v>5.9084763524574475</v>
      </c>
      <c r="AE132" s="197">
        <f t="shared" si="55"/>
        <v>17.725429057372342</v>
      </c>
      <c r="AF132" s="197">
        <f t="shared" si="56"/>
        <v>8.5178571428571437E-2</v>
      </c>
      <c r="AG132" s="197">
        <f t="shared" si="57"/>
        <v>0.25553571428571431</v>
      </c>
      <c r="AH132" s="197">
        <f t="shared" si="26"/>
        <v>0.1949995096603041</v>
      </c>
      <c r="AI132" s="197">
        <f t="shared" si="58"/>
        <v>0.1949995096603041</v>
      </c>
      <c r="AJ132" s="218">
        <f t="shared" si="27"/>
        <v>389.99999999999994</v>
      </c>
      <c r="AK132" s="197">
        <f t="shared" si="59"/>
        <v>0.12059263801633902</v>
      </c>
      <c r="AL132" s="197">
        <f t="shared" si="60"/>
        <v>0.19040441780427728</v>
      </c>
      <c r="AM132" s="197">
        <f t="shared" si="61"/>
        <v>8.0731473149013577E-3</v>
      </c>
      <c r="AN132" s="197">
        <f t="shared" si="28"/>
        <v>24.05</v>
      </c>
      <c r="AO132" s="197">
        <f t="shared" si="29"/>
        <v>21.69</v>
      </c>
      <c r="AP132" s="197">
        <f t="shared" si="62"/>
        <v>0.14664393114804852</v>
      </c>
      <c r="AQ132" s="197">
        <f t="shared" si="63"/>
        <v>0.81831647937491603</v>
      </c>
      <c r="AR132" s="197">
        <f t="shared" si="64"/>
        <v>0.62331696971461192</v>
      </c>
      <c r="AS132" s="258">
        <f t="shared" si="65"/>
        <v>0.55173484748318946</v>
      </c>
      <c r="AT132" s="197">
        <f t="shared" si="30"/>
        <v>3.409407029585742E-3</v>
      </c>
      <c r="AU132" s="194">
        <f t="shared" si="66"/>
        <v>21.19</v>
      </c>
      <c r="AV132" s="197">
        <f t="shared" si="31"/>
        <v>1.3799999999999995E-2</v>
      </c>
      <c r="AW132" s="197">
        <f t="shared" si="32"/>
        <v>3.4259999999999994E-3</v>
      </c>
      <c r="AX132" s="197">
        <f t="shared" si="67"/>
        <v>3.1519199999999976E-2</v>
      </c>
      <c r="AY132" s="197">
        <f t="shared" si="33"/>
        <v>2.8867475999999992E-3</v>
      </c>
      <c r="AZ132" s="197">
        <f t="shared" si="34"/>
        <v>0</v>
      </c>
      <c r="BA132" s="197">
        <f t="shared" si="68"/>
        <v>7.2596939999999985E-2</v>
      </c>
      <c r="BB132" s="258">
        <f t="shared" si="35"/>
        <v>0.72301139994292063</v>
      </c>
      <c r="BC132" s="197">
        <f t="shared" si="36"/>
        <v>8.7455319548053703E-2</v>
      </c>
      <c r="BD132" s="197">
        <f t="shared" si="69"/>
        <v>1.7491063909610742E-2</v>
      </c>
      <c r="BE132" s="197">
        <f t="shared" si="70"/>
        <v>0.10494638345766444</v>
      </c>
      <c r="BF132" s="197">
        <f t="shared" si="37"/>
        <v>0.20773291256157636</v>
      </c>
      <c r="BG132" s="197">
        <f t="shared" si="38"/>
        <v>1.8343453087588286E-3</v>
      </c>
      <c r="BH132" s="197">
        <f t="shared" si="39"/>
        <v>0.13808371287290391</v>
      </c>
      <c r="BI132" s="197">
        <f t="shared" si="71"/>
        <v>0.69193437997853779</v>
      </c>
      <c r="BJ132" s="197">
        <f t="shared" si="40"/>
        <v>7.0142404144612964</v>
      </c>
      <c r="BK132" s="288">
        <f t="shared" si="41"/>
        <v>0.90135291363096526</v>
      </c>
      <c r="BL132" s="197">
        <f t="shared" si="42"/>
        <v>0.76241743635448911</v>
      </c>
      <c r="BM132" s="197">
        <f t="shared" si="43"/>
        <v>0.15005333817763428</v>
      </c>
      <c r="BN132" s="197">
        <f t="shared" si="44"/>
        <v>59.003200290658057</v>
      </c>
      <c r="BO132" s="197">
        <f t="shared" si="72"/>
        <v>0.2095672578703352</v>
      </c>
      <c r="BP132" s="197">
        <f t="shared" si="45"/>
        <v>65.71754434027514</v>
      </c>
      <c r="BQ132" s="197">
        <f t="shared" si="46"/>
        <v>8.6396939999999978E-2</v>
      </c>
      <c r="BR132" s="288">
        <f t="shared" si="47"/>
        <v>0.13526289209192335</v>
      </c>
      <c r="BS132" s="197">
        <f t="shared" si="48"/>
        <v>0.1949995096603041</v>
      </c>
      <c r="BT132" s="197">
        <f t="shared" si="73"/>
        <v>0.72081672454476398</v>
      </c>
      <c r="BU132" s="197">
        <f t="shared" si="49"/>
        <v>0.48644171171933065</v>
      </c>
      <c r="BV132" s="197">
        <f t="shared" si="50"/>
        <v>1.7981343744622493</v>
      </c>
      <c r="BW132" s="194"/>
      <c r="BX132" s="194"/>
      <c r="BY132" s="194"/>
      <c r="BZ132" s="194"/>
      <c r="CA132" s="194"/>
      <c r="CB132" s="194"/>
      <c r="CC132" s="194"/>
      <c r="CD132" s="194"/>
      <c r="CE132" s="194"/>
      <c r="CF132" s="194"/>
      <c r="CG132" s="194"/>
      <c r="CH132" s="194"/>
      <c r="CI132" s="194"/>
      <c r="CJ132" s="194"/>
      <c r="CK132" s="194"/>
      <c r="CL132" s="194"/>
      <c r="CM132" s="194"/>
      <c r="CN132" s="194"/>
      <c r="CO132" s="194"/>
      <c r="CP132" s="194"/>
      <c r="CQ132" s="194"/>
      <c r="CR132" s="194"/>
      <c r="CS132" s="194"/>
      <c r="CT132" s="194"/>
      <c r="CU132" s="194"/>
      <c r="CV132" s="194"/>
      <c r="CW132" s="194"/>
      <c r="CX132" s="194"/>
      <c r="CY132" s="194"/>
      <c r="CZ132" s="194"/>
      <c r="DA132" s="194"/>
      <c r="DB132" s="194"/>
      <c r="DC132" s="194"/>
      <c r="DD132" s="194"/>
      <c r="DE132" s="194"/>
      <c r="DF132" s="194"/>
    </row>
    <row r="133" spans="2:110" s="192" customFormat="1" hidden="1" x14ac:dyDescent="0.35">
      <c r="B133" s="266"/>
      <c r="C133" s="266"/>
      <c r="D133" s="249"/>
      <c r="E133" s="249"/>
      <c r="F133" s="249"/>
      <c r="Q133" s="193"/>
      <c r="R133" s="194">
        <f t="shared" si="51"/>
        <v>9.2999999999999954</v>
      </c>
      <c r="S133" s="197">
        <f t="shared" si="19"/>
        <v>0.75268817204301108</v>
      </c>
      <c r="T133" s="194">
        <f t="shared" si="74"/>
        <v>0.69</v>
      </c>
      <c r="U133" s="194">
        <f t="shared" si="75"/>
        <v>1.4999999999999999E-4</v>
      </c>
      <c r="V133" s="197">
        <f t="shared" si="52"/>
        <v>0.75268817204301108</v>
      </c>
      <c r="W133" s="197">
        <f t="shared" si="20"/>
        <v>8.4301075268817249E-3</v>
      </c>
      <c r="X133" s="286">
        <f t="shared" si="21"/>
        <v>1</v>
      </c>
      <c r="Y133" s="286">
        <f t="shared" si="22"/>
        <v>0.57764981506517121</v>
      </c>
      <c r="Z133" s="286">
        <f t="shared" si="23"/>
        <v>0.70616481075473203</v>
      </c>
      <c r="AA133" s="286">
        <f t="shared" si="53"/>
        <v>0.57764981506517121</v>
      </c>
      <c r="AB133" s="197">
        <f t="shared" si="24"/>
        <v>0.7128259980865933</v>
      </c>
      <c r="AC133" s="287">
        <f t="shared" si="25"/>
        <v>1.4811533719619775E-6</v>
      </c>
      <c r="AD133" s="197">
        <f t="shared" si="54"/>
        <v>5.9747099332244078</v>
      </c>
      <c r="AE133" s="197">
        <f t="shared" si="55"/>
        <v>17.924129799673221</v>
      </c>
      <c r="AF133" s="197">
        <f t="shared" si="56"/>
        <v>8.5178571428571437E-2</v>
      </c>
      <c r="AG133" s="197">
        <f t="shared" si="57"/>
        <v>0.25553571428571425</v>
      </c>
      <c r="AH133" s="197">
        <f t="shared" si="26"/>
        <v>0.1956869437221242</v>
      </c>
      <c r="AI133" s="197">
        <f t="shared" si="58"/>
        <v>0.1956869437221242</v>
      </c>
      <c r="AJ133" s="218">
        <f t="shared" si="27"/>
        <v>390.00000000000006</v>
      </c>
      <c r="AK133" s="197">
        <f t="shared" si="59"/>
        <v>0.11925578947988706</v>
      </c>
      <c r="AL133" s="197">
        <f t="shared" si="60"/>
        <v>0.18829365987193031</v>
      </c>
      <c r="AM133" s="197">
        <f t="shared" si="61"/>
        <v>7.983651178569846E-3</v>
      </c>
      <c r="AN133" s="197">
        <f t="shared" si="28"/>
        <v>24.05</v>
      </c>
      <c r="AO133" s="197">
        <f t="shared" si="29"/>
        <v>21.69</v>
      </c>
      <c r="AP133" s="197">
        <f t="shared" si="62"/>
        <v>0.14501828692996399</v>
      </c>
      <c r="AQ133" s="197">
        <f t="shared" si="63"/>
        <v>0.81066946994765543</v>
      </c>
      <c r="AR133" s="197">
        <f t="shared" si="64"/>
        <v>0.61498252622553118</v>
      </c>
      <c r="AS133" s="258">
        <f t="shared" si="65"/>
        <v>0.54346967988307127</v>
      </c>
      <c r="AT133" s="197">
        <f t="shared" si="30"/>
        <v>3.3080240810647297E-3</v>
      </c>
      <c r="AU133" s="194">
        <f t="shared" si="66"/>
        <v>21.19</v>
      </c>
      <c r="AV133" s="197">
        <f t="shared" si="31"/>
        <v>1.3949999999999994E-2</v>
      </c>
      <c r="AW133" s="197">
        <f t="shared" si="32"/>
        <v>3.4260000000000002E-3</v>
      </c>
      <c r="AX133" s="197">
        <f t="shared" si="67"/>
        <v>3.1861799999999989E-2</v>
      </c>
      <c r="AY133" s="197">
        <f t="shared" si="33"/>
        <v>2.8867476000000005E-3</v>
      </c>
      <c r="AZ133" s="197">
        <f t="shared" si="34"/>
        <v>0</v>
      </c>
      <c r="BA133" s="197">
        <f t="shared" si="68"/>
        <v>7.2596940000000013E-2</v>
      </c>
      <c r="BB133" s="258">
        <f t="shared" si="35"/>
        <v>0.71506084953899085</v>
      </c>
      <c r="BC133" s="197">
        <f t="shared" si="36"/>
        <v>8.5542500702314728E-2</v>
      </c>
      <c r="BD133" s="197">
        <f t="shared" si="69"/>
        <v>1.7108500140462946E-2</v>
      </c>
      <c r="BE133" s="197">
        <f t="shared" si="70"/>
        <v>0.10265100084277767</v>
      </c>
      <c r="BF133" s="197">
        <f t="shared" si="37"/>
        <v>0.20773291256157633</v>
      </c>
      <c r="BG133" s="197">
        <f t="shared" si="38"/>
        <v>1.8195969174552892E-3</v>
      </c>
      <c r="BH133" s="197">
        <f t="shared" si="39"/>
        <v>0.13506355206807408</v>
      </c>
      <c r="BI133" s="197">
        <f t="shared" si="71"/>
        <v>0.68502706100091204</v>
      </c>
      <c r="BJ133" s="197">
        <f t="shared" si="40"/>
        <v>7.0073330954836708</v>
      </c>
      <c r="BK133" s="288">
        <f t="shared" si="41"/>
        <v>0.90224140173350376</v>
      </c>
      <c r="BL133" s="197">
        <f t="shared" si="42"/>
        <v>0.75347667693372844</v>
      </c>
      <c r="BM133" s="197">
        <f t="shared" si="43"/>
        <v>0.14832631101102872</v>
      </c>
      <c r="BN133" s="197">
        <f t="shared" si="44"/>
        <v>58.899578660661724</v>
      </c>
      <c r="BO133" s="197">
        <f t="shared" si="72"/>
        <v>0.20955250947903162</v>
      </c>
      <c r="BP133" s="197">
        <f t="shared" si="45"/>
        <v>65.716438210927379</v>
      </c>
      <c r="BQ133" s="197">
        <f t="shared" si="46"/>
        <v>8.6546940000000003E-2</v>
      </c>
      <c r="BR133" s="288">
        <f t="shared" si="47"/>
        <v>0.1372613683054475</v>
      </c>
      <c r="BS133" s="197">
        <f t="shared" si="48"/>
        <v>0.1956869437221242</v>
      </c>
      <c r="BT133" s="197">
        <f t="shared" si="73"/>
        <v>0.7128259980865933</v>
      </c>
      <c r="BU133" s="197">
        <f t="shared" si="49"/>
        <v>0.48965992533947417</v>
      </c>
      <c r="BV133" s="197">
        <f t="shared" si="50"/>
        <v>1.7836771241047038</v>
      </c>
      <c r="BW133" s="194"/>
      <c r="BX133" s="194"/>
      <c r="BY133" s="194"/>
      <c r="BZ133" s="194"/>
      <c r="CA133" s="194"/>
      <c r="CB133" s="194"/>
      <c r="CC133" s="194"/>
      <c r="CD133" s="194"/>
      <c r="CE133" s="194"/>
      <c r="CF133" s="194"/>
      <c r="CG133" s="194"/>
      <c r="CH133" s="194"/>
      <c r="CI133" s="194"/>
      <c r="CJ133" s="194"/>
      <c r="CK133" s="194"/>
      <c r="CL133" s="194"/>
      <c r="CM133" s="194"/>
      <c r="CN133" s="194"/>
      <c r="CO133" s="194"/>
      <c r="CP133" s="194"/>
      <c r="CQ133" s="194"/>
      <c r="CR133" s="194"/>
      <c r="CS133" s="194"/>
      <c r="CT133" s="194"/>
      <c r="CU133" s="194"/>
      <c r="CV133" s="194"/>
      <c r="CW133" s="194"/>
      <c r="CX133" s="194"/>
      <c r="CY133" s="194"/>
      <c r="CZ133" s="194"/>
      <c r="DA133" s="194"/>
      <c r="DB133" s="194"/>
      <c r="DC133" s="194"/>
      <c r="DD133" s="194"/>
      <c r="DE133" s="194"/>
      <c r="DF133" s="194"/>
    </row>
    <row r="134" spans="2:110" s="192" customFormat="1" hidden="1" x14ac:dyDescent="0.35">
      <c r="B134" s="266"/>
      <c r="C134" s="266"/>
      <c r="D134" s="249"/>
      <c r="E134" s="249"/>
      <c r="F134" s="249"/>
      <c r="Q134" s="193"/>
      <c r="R134" s="194">
        <f t="shared" si="51"/>
        <v>9.399999999999995</v>
      </c>
      <c r="S134" s="197">
        <f t="shared" si="19"/>
        <v>0.7446808510638302</v>
      </c>
      <c r="T134" s="194">
        <f t="shared" si="74"/>
        <v>0.69</v>
      </c>
      <c r="U134" s="194">
        <f t="shared" si="75"/>
        <v>1.4999999999999999E-4</v>
      </c>
      <c r="V134" s="197">
        <f t="shared" si="52"/>
        <v>0.7446808510638302</v>
      </c>
      <c r="W134" s="197">
        <f t="shared" si="20"/>
        <v>8.3404255319148995E-3</v>
      </c>
      <c r="X134" s="286">
        <f t="shared" si="21"/>
        <v>1</v>
      </c>
      <c r="Y134" s="286">
        <f t="shared" si="22"/>
        <v>0.5729693102710598</v>
      </c>
      <c r="Z134" s="286">
        <f t="shared" si="23"/>
        <v>0.70384482143863736</v>
      </c>
      <c r="AA134" s="286">
        <f t="shared" si="53"/>
        <v>0.5729693102710598</v>
      </c>
      <c r="AB134" s="197">
        <f t="shared" si="24"/>
        <v>0.70501301044505083</v>
      </c>
      <c r="AC134" s="287">
        <f t="shared" si="25"/>
        <v>1.4691520776181021E-6</v>
      </c>
      <c r="AD134" s="197">
        <f t="shared" si="54"/>
        <v>6.0409219522630559</v>
      </c>
      <c r="AE134" s="197">
        <f t="shared" si="55"/>
        <v>18.122765856789172</v>
      </c>
      <c r="AF134" s="197">
        <f t="shared" si="56"/>
        <v>8.5178571428571409E-2</v>
      </c>
      <c r="AG134" s="197">
        <f t="shared" si="57"/>
        <v>0.25553571428571431</v>
      </c>
      <c r="AH134" s="197">
        <f t="shared" si="26"/>
        <v>0.19633664204490139</v>
      </c>
      <c r="AI134" s="197">
        <f t="shared" si="58"/>
        <v>0.19633664204490139</v>
      </c>
      <c r="AJ134" s="218">
        <f t="shared" si="27"/>
        <v>389.99999999999994</v>
      </c>
      <c r="AK134" s="197">
        <f t="shared" si="59"/>
        <v>0.11794867664745701</v>
      </c>
      <c r="AL134" s="197">
        <f t="shared" si="60"/>
        <v>0.18622985181567381</v>
      </c>
      <c r="AM134" s="197">
        <f t="shared" si="61"/>
        <v>7.8961457169845709E-3</v>
      </c>
      <c r="AN134" s="197">
        <f t="shared" si="28"/>
        <v>24.05</v>
      </c>
      <c r="AO134" s="197">
        <f t="shared" si="29"/>
        <v>21.69</v>
      </c>
      <c r="AP134" s="197">
        <f t="shared" si="62"/>
        <v>0.14342880213757028</v>
      </c>
      <c r="AQ134" s="197">
        <f t="shared" si="63"/>
        <v>0.80318133146750148</v>
      </c>
      <c r="AR134" s="197">
        <f t="shared" si="64"/>
        <v>0.60684468942260017</v>
      </c>
      <c r="AS134" s="258">
        <f t="shared" si="65"/>
        <v>0.53537944916825309</v>
      </c>
      <c r="AT134" s="197">
        <f t="shared" si="30"/>
        <v>3.2102689314270636E-3</v>
      </c>
      <c r="AU134" s="194">
        <f t="shared" si="66"/>
        <v>21.19</v>
      </c>
      <c r="AV134" s="197">
        <f t="shared" si="31"/>
        <v>1.4099999999999993E-2</v>
      </c>
      <c r="AW134" s="197">
        <f t="shared" si="32"/>
        <v>3.4259999999999994E-3</v>
      </c>
      <c r="AX134" s="197">
        <f t="shared" si="67"/>
        <v>3.220439999999998E-2</v>
      </c>
      <c r="AY134" s="197">
        <f t="shared" si="33"/>
        <v>2.8867475999999992E-3</v>
      </c>
      <c r="AZ134" s="197">
        <f t="shared" si="34"/>
        <v>0</v>
      </c>
      <c r="BA134" s="197">
        <f t="shared" si="68"/>
        <v>7.2596939999999985E-2</v>
      </c>
      <c r="BB134" s="258">
        <f t="shared" si="35"/>
        <v>0.70728755442718083</v>
      </c>
      <c r="BC134" s="197">
        <f t="shared" si="36"/>
        <v>8.3692776041540518E-2</v>
      </c>
      <c r="BD134" s="197">
        <f t="shared" si="69"/>
        <v>1.6738555208308106E-2</v>
      </c>
      <c r="BE134" s="197">
        <f t="shared" si="70"/>
        <v>0.10043133124984863</v>
      </c>
      <c r="BF134" s="197">
        <f t="shared" si="37"/>
        <v>0.20773291256157633</v>
      </c>
      <c r="BG134" s="197">
        <f t="shared" si="38"/>
        <v>1.804853327353838E-3</v>
      </c>
      <c r="BH134" s="197">
        <f t="shared" si="39"/>
        <v>0.13214301103898402</v>
      </c>
      <c r="BI134" s="197">
        <f t="shared" si="71"/>
        <v>0.67833486684676014</v>
      </c>
      <c r="BJ134" s="197">
        <f t="shared" si="40"/>
        <v>7.0006409013295192</v>
      </c>
      <c r="BK134" s="288">
        <f t="shared" si="41"/>
        <v>0.90310389057122831</v>
      </c>
      <c r="BL134" s="197">
        <f t="shared" si="42"/>
        <v>0.74474903205633225</v>
      </c>
      <c r="BM134" s="197">
        <f t="shared" si="43"/>
        <v>0.14663907106899735</v>
      </c>
      <c r="BN134" s="197">
        <f t="shared" si="44"/>
        <v>58.798344264139843</v>
      </c>
      <c r="BO134" s="197">
        <f t="shared" si="72"/>
        <v>0.20953776588893017</v>
      </c>
      <c r="BP134" s="197">
        <f t="shared" si="45"/>
        <v>65.715332441669759</v>
      </c>
      <c r="BQ134" s="197">
        <f t="shared" si="46"/>
        <v>8.6696939999999972E-2</v>
      </c>
      <c r="BR134" s="288">
        <f t="shared" si="47"/>
        <v>0.13924327575242954</v>
      </c>
      <c r="BS134" s="197">
        <f t="shared" si="48"/>
        <v>0.19633664204490139</v>
      </c>
      <c r="BT134" s="197">
        <f t="shared" si="73"/>
        <v>0.70501301044505083</v>
      </c>
      <c r="BU134" s="197">
        <f t="shared" si="49"/>
        <v>0.49270525216945699</v>
      </c>
      <c r="BV134" s="197">
        <f t="shared" si="50"/>
        <v>1.7692245801710111</v>
      </c>
      <c r="BW134" s="194"/>
      <c r="BX134" s="194"/>
      <c r="BY134" s="194"/>
      <c r="BZ134" s="194"/>
      <c r="CA134" s="194"/>
      <c r="CB134" s="194"/>
      <c r="CC134" s="194"/>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row>
    <row r="135" spans="2:110" s="192" customFormat="1" hidden="1" x14ac:dyDescent="0.35">
      <c r="B135" s="266"/>
      <c r="C135" s="266"/>
      <c r="D135" s="249"/>
      <c r="E135" s="249"/>
      <c r="F135" s="249"/>
      <c r="Q135" s="193"/>
      <c r="R135" s="194">
        <f t="shared" si="51"/>
        <v>9.4999999999999947</v>
      </c>
      <c r="S135" s="197">
        <f t="shared" si="19"/>
        <v>0.73684210526315819</v>
      </c>
      <c r="T135" s="194">
        <f t="shared" si="74"/>
        <v>0.69</v>
      </c>
      <c r="U135" s="194">
        <f t="shared" si="75"/>
        <v>1.4999999999999999E-4</v>
      </c>
      <c r="V135" s="197">
        <f t="shared" si="52"/>
        <v>0.73684210526315819</v>
      </c>
      <c r="W135" s="197">
        <f t="shared" si="20"/>
        <v>8.2526315789473725E-3</v>
      </c>
      <c r="X135" s="286">
        <f t="shared" si="21"/>
        <v>1</v>
      </c>
      <c r="Y135" s="286">
        <f t="shared" si="22"/>
        <v>0.56829028151741534</v>
      </c>
      <c r="Z135" s="286">
        <f t="shared" si="23"/>
        <v>0.70154073338547096</v>
      </c>
      <c r="AA135" s="286">
        <f t="shared" si="53"/>
        <v>0.56829028151741534</v>
      </c>
      <c r="AB135" s="197">
        <f t="shared" si="24"/>
        <v>0.69737182006564347</v>
      </c>
      <c r="AC135" s="287">
        <f t="shared" si="25"/>
        <v>1.4571545679933728E-6</v>
      </c>
      <c r="AD135" s="197">
        <f t="shared" si="54"/>
        <v>6.1071130907292464</v>
      </c>
      <c r="AE135" s="197">
        <f t="shared" si="55"/>
        <v>18.321339272187739</v>
      </c>
      <c r="AF135" s="197">
        <f t="shared" si="56"/>
        <v>8.5178571428571437E-2</v>
      </c>
      <c r="AG135" s="197">
        <f t="shared" si="57"/>
        <v>0.25553571428571431</v>
      </c>
      <c r="AH135" s="197">
        <f t="shared" si="26"/>
        <v>0.19694870366656345</v>
      </c>
      <c r="AI135" s="197">
        <f t="shared" si="58"/>
        <v>0.19694870366656345</v>
      </c>
      <c r="AJ135" s="218">
        <f t="shared" si="27"/>
        <v>389.99999999999994</v>
      </c>
      <c r="AK135" s="197">
        <f t="shared" si="59"/>
        <v>0.11667030549698215</v>
      </c>
      <c r="AL135" s="197">
        <f t="shared" si="60"/>
        <v>0.18421142416828318</v>
      </c>
      <c r="AM135" s="197">
        <f t="shared" si="61"/>
        <v>7.810564384735208E-3</v>
      </c>
      <c r="AN135" s="197">
        <f t="shared" si="28"/>
        <v>24.05</v>
      </c>
      <c r="AO135" s="197">
        <f t="shared" si="29"/>
        <v>21.69</v>
      </c>
      <c r="AP135" s="197">
        <f t="shared" si="62"/>
        <v>0.14187426801297068</v>
      </c>
      <c r="AQ135" s="197">
        <f t="shared" si="63"/>
        <v>0.79584617189892515</v>
      </c>
      <c r="AR135" s="197">
        <f t="shared" si="64"/>
        <v>0.59889746823236178</v>
      </c>
      <c r="AS135" s="258">
        <f t="shared" si="65"/>
        <v>0.52745815727171164</v>
      </c>
      <c r="AT135" s="197">
        <f t="shared" si="30"/>
        <v>3.1159756059316607E-3</v>
      </c>
      <c r="AU135" s="194">
        <f t="shared" si="66"/>
        <v>21.19</v>
      </c>
      <c r="AV135" s="197">
        <f t="shared" si="31"/>
        <v>1.4249999999999992E-2</v>
      </c>
      <c r="AW135" s="197">
        <f t="shared" si="32"/>
        <v>3.4259999999999994E-3</v>
      </c>
      <c r="AX135" s="197">
        <f t="shared" si="67"/>
        <v>3.2546999999999979E-2</v>
      </c>
      <c r="AY135" s="197">
        <f t="shared" si="33"/>
        <v>2.8867475999999992E-3</v>
      </c>
      <c r="AZ135" s="197">
        <f t="shared" si="34"/>
        <v>0</v>
      </c>
      <c r="BA135" s="197">
        <f t="shared" si="68"/>
        <v>7.2596939999999985E-2</v>
      </c>
      <c r="BB135" s="258">
        <f t="shared" si="35"/>
        <v>0.69968553989964899</v>
      </c>
      <c r="BC135" s="197">
        <f t="shared" si="36"/>
        <v>8.1903363698782164E-2</v>
      </c>
      <c r="BD135" s="197">
        <f t="shared" si="69"/>
        <v>1.6380672739756432E-2</v>
      </c>
      <c r="BE135" s="197">
        <f t="shared" si="70"/>
        <v>9.82840364385386E-2</v>
      </c>
      <c r="BF135" s="197">
        <f t="shared" si="37"/>
        <v>0.20773291256157636</v>
      </c>
      <c r="BG135" s="197">
        <f t="shared" si="38"/>
        <v>1.7901143867798581E-3</v>
      </c>
      <c r="BH135" s="197">
        <f t="shared" si="39"/>
        <v>0.12931769747972238</v>
      </c>
      <c r="BI135" s="197">
        <f t="shared" si="71"/>
        <v>0.67184869208551956</v>
      </c>
      <c r="BJ135" s="197">
        <f t="shared" si="40"/>
        <v>6.9941547265682784</v>
      </c>
      <c r="BK135" s="288">
        <f t="shared" si="41"/>
        <v>0.90394140273542878</v>
      </c>
      <c r="BL135" s="197">
        <f t="shared" si="42"/>
        <v>0.73622681332297712</v>
      </c>
      <c r="BM135" s="197">
        <f t="shared" si="43"/>
        <v>0.14499024361890234</v>
      </c>
      <c r="BN135" s="197">
        <f t="shared" si="44"/>
        <v>58.699414617134138</v>
      </c>
      <c r="BO135" s="197">
        <f t="shared" si="72"/>
        <v>0.20952302694835623</v>
      </c>
      <c r="BP135" s="197">
        <f t="shared" si="45"/>
        <v>65.714227021126717</v>
      </c>
      <c r="BQ135" s="197">
        <f t="shared" si="46"/>
        <v>8.6846939999999984E-2</v>
      </c>
      <c r="BR135" s="288">
        <f t="shared" si="47"/>
        <v>0.14120781626078949</v>
      </c>
      <c r="BS135" s="197">
        <f t="shared" si="48"/>
        <v>0.19694870366656345</v>
      </c>
      <c r="BT135" s="197">
        <f t="shared" si="73"/>
        <v>0.69737182006564347</v>
      </c>
      <c r="BU135" s="197">
        <f t="shared" si="49"/>
        <v>0.49557634172311826</v>
      </c>
      <c r="BV135" s="197">
        <f t="shared" si="50"/>
        <v>1.7547765939806892</v>
      </c>
      <c r="BW135" s="194"/>
      <c r="BX135" s="194"/>
      <c r="BY135" s="194"/>
      <c r="BZ135" s="194"/>
      <c r="CA135" s="194"/>
      <c r="CB135" s="194"/>
      <c r="CC135" s="194"/>
      <c r="CD135" s="194"/>
      <c r="CE135" s="194"/>
      <c r="CF135" s="194"/>
      <c r="CG135" s="194"/>
      <c r="CH135" s="194"/>
      <c r="CI135" s="194"/>
      <c r="CJ135" s="194"/>
      <c r="CK135" s="194"/>
      <c r="CL135" s="194"/>
      <c r="CM135" s="194"/>
      <c r="CN135" s="194"/>
      <c r="CO135" s="194"/>
      <c r="CP135" s="194"/>
      <c r="CQ135" s="194"/>
      <c r="CR135" s="194"/>
      <c r="CS135" s="194"/>
      <c r="CT135" s="194"/>
      <c r="CU135" s="194"/>
      <c r="CV135" s="194"/>
      <c r="CW135" s="194"/>
      <c r="CX135" s="194"/>
      <c r="CY135" s="194"/>
      <c r="CZ135" s="194"/>
      <c r="DA135" s="194"/>
      <c r="DB135" s="194"/>
      <c r="DC135" s="194"/>
      <c r="DD135" s="194"/>
      <c r="DE135" s="194"/>
      <c r="DF135" s="194"/>
    </row>
    <row r="136" spans="2:110" s="192" customFormat="1" hidden="1" x14ac:dyDescent="0.35">
      <c r="B136" s="266"/>
      <c r="C136" s="266"/>
      <c r="D136" s="249"/>
      <c r="E136" s="249"/>
      <c r="F136" s="249"/>
      <c r="Q136" s="193"/>
      <c r="R136" s="194">
        <f t="shared" si="51"/>
        <v>9.5999999999999943</v>
      </c>
      <c r="S136" s="197">
        <f t="shared" si="19"/>
        <v>0.72916666666666707</v>
      </c>
      <c r="T136" s="194">
        <f t="shared" si="74"/>
        <v>0.69</v>
      </c>
      <c r="U136" s="194">
        <f t="shared" si="75"/>
        <v>1.4999999999999999E-4</v>
      </c>
      <c r="V136" s="197">
        <f t="shared" si="52"/>
        <v>0.72916666666666707</v>
      </c>
      <c r="W136" s="197">
        <f t="shared" si="20"/>
        <v>8.1666666666666728E-3</v>
      </c>
      <c r="X136" s="286">
        <f t="shared" si="21"/>
        <v>1</v>
      </c>
      <c r="Y136" s="286">
        <f t="shared" si="22"/>
        <v>0.56361268266059938</v>
      </c>
      <c r="Z136" s="286">
        <f t="shared" si="23"/>
        <v>0.69925236216845055</v>
      </c>
      <c r="AA136" s="286">
        <f t="shared" si="53"/>
        <v>0.56361268266059938</v>
      </c>
      <c r="AB136" s="197">
        <f t="shared" si="24"/>
        <v>0.68989675033125497</v>
      </c>
      <c r="AC136" s="287">
        <f t="shared" si="25"/>
        <v>1.4451607247707676E-6</v>
      </c>
      <c r="AD136" s="197">
        <f t="shared" si="54"/>
        <v>6.1732840013866435</v>
      </c>
      <c r="AE136" s="197">
        <f t="shared" si="55"/>
        <v>18.519852004159929</v>
      </c>
      <c r="AF136" s="197">
        <f t="shared" si="56"/>
        <v>8.5178571428571437E-2</v>
      </c>
      <c r="AG136" s="197">
        <f t="shared" si="57"/>
        <v>0.25553571428571431</v>
      </c>
      <c r="AH136" s="197">
        <f t="shared" si="26"/>
        <v>0.19752322321520702</v>
      </c>
      <c r="AI136" s="197">
        <f t="shared" si="58"/>
        <v>0.19752322321520702</v>
      </c>
      <c r="AJ136" s="218">
        <f t="shared" si="27"/>
        <v>390</v>
      </c>
      <c r="AK136" s="197">
        <f t="shared" si="59"/>
        <v>0.11541972633041896</v>
      </c>
      <c r="AL136" s="197">
        <f t="shared" si="60"/>
        <v>0.18223687744599187</v>
      </c>
      <c r="AM136" s="197">
        <f t="shared" si="61"/>
        <v>7.7268436037100565E-3</v>
      </c>
      <c r="AN136" s="197">
        <f t="shared" si="28"/>
        <v>24.05</v>
      </c>
      <c r="AO136" s="197">
        <f t="shared" si="29"/>
        <v>21.69</v>
      </c>
      <c r="AP136" s="197">
        <f t="shared" si="62"/>
        <v>0.14035352969748721</v>
      </c>
      <c r="AQ136" s="197">
        <f t="shared" si="63"/>
        <v>0.78865836193885852</v>
      </c>
      <c r="AR136" s="197">
        <f t="shared" si="64"/>
        <v>0.59113513872365142</v>
      </c>
      <c r="AS136" s="258">
        <f t="shared" si="65"/>
        <v>0.5197000709667261</v>
      </c>
      <c r="AT136" s="197">
        <f t="shared" si="30"/>
        <v>3.0249874341435859E-3</v>
      </c>
      <c r="AU136" s="194">
        <f t="shared" si="66"/>
        <v>21.19</v>
      </c>
      <c r="AV136" s="197">
        <f t="shared" si="31"/>
        <v>1.4399999999999991E-2</v>
      </c>
      <c r="AW136" s="197">
        <f t="shared" si="32"/>
        <v>3.4259999999999998E-3</v>
      </c>
      <c r="AX136" s="197">
        <f t="shared" si="67"/>
        <v>3.2889599999999977E-2</v>
      </c>
      <c r="AY136" s="197">
        <f t="shared" si="33"/>
        <v>2.8867475999999996E-3</v>
      </c>
      <c r="AZ136" s="197">
        <f t="shared" si="34"/>
        <v>0</v>
      </c>
      <c r="BA136" s="197">
        <f t="shared" si="68"/>
        <v>7.2596939999999999E-2</v>
      </c>
      <c r="BB136" s="258">
        <f t="shared" si="35"/>
        <v>0.69224909637119525</v>
      </c>
      <c r="BC136" s="197">
        <f t="shared" si="36"/>
        <v>8.0171634151692997E-2</v>
      </c>
      <c r="BD136" s="197">
        <f t="shared" si="69"/>
        <v>1.6034326830338601E-2</v>
      </c>
      <c r="BE136" s="197">
        <f t="shared" si="70"/>
        <v>9.6205960982031602E-2</v>
      </c>
      <c r="BF136" s="197">
        <f t="shared" si="37"/>
        <v>0.20773291256157633</v>
      </c>
      <c r="BG136" s="197">
        <f t="shared" si="38"/>
        <v>1.775379950380888E-3</v>
      </c>
      <c r="BH136" s="197">
        <f t="shared" si="39"/>
        <v>0.12658345962215678</v>
      </c>
      <c r="BI136" s="197">
        <f t="shared" si="71"/>
        <v>0.66555991784777646</v>
      </c>
      <c r="BJ136" s="197">
        <f t="shared" si="40"/>
        <v>6.9878659523305355</v>
      </c>
      <c r="BK136" s="288">
        <f t="shared" si="41"/>
        <v>0.90475491052804125</v>
      </c>
      <c r="BL136" s="197">
        <f t="shared" si="42"/>
        <v>0.72790270336776453</v>
      </c>
      <c r="BM136" s="197">
        <f t="shared" si="43"/>
        <v>0.1433785171316308</v>
      </c>
      <c r="BN136" s="197">
        <f t="shared" si="44"/>
        <v>58.602711027897847</v>
      </c>
      <c r="BO136" s="197">
        <f t="shared" si="72"/>
        <v>0.20950829251195721</v>
      </c>
      <c r="BP136" s="197">
        <f t="shared" si="45"/>
        <v>65.713121938396796</v>
      </c>
      <c r="BQ136" s="197">
        <f t="shared" si="46"/>
        <v>8.6996939999999995E-2</v>
      </c>
      <c r="BR136" s="288">
        <f t="shared" si="47"/>
        <v>0.14315419163836179</v>
      </c>
      <c r="BS136" s="197">
        <f t="shared" si="48"/>
        <v>0.19752322321520702</v>
      </c>
      <c r="BT136" s="197">
        <f t="shared" si="73"/>
        <v>0.68989675033125497</v>
      </c>
      <c r="BU136" s="197">
        <f t="shared" si="49"/>
        <v>0.49827193419271304</v>
      </c>
      <c r="BV136" s="197">
        <f t="shared" si="50"/>
        <v>1.7403330230506098</v>
      </c>
      <c r="BW136" s="194"/>
      <c r="BX136" s="194"/>
      <c r="BY136" s="194"/>
      <c r="BZ136" s="194"/>
      <c r="CA136" s="194"/>
      <c r="CB136" s="194"/>
      <c r="CC136" s="194"/>
      <c r="CD136" s="194"/>
      <c r="CE136" s="194"/>
      <c r="CF136" s="194"/>
      <c r="CG136" s="194"/>
      <c r="CH136" s="194"/>
      <c r="CI136" s="194"/>
      <c r="CJ136" s="194"/>
      <c r="CK136" s="194"/>
      <c r="CL136" s="194"/>
      <c r="CM136" s="194"/>
      <c r="CN136" s="194"/>
      <c r="CO136" s="194"/>
      <c r="CP136" s="194"/>
      <c r="CQ136" s="194"/>
      <c r="CR136" s="194"/>
      <c r="CS136" s="194"/>
      <c r="CT136" s="194"/>
      <c r="CU136" s="194"/>
      <c r="CV136" s="194"/>
      <c r="CW136" s="194"/>
      <c r="CX136" s="194"/>
      <c r="CY136" s="194"/>
      <c r="CZ136" s="194"/>
      <c r="DA136" s="194"/>
      <c r="DB136" s="194"/>
      <c r="DC136" s="194"/>
      <c r="DD136" s="194"/>
      <c r="DE136" s="194"/>
      <c r="DF136" s="194"/>
    </row>
    <row r="137" spans="2:110" s="192" customFormat="1" hidden="1" x14ac:dyDescent="0.35">
      <c r="B137" s="266"/>
      <c r="C137" s="266"/>
      <c r="D137" s="249"/>
      <c r="E137" s="249"/>
      <c r="F137" s="249"/>
      <c r="Q137" s="193"/>
      <c r="R137" s="194">
        <f t="shared" si="51"/>
        <v>9.699999999999994</v>
      </c>
      <c r="S137" s="197">
        <f t="shared" si="19"/>
        <v>0.72164948453608291</v>
      </c>
      <c r="T137" s="194">
        <f t="shared" si="74"/>
        <v>0.69</v>
      </c>
      <c r="U137" s="194">
        <f t="shared" si="75"/>
        <v>1.4999999999999999E-4</v>
      </c>
      <c r="V137" s="197">
        <f t="shared" si="52"/>
        <v>0.72164948453608291</v>
      </c>
      <c r="W137" s="197">
        <f t="shared" si="20"/>
        <v>8.0824742268041302E-3</v>
      </c>
      <c r="X137" s="286">
        <f t="shared" si="21"/>
        <v>1</v>
      </c>
      <c r="Y137" s="286">
        <f t="shared" si="22"/>
        <v>0.55893646946051312</v>
      </c>
      <c r="Z137" s="286">
        <f t="shared" si="23"/>
        <v>0.69697952702601451</v>
      </c>
      <c r="AA137" s="286">
        <f t="shared" si="53"/>
        <v>0.55893646946051312</v>
      </c>
      <c r="AB137" s="197">
        <f t="shared" si="24"/>
        <v>0.68258237481113515</v>
      </c>
      <c r="AC137" s="287">
        <f t="shared" si="25"/>
        <v>1.4331704345141363E-6</v>
      </c>
      <c r="AD137" s="197">
        <f t="shared" si="54"/>
        <v>6.2394353100707898</v>
      </c>
      <c r="AE137" s="197">
        <f t="shared" si="55"/>
        <v>18.71830593021237</v>
      </c>
      <c r="AF137" s="197">
        <f t="shared" si="56"/>
        <v>8.5178571428571423E-2</v>
      </c>
      <c r="AG137" s="197">
        <f t="shared" si="57"/>
        <v>0.25553571428571425</v>
      </c>
      <c r="AH137" s="197">
        <f t="shared" si="26"/>
        <v>0.1980602911542452</v>
      </c>
      <c r="AI137" s="197">
        <f t="shared" si="58"/>
        <v>0.1980602911542452</v>
      </c>
      <c r="AJ137" s="218">
        <f t="shared" si="27"/>
        <v>389.99999999999994</v>
      </c>
      <c r="AK137" s="197">
        <f t="shared" si="59"/>
        <v>0.11419603130590292</v>
      </c>
      <c r="AL137" s="197">
        <f t="shared" si="60"/>
        <v>0.18030477825199795</v>
      </c>
      <c r="AM137" s="197">
        <f t="shared" si="61"/>
        <v>7.644922597884715E-3</v>
      </c>
      <c r="AN137" s="197">
        <f t="shared" si="28"/>
        <v>24.05</v>
      </c>
      <c r="AO137" s="197">
        <f t="shared" si="29"/>
        <v>21.69</v>
      </c>
      <c r="AP137" s="197">
        <f t="shared" si="62"/>
        <v>0.13886548323069517</v>
      </c>
      <c r="AQ137" s="197">
        <f t="shared" si="63"/>
        <v>0.78161252038825779</v>
      </c>
      <c r="AR137" s="197">
        <f t="shared" si="64"/>
        <v>0.58355222923401251</v>
      </c>
      <c r="AS137" s="258">
        <f t="shared" si="65"/>
        <v>0.51209970710835695</v>
      </c>
      <c r="AT137" s="197">
        <f t="shared" si="30"/>
        <v>2.9371564322292084E-3</v>
      </c>
      <c r="AU137" s="194">
        <f t="shared" si="66"/>
        <v>21.19</v>
      </c>
      <c r="AV137" s="197">
        <f t="shared" si="31"/>
        <v>1.4549999999999992E-2</v>
      </c>
      <c r="AW137" s="197">
        <f t="shared" si="32"/>
        <v>3.4259999999999994E-3</v>
      </c>
      <c r="AX137" s="197">
        <f t="shared" si="67"/>
        <v>3.3232199999999976E-2</v>
      </c>
      <c r="AY137" s="197">
        <f t="shared" si="33"/>
        <v>2.8867475999999992E-3</v>
      </c>
      <c r="AZ137" s="197">
        <f t="shared" si="34"/>
        <v>0</v>
      </c>
      <c r="BA137" s="197">
        <f t="shared" si="68"/>
        <v>7.2596939999999985E-2</v>
      </c>
      <c r="BB137" s="258">
        <f t="shared" si="35"/>
        <v>0.68497276465113399</v>
      </c>
      <c r="BC137" s="197">
        <f t="shared" si="36"/>
        <v>7.8495100254901723E-2</v>
      </c>
      <c r="BD137" s="197">
        <f t="shared" si="69"/>
        <v>1.5699020050980346E-2</v>
      </c>
      <c r="BE137" s="197">
        <f t="shared" si="70"/>
        <v>9.4194120305882062E-2</v>
      </c>
      <c r="BF137" s="197">
        <f t="shared" si="37"/>
        <v>0.20773291256157633</v>
      </c>
      <c r="BG137" s="197">
        <f t="shared" si="38"/>
        <v>1.7606498788006162E-3</v>
      </c>
      <c r="BH137" s="197">
        <f t="shared" si="39"/>
        <v>0.12393637049798961</v>
      </c>
      <c r="BI137" s="197">
        <f t="shared" si="71"/>
        <v>0.65946038050717304</v>
      </c>
      <c r="BJ137" s="197">
        <f t="shared" si="40"/>
        <v>6.9817664149899326</v>
      </c>
      <c r="BK137" s="288">
        <f t="shared" si="41"/>
        <v>0.90554533891433198</v>
      </c>
      <c r="BL137" s="197">
        <f t="shared" si="42"/>
        <v>0.71976973350411722</v>
      </c>
      <c r="BM137" s="197">
        <f t="shared" si="43"/>
        <v>0.14180263966292439</v>
      </c>
      <c r="BN137" s="197">
        <f t="shared" si="44"/>
        <v>58.508158379775466</v>
      </c>
      <c r="BO137" s="197">
        <f t="shared" si="72"/>
        <v>0.20949356244037695</v>
      </c>
      <c r="BP137" s="197">
        <f t="shared" si="45"/>
        <v>65.712017183028266</v>
      </c>
      <c r="BQ137" s="197">
        <f t="shared" si="46"/>
        <v>8.7146939999999978E-2</v>
      </c>
      <c r="BR137" s="288">
        <f t="shared" si="47"/>
        <v>0.1450816036738766</v>
      </c>
      <c r="BS137" s="197">
        <f t="shared" si="48"/>
        <v>0.1980602911542452</v>
      </c>
      <c r="BT137" s="197">
        <f t="shared" si="73"/>
        <v>0.68258237481113515</v>
      </c>
      <c r="BU137" s="197">
        <f t="shared" si="49"/>
        <v>0.50079086046317811</v>
      </c>
      <c r="BV137" s="197">
        <f t="shared" si="50"/>
        <v>1.7258937307754292</v>
      </c>
      <c r="BW137" s="194"/>
      <c r="BX137" s="194"/>
      <c r="BY137" s="194"/>
      <c r="BZ137" s="194"/>
      <c r="CA137" s="194"/>
      <c r="CB137" s="194"/>
      <c r="CC137" s="194"/>
      <c r="CD137" s="194"/>
      <c r="CE137" s="194"/>
      <c r="CF137" s="194"/>
      <c r="CG137" s="194"/>
      <c r="CH137" s="194"/>
      <c r="CI137" s="194"/>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row>
    <row r="138" spans="2:110" s="192" customFormat="1" hidden="1" x14ac:dyDescent="0.35">
      <c r="B138" s="266"/>
      <c r="C138" s="266"/>
      <c r="D138" s="249"/>
      <c r="E138" s="249"/>
      <c r="F138" s="249"/>
      <c r="Q138" s="193"/>
      <c r="R138" s="194">
        <f t="shared" si="51"/>
        <v>9.7999999999999936</v>
      </c>
      <c r="S138" s="197">
        <f t="shared" si="19"/>
        <v>0.71428571428571475</v>
      </c>
      <c r="T138" s="194">
        <f t="shared" si="74"/>
        <v>0.69</v>
      </c>
      <c r="U138" s="194">
        <f t="shared" si="75"/>
        <v>1.4999999999999999E-4</v>
      </c>
      <c r="V138" s="197">
        <f t="shared" si="52"/>
        <v>0.71428571428571475</v>
      </c>
      <c r="W138" s="197">
        <f t="shared" si="20"/>
        <v>8.0000000000000071E-3</v>
      </c>
      <c r="X138" s="286">
        <f t="shared" si="21"/>
        <v>1</v>
      </c>
      <c r="Y138" s="286">
        <f t="shared" si="22"/>
        <v>0.55426159948344267</v>
      </c>
      <c r="Z138" s="286">
        <f t="shared" si="23"/>
        <v>0.69472205073671012</v>
      </c>
      <c r="AA138" s="286">
        <f t="shared" si="53"/>
        <v>0.55426159948344267</v>
      </c>
      <c r="AB138" s="197">
        <f t="shared" si="24"/>
        <v>0.6754235034929269</v>
      </c>
      <c r="AC138" s="287">
        <f t="shared" si="25"/>
        <v>1.4211835884190838E-6</v>
      </c>
      <c r="AD138" s="197">
        <f t="shared" si="54"/>
        <v>6.3055676170634936</v>
      </c>
      <c r="AE138" s="197">
        <f t="shared" si="55"/>
        <v>18.916702851190482</v>
      </c>
      <c r="AF138" s="197">
        <f t="shared" si="56"/>
        <v>8.5178571428571437E-2</v>
      </c>
      <c r="AG138" s="197">
        <f t="shared" si="57"/>
        <v>0.25553571428571431</v>
      </c>
      <c r="AH138" s="197">
        <f t="shared" si="26"/>
        <v>0.19855999401124452</v>
      </c>
      <c r="AI138" s="197">
        <f t="shared" si="58"/>
        <v>0.19855999401124452</v>
      </c>
      <c r="AJ138" s="218">
        <f t="shared" si="27"/>
        <v>390</v>
      </c>
      <c r="AK138" s="197">
        <f t="shared" si="59"/>
        <v>0.11299835213436667</v>
      </c>
      <c r="AL138" s="197">
        <f t="shared" si="60"/>
        <v>0.17841375563964107</v>
      </c>
      <c r="AM138" s="197">
        <f t="shared" si="61"/>
        <v>7.5647432391207827E-3</v>
      </c>
      <c r="AN138" s="197">
        <f t="shared" si="28"/>
        <v>24.05</v>
      </c>
      <c r="AO138" s="197">
        <f t="shared" si="29"/>
        <v>21.69</v>
      </c>
      <c r="AP138" s="197">
        <f t="shared" si="62"/>
        <v>0.1374090727494483</v>
      </c>
      <c r="AQ138" s="197">
        <f t="shared" si="63"/>
        <v>0.77470350049854919</v>
      </c>
      <c r="AR138" s="197">
        <f t="shared" si="64"/>
        <v>0.57614350648730461</v>
      </c>
      <c r="AS138" s="258">
        <f t="shared" si="65"/>
        <v>0.50465181885695476</v>
      </c>
      <c r="AT138" s="197">
        <f t="shared" si="30"/>
        <v>2.8523427326870867E-3</v>
      </c>
      <c r="AU138" s="194">
        <f t="shared" si="66"/>
        <v>21.19</v>
      </c>
      <c r="AV138" s="197">
        <f t="shared" si="31"/>
        <v>1.4699999999999991E-2</v>
      </c>
      <c r="AW138" s="197">
        <f t="shared" si="32"/>
        <v>3.4259999999999998E-3</v>
      </c>
      <c r="AX138" s="197">
        <f t="shared" si="67"/>
        <v>3.3574799999999974E-2</v>
      </c>
      <c r="AY138" s="197">
        <f t="shared" si="33"/>
        <v>2.8867475999999996E-3</v>
      </c>
      <c r="AZ138" s="197">
        <f t="shared" si="34"/>
        <v>0</v>
      </c>
      <c r="BA138" s="197">
        <f t="shared" si="68"/>
        <v>7.2596939999999999E-2</v>
      </c>
      <c r="BB138" s="258">
        <f t="shared" si="35"/>
        <v>0.67785132219816857</v>
      </c>
      <c r="BC138" s="197">
        <f t="shared" si="36"/>
        <v>7.6871408030471239E-2</v>
      </c>
      <c r="BD138" s="197">
        <f t="shared" si="69"/>
        <v>1.5374281606094248E-2</v>
      </c>
      <c r="BE138" s="197">
        <f t="shared" si="70"/>
        <v>9.2245689636565487E-2</v>
      </c>
      <c r="BF138" s="197">
        <f t="shared" si="37"/>
        <v>0.20773291256157636</v>
      </c>
      <c r="BG138" s="197">
        <f t="shared" si="38"/>
        <v>1.7459240383728442E-3</v>
      </c>
      <c r="BH138" s="197">
        <f t="shared" si="39"/>
        <v>0.1213727133977599</v>
      </c>
      <c r="BI138" s="197">
        <f t="shared" si="71"/>
        <v>0.65354234271640987</v>
      </c>
      <c r="BJ138" s="197">
        <f t="shared" si="40"/>
        <v>6.9758483771991688</v>
      </c>
      <c r="BK138" s="288">
        <f t="shared" si="41"/>
        <v>0.9063135682747151</v>
      </c>
      <c r="BL138" s="197">
        <f t="shared" si="42"/>
        <v>0.71182126297950754</v>
      </c>
      <c r="BM138" s="197">
        <f t="shared" si="43"/>
        <v>0.14026141548213539</v>
      </c>
      <c r="BN138" s="197">
        <f t="shared" si="44"/>
        <v>58.415684928928123</v>
      </c>
      <c r="BO138" s="197">
        <f t="shared" si="72"/>
        <v>0.2094788365999492</v>
      </c>
      <c r="BP138" s="197">
        <f t="shared" si="45"/>
        <v>65.710912744996193</v>
      </c>
      <c r="BQ138" s="197">
        <f t="shared" si="46"/>
        <v>8.729693999999999E-2</v>
      </c>
      <c r="BR138" s="288">
        <f t="shared" si="47"/>
        <v>0.14698925413788466</v>
      </c>
      <c r="BS138" s="197">
        <f t="shared" si="48"/>
        <v>0.19855999401124452</v>
      </c>
      <c r="BT138" s="197">
        <f t="shared" si="73"/>
        <v>0.6754235034929269</v>
      </c>
      <c r="BU138" s="197">
        <f t="shared" si="49"/>
        <v>0.50313204212554552</v>
      </c>
      <c r="BV138" s="197">
        <f t="shared" si="50"/>
        <v>1.7114585861275877</v>
      </c>
      <c r="BW138" s="194"/>
      <c r="BX138" s="194"/>
      <c r="BY138" s="194"/>
      <c r="BZ138" s="194"/>
      <c r="CA138" s="194"/>
      <c r="CB138" s="194"/>
      <c r="CC138" s="194"/>
      <c r="CD138" s="194"/>
      <c r="CE138" s="194"/>
      <c r="CF138" s="194"/>
      <c r="CG138" s="194"/>
      <c r="CH138" s="194"/>
      <c r="CI138" s="194"/>
      <c r="CJ138" s="194"/>
      <c r="CK138" s="194"/>
      <c r="CL138" s="194"/>
      <c r="CM138" s="194"/>
      <c r="CN138" s="194"/>
      <c r="CO138" s="194"/>
      <c r="CP138" s="194"/>
      <c r="CQ138" s="194"/>
      <c r="CR138" s="194"/>
      <c r="CS138" s="194"/>
      <c r="CT138" s="194"/>
      <c r="CU138" s="194"/>
      <c r="CV138" s="194"/>
      <c r="CW138" s="194"/>
      <c r="CX138" s="194"/>
      <c r="CY138" s="194"/>
      <c r="CZ138" s="194"/>
      <c r="DA138" s="194"/>
      <c r="DB138" s="194"/>
      <c r="DC138" s="194"/>
      <c r="DD138" s="194"/>
      <c r="DE138" s="194"/>
      <c r="DF138" s="194"/>
    </row>
    <row r="139" spans="2:110" s="192" customFormat="1" hidden="1" x14ac:dyDescent="0.35">
      <c r="B139" s="266"/>
      <c r="C139" s="266"/>
      <c r="D139" s="249"/>
      <c r="E139" s="249"/>
      <c r="F139" s="249"/>
      <c r="Q139" s="193"/>
      <c r="R139" s="194">
        <f t="shared" si="51"/>
        <v>9.8999999999999932</v>
      </c>
      <c r="S139" s="197">
        <f t="shared" si="19"/>
        <v>0.7070707070707074</v>
      </c>
      <c r="T139" s="194">
        <f t="shared" si="74"/>
        <v>0.69</v>
      </c>
      <c r="U139" s="194">
        <f t="shared" si="75"/>
        <v>1.4999999999999999E-4</v>
      </c>
      <c r="V139" s="197">
        <f t="shared" si="52"/>
        <v>0.7070707070707074</v>
      </c>
      <c r="W139" s="197">
        <f t="shared" si="20"/>
        <v>7.9191919191919247E-3</v>
      </c>
      <c r="X139" s="286">
        <f t="shared" si="21"/>
        <v>1</v>
      </c>
      <c r="Y139" s="286">
        <f t="shared" si="22"/>
        <v>0.54958803201079354</v>
      </c>
      <c r="Z139" s="286">
        <f t="shared" si="23"/>
        <v>0.69247975950050245</v>
      </c>
      <c r="AA139" s="286">
        <f t="shared" si="53"/>
        <v>0.54958803201079354</v>
      </c>
      <c r="AB139" s="197">
        <f t="shared" si="24"/>
        <v>0.66841516992159755</v>
      </c>
      <c r="AC139" s="287">
        <f t="shared" si="25"/>
        <v>1.4092000820789577E-6</v>
      </c>
      <c r="AD139" s="197">
        <f t="shared" si="54"/>
        <v>6.3716814983838965</v>
      </c>
      <c r="AE139" s="197">
        <f t="shared" si="55"/>
        <v>19.11504449515169</v>
      </c>
      <c r="AF139" s="197">
        <f t="shared" si="56"/>
        <v>8.5178571428571423E-2</v>
      </c>
      <c r="AG139" s="197">
        <f t="shared" si="57"/>
        <v>0.25553571428571431</v>
      </c>
      <c r="AH139" s="197">
        <f t="shared" si="26"/>
        <v>0.19902241459171155</v>
      </c>
      <c r="AI139" s="197">
        <f t="shared" si="58"/>
        <v>0.19902241459171155</v>
      </c>
      <c r="AJ139" s="218">
        <f t="shared" si="27"/>
        <v>390.00000000000006</v>
      </c>
      <c r="AK139" s="197">
        <f t="shared" si="59"/>
        <v>0.11182585792788327</v>
      </c>
      <c r="AL139" s="197">
        <f t="shared" si="60"/>
        <v>0.17656249771513896</v>
      </c>
      <c r="AM139" s="197">
        <f t="shared" si="61"/>
        <v>7.4862499031218936E-3</v>
      </c>
      <c r="AN139" s="197">
        <f t="shared" si="28"/>
        <v>24.05</v>
      </c>
      <c r="AO139" s="197">
        <f t="shared" si="29"/>
        <v>21.69</v>
      </c>
      <c r="AP139" s="197">
        <f t="shared" si="62"/>
        <v>0.13598328787140507</v>
      </c>
      <c r="AQ139" s="197">
        <f t="shared" si="63"/>
        <v>0.76792637721745338</v>
      </c>
      <c r="AR139" s="197">
        <f t="shared" si="64"/>
        <v>0.56890396262574172</v>
      </c>
      <c r="AS139" s="258">
        <f t="shared" si="65"/>
        <v>0.49735138280750735</v>
      </c>
      <c r="AT139" s="197">
        <f t="shared" si="30"/>
        <v>2.770414057382045E-3</v>
      </c>
      <c r="AU139" s="194">
        <f t="shared" si="66"/>
        <v>21.19</v>
      </c>
      <c r="AV139" s="197">
        <f t="shared" si="31"/>
        <v>1.484999999999999E-2</v>
      </c>
      <c r="AW139" s="197">
        <f t="shared" si="32"/>
        <v>3.4260000000000002E-3</v>
      </c>
      <c r="AX139" s="197">
        <f t="shared" si="67"/>
        <v>3.391739999999998E-2</v>
      </c>
      <c r="AY139" s="197">
        <f t="shared" si="33"/>
        <v>2.8867476000000005E-3</v>
      </c>
      <c r="AZ139" s="197">
        <f t="shared" si="34"/>
        <v>0</v>
      </c>
      <c r="BA139" s="197">
        <f t="shared" si="68"/>
        <v>7.2596940000000013E-2</v>
      </c>
      <c r="BB139" s="258">
        <f t="shared" si="35"/>
        <v>0.67087977028213563</v>
      </c>
      <c r="BC139" s="197">
        <f t="shared" si="36"/>
        <v>7.5298328150878599E-2</v>
      </c>
      <c r="BD139" s="197">
        <f t="shared" si="69"/>
        <v>1.505966563017572E-2</v>
      </c>
      <c r="BE139" s="197">
        <f t="shared" si="70"/>
        <v>9.0357993781054316E-2</v>
      </c>
      <c r="BF139" s="197">
        <f t="shared" si="37"/>
        <v>0.20773291256157633</v>
      </c>
      <c r="BG139" s="197">
        <f t="shared" si="38"/>
        <v>1.7312023008339995E-3</v>
      </c>
      <c r="BH139" s="197">
        <f t="shared" si="39"/>
        <v>0.11888896842327085</v>
      </c>
      <c r="BI139" s="197">
        <f t="shared" si="71"/>
        <v>0.64779846659552254</v>
      </c>
      <c r="BJ139" s="197">
        <f t="shared" si="40"/>
        <v>6.9701045010782821</v>
      </c>
      <c r="BK139" s="288">
        <f t="shared" si="41"/>
        <v>0.90706043697116623</v>
      </c>
      <c r="BL139" s="197">
        <f t="shared" si="42"/>
        <v>0.70405095970487741</v>
      </c>
      <c r="BM139" s="197">
        <f t="shared" si="43"/>
        <v>0.13875370192878711</v>
      </c>
      <c r="BN139" s="197">
        <f t="shared" si="44"/>
        <v>58.325222115727229</v>
      </c>
      <c r="BO139" s="197">
        <f t="shared" si="72"/>
        <v>0.20946411486241034</v>
      </c>
      <c r="BP139" s="197">
        <f t="shared" si="45"/>
        <v>65.709808614680782</v>
      </c>
      <c r="BQ139" s="197">
        <f t="shared" si="46"/>
        <v>8.7446940000000001E-2</v>
      </c>
      <c r="BR139" s="288">
        <f t="shared" si="47"/>
        <v>0.14887634478362907</v>
      </c>
      <c r="BS139" s="197">
        <f t="shared" si="48"/>
        <v>0.19902241459171155</v>
      </c>
      <c r="BT139" s="197">
        <f t="shared" si="73"/>
        <v>0.66841516992159755</v>
      </c>
      <c r="BU139" s="197">
        <f t="shared" si="49"/>
        <v>0.50529449148955785</v>
      </c>
      <c r="BV139" s="197">
        <f t="shared" si="50"/>
        <v>1.6970274633755034</v>
      </c>
      <c r="BW139" s="194"/>
      <c r="BX139" s="194"/>
      <c r="BY139" s="194"/>
      <c r="BZ139" s="194"/>
      <c r="CA139" s="194"/>
      <c r="CB139" s="194"/>
      <c r="CC139" s="194"/>
      <c r="CD139" s="194"/>
      <c r="CE139" s="194"/>
      <c r="CF139" s="194"/>
      <c r="CG139" s="194"/>
      <c r="CH139" s="194"/>
      <c r="CI139" s="194"/>
      <c r="CJ139" s="194"/>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row>
    <row r="140" spans="2:110" s="192" customFormat="1" hidden="1" x14ac:dyDescent="0.35">
      <c r="B140" s="266"/>
      <c r="C140" s="266"/>
      <c r="D140" s="249"/>
      <c r="E140" s="249"/>
      <c r="F140" s="249"/>
      <c r="Q140" s="193"/>
      <c r="R140" s="194">
        <f t="shared" si="51"/>
        <v>9.9999999999999929</v>
      </c>
      <c r="S140" s="197">
        <f t="shared" si="19"/>
        <v>0.70000000000000051</v>
      </c>
      <c r="T140" s="194">
        <f t="shared" si="74"/>
        <v>0.69</v>
      </c>
      <c r="U140" s="194">
        <f t="shared" si="75"/>
        <v>1.4999999999999999E-4</v>
      </c>
      <c r="V140" s="197">
        <f t="shared" si="52"/>
        <v>0.70000000000000051</v>
      </c>
      <c r="W140" s="197">
        <f t="shared" si="20"/>
        <v>7.8400000000000067E-3</v>
      </c>
      <c r="X140" s="286">
        <f t="shared" si="21"/>
        <v>1</v>
      </c>
      <c r="Y140" s="286">
        <f t="shared" si="22"/>
        <v>0.5449157279533039</v>
      </c>
      <c r="Z140" s="286">
        <f t="shared" si="23"/>
        <v>0.69025248282607976</v>
      </c>
      <c r="AA140" s="286">
        <f t="shared" si="53"/>
        <v>0.5449157279533039</v>
      </c>
      <c r="AB140" s="197">
        <f t="shared" si="24"/>
        <v>0.6615526191758494</v>
      </c>
      <c r="AC140" s="287">
        <f t="shared" si="25"/>
        <v>1.3972198152648817E-6</v>
      </c>
      <c r="AD140" s="197">
        <f t="shared" si="54"/>
        <v>6.4377775070020427</v>
      </c>
      <c r="AE140" s="197">
        <f t="shared" si="55"/>
        <v>19.313332521006128</v>
      </c>
      <c r="AF140" s="197">
        <f t="shared" si="56"/>
        <v>8.5178571428571437E-2</v>
      </c>
      <c r="AG140" s="197">
        <f t="shared" si="57"/>
        <v>0.25553571428571425</v>
      </c>
      <c r="AH140" s="197">
        <f t="shared" si="26"/>
        <v>0.19944763217898046</v>
      </c>
      <c r="AI140" s="197">
        <f t="shared" si="58"/>
        <v>0.19944763217898046</v>
      </c>
      <c r="AJ140" s="218">
        <f t="shared" si="27"/>
        <v>390.00000000000006</v>
      </c>
      <c r="AK140" s="197">
        <f t="shared" si="59"/>
        <v>0.11067775318811961</v>
      </c>
      <c r="AL140" s="197">
        <f t="shared" si="60"/>
        <v>0.17474974846154512</v>
      </c>
      <c r="AM140" s="197">
        <f t="shared" si="61"/>
        <v>7.4093893347695139E-3</v>
      </c>
      <c r="AN140" s="197">
        <f t="shared" si="28"/>
        <v>24.05</v>
      </c>
      <c r="AO140" s="197">
        <f t="shared" si="29"/>
        <v>21.69</v>
      </c>
      <c r="AP140" s="197">
        <f t="shared" si="62"/>
        <v>0.1345871612489338</v>
      </c>
      <c r="AQ140" s="197">
        <f t="shared" si="63"/>
        <v>0.76127643526533961</v>
      </c>
      <c r="AR140" s="197">
        <f t="shared" si="64"/>
        <v>0.56182880308635919</v>
      </c>
      <c r="AS140" s="258">
        <f t="shared" si="65"/>
        <v>0.49019358695533566</v>
      </c>
      <c r="AT140" s="197">
        <f t="shared" si="30"/>
        <v>2.6912452301519484E-3</v>
      </c>
      <c r="AU140" s="194">
        <f t="shared" si="66"/>
        <v>21.19</v>
      </c>
      <c r="AV140" s="197">
        <f t="shared" si="31"/>
        <v>1.4999999999999989E-2</v>
      </c>
      <c r="AW140" s="197">
        <f t="shared" si="32"/>
        <v>3.4260000000000002E-3</v>
      </c>
      <c r="AX140" s="197">
        <f t="shared" si="67"/>
        <v>3.4259999999999978E-2</v>
      </c>
      <c r="AY140" s="197">
        <f t="shared" si="33"/>
        <v>2.8867476000000005E-3</v>
      </c>
      <c r="AZ140" s="197">
        <f t="shared" si="34"/>
        <v>0</v>
      </c>
      <c r="BA140" s="197">
        <f t="shared" si="68"/>
        <v>7.2596940000000013E-2</v>
      </c>
      <c r="BB140" s="258">
        <f t="shared" si="35"/>
        <v>0.66405332198318978</v>
      </c>
      <c r="BC140" s="197">
        <f t="shared" si="36"/>
        <v>7.3773748055295033E-2</v>
      </c>
      <c r="BD140" s="197">
        <f t="shared" si="69"/>
        <v>1.4754749611059007E-2</v>
      </c>
      <c r="BE140" s="197">
        <f t="shared" si="70"/>
        <v>8.8528497666354039E-2</v>
      </c>
      <c r="BF140" s="197">
        <f t="shared" si="37"/>
        <v>0.20773291256157633</v>
      </c>
      <c r="BG140" s="197">
        <f t="shared" si="38"/>
        <v>1.716484543052907E-3</v>
      </c>
      <c r="BH140" s="197">
        <f t="shared" si="39"/>
        <v>0.11648180003993848</v>
      </c>
      <c r="BI140" s="197">
        <f t="shared" si="71"/>
        <v>0.64222178889000758</v>
      </c>
      <c r="BJ140" s="197">
        <f t="shared" si="40"/>
        <v>6.9645278233727668</v>
      </c>
      <c r="BK140" s="288">
        <f t="shared" si="41"/>
        <v>0.90778674374237855</v>
      </c>
      <c r="BL140" s="197">
        <f t="shared" si="42"/>
        <v>0.69645278233727714</v>
      </c>
      <c r="BM140" s="197">
        <f t="shared" si="43"/>
        <v>0.13727840647908576</v>
      </c>
      <c r="BN140" s="197">
        <f t="shared" si="44"/>
        <v>58.236704388745146</v>
      </c>
      <c r="BO140" s="197">
        <f t="shared" si="72"/>
        <v>0.20944939710462923</v>
      </c>
      <c r="BP140" s="197">
        <f t="shared" si="45"/>
        <v>65.708704782847192</v>
      </c>
      <c r="BQ140" s="197">
        <f t="shared" si="46"/>
        <v>8.7596939999999998E-2</v>
      </c>
      <c r="BR140" s="288">
        <f t="shared" si="47"/>
        <v>0.15074207734786751</v>
      </c>
      <c r="BS140" s="197">
        <f t="shared" si="48"/>
        <v>0.19944763217898046</v>
      </c>
      <c r="BT140" s="197">
        <f t="shared" si="73"/>
        <v>0.6615526191758494</v>
      </c>
      <c r="BU140" s="197">
        <f t="shared" si="49"/>
        <v>0.50727731159554268</v>
      </c>
      <c r="BV140" s="197">
        <f t="shared" si="50"/>
        <v>1.6826002418186752</v>
      </c>
      <c r="BW140" s="194"/>
      <c r="BX140" s="194"/>
      <c r="BY140" s="194"/>
      <c r="BZ140" s="194"/>
      <c r="CA140" s="194"/>
      <c r="CB140" s="194"/>
      <c r="CC140" s="194"/>
      <c r="CD140" s="194"/>
      <c r="CE140" s="194"/>
      <c r="CF140" s="194"/>
      <c r="CG140" s="194"/>
      <c r="CH140" s="194"/>
      <c r="CI140" s="194"/>
      <c r="CJ140" s="194"/>
      <c r="CK140" s="194"/>
      <c r="CL140" s="194"/>
      <c r="CM140" s="194"/>
      <c r="CN140" s="194"/>
      <c r="CO140" s="194"/>
      <c r="CP140" s="194"/>
      <c r="CQ140" s="194"/>
      <c r="CR140" s="194"/>
      <c r="CS140" s="194"/>
      <c r="CT140" s="194"/>
      <c r="CU140" s="194"/>
      <c r="CV140" s="194"/>
      <c r="CW140" s="194"/>
      <c r="CX140" s="194"/>
      <c r="CY140" s="194"/>
      <c r="CZ140" s="194"/>
      <c r="DA140" s="194"/>
      <c r="DB140" s="194"/>
      <c r="DC140" s="194"/>
      <c r="DD140" s="194"/>
      <c r="DE140" s="194"/>
      <c r="DF140" s="194"/>
    </row>
    <row r="141" spans="2:110" s="192" customFormat="1" hidden="1" x14ac:dyDescent="0.35">
      <c r="B141" s="266"/>
      <c r="C141" s="266"/>
      <c r="D141" s="249"/>
      <c r="E141" s="249"/>
      <c r="F141" s="249"/>
      <c r="Q141" s="193"/>
      <c r="R141" s="194">
        <f t="shared" si="51"/>
        <v>10.099999999999993</v>
      </c>
      <c r="S141" s="197">
        <f t="shared" si="19"/>
        <v>0.69306930693069357</v>
      </c>
      <c r="T141" s="194">
        <f t="shared" si="74"/>
        <v>0.69</v>
      </c>
      <c r="U141" s="194">
        <f t="shared" si="75"/>
        <v>1.4999999999999999E-4</v>
      </c>
      <c r="V141" s="197">
        <f t="shared" si="52"/>
        <v>0.69306930693069357</v>
      </c>
      <c r="W141" s="197">
        <f t="shared" si="20"/>
        <v>7.7623762376237693E-3</v>
      </c>
      <c r="X141" s="286">
        <f t="shared" si="21"/>
        <v>1</v>
      </c>
      <c r="Y141" s="286">
        <f t="shared" si="22"/>
        <v>0.5402446497703558</v>
      </c>
      <c r="Z141" s="286">
        <f t="shared" si="23"/>
        <v>0.68804005342376429</v>
      </c>
      <c r="AA141" s="286">
        <f t="shared" si="53"/>
        <v>0.5402446497703558</v>
      </c>
      <c r="AB141" s="197">
        <f t="shared" si="24"/>
        <v>0.65483129661862205</v>
      </c>
      <c r="AC141" s="287">
        <f t="shared" si="25"/>
        <v>1.385242691718861E-6</v>
      </c>
      <c r="AD141" s="197">
        <f t="shared" si="54"/>
        <v>6.5038561739803331</v>
      </c>
      <c r="AE141" s="197">
        <f t="shared" si="55"/>
        <v>19.511568521941001</v>
      </c>
      <c r="AF141" s="197">
        <f t="shared" si="56"/>
        <v>8.5178571428571423E-2</v>
      </c>
      <c r="AG141" s="197">
        <f t="shared" si="57"/>
        <v>0.25553571428571431</v>
      </c>
      <c r="AH141" s="197">
        <f t="shared" si="26"/>
        <v>0.19983572272125094</v>
      </c>
      <c r="AI141" s="197">
        <f t="shared" si="58"/>
        <v>0.19983572272125094</v>
      </c>
      <c r="AJ141" s="218">
        <f t="shared" si="27"/>
        <v>390</v>
      </c>
      <c r="AK141" s="197">
        <f t="shared" si="59"/>
        <v>0.10955327592429547</v>
      </c>
      <c r="AL141" s="197">
        <f t="shared" si="60"/>
        <v>0.17297430476718317</v>
      </c>
      <c r="AM141" s="197">
        <f t="shared" si="61"/>
        <v>7.3341105221285683E-3</v>
      </c>
      <c r="AN141" s="197">
        <f t="shared" si="28"/>
        <v>24.05</v>
      </c>
      <c r="AO141" s="197">
        <f t="shared" si="29"/>
        <v>21.69</v>
      </c>
      <c r="AP141" s="197">
        <f t="shared" si="62"/>
        <v>0.13321976628049939</v>
      </c>
      <c r="AQ141" s="197">
        <f t="shared" si="63"/>
        <v>0.75474915797924758</v>
      </c>
      <c r="AR141" s="197">
        <f t="shared" si="64"/>
        <v>0.55491343525799652</v>
      </c>
      <c r="AS141" s="258">
        <f t="shared" si="65"/>
        <v>0.48317381943468968</v>
      </c>
      <c r="AT141" s="197">
        <f t="shared" si="30"/>
        <v>2.6147177256155888E-3</v>
      </c>
      <c r="AU141" s="194">
        <f t="shared" si="66"/>
        <v>21.19</v>
      </c>
      <c r="AV141" s="197">
        <f t="shared" si="31"/>
        <v>1.514999999999999E-2</v>
      </c>
      <c r="AW141" s="197">
        <f t="shared" si="32"/>
        <v>3.4259999999999998E-3</v>
      </c>
      <c r="AX141" s="197">
        <f t="shared" si="67"/>
        <v>3.4602599999999969E-2</v>
      </c>
      <c r="AY141" s="197">
        <f t="shared" si="33"/>
        <v>2.8867475999999996E-3</v>
      </c>
      <c r="AZ141" s="197">
        <f t="shared" si="34"/>
        <v>0</v>
      </c>
      <c r="BA141" s="197">
        <f t="shared" si="68"/>
        <v>7.2596939999999999E-2</v>
      </c>
      <c r="BB141" s="258">
        <f t="shared" si="35"/>
        <v>0.65736739096504182</v>
      </c>
      <c r="BC141" s="197">
        <f t="shared" si="36"/>
        <v>7.2295664645610339E-2</v>
      </c>
      <c r="BD141" s="197">
        <f t="shared" si="69"/>
        <v>1.4459132929122069E-2</v>
      </c>
      <c r="BE141" s="197">
        <f t="shared" si="70"/>
        <v>8.6754797574732409E-2</v>
      </c>
      <c r="BF141" s="197">
        <f t="shared" si="37"/>
        <v>0.20773291256157636</v>
      </c>
      <c r="BG141" s="197">
        <f t="shared" si="38"/>
        <v>1.7017706467766206E-3</v>
      </c>
      <c r="BH141" s="197">
        <f t="shared" si="39"/>
        <v>0.11414804554450199</v>
      </c>
      <c r="BI141" s="197">
        <f t="shared" si="71"/>
        <v>0.63680569793370223</v>
      </c>
      <c r="BJ141" s="197">
        <f t="shared" si="40"/>
        <v>6.9591117324164617</v>
      </c>
      <c r="BK141" s="288">
        <f t="shared" si="41"/>
        <v>0.90849324994059544</v>
      </c>
      <c r="BL141" s="197">
        <f t="shared" si="42"/>
        <v>0.68902096360559073</v>
      </c>
      <c r="BM141" s="197">
        <f t="shared" si="43"/>
        <v>0.13583448400611497</v>
      </c>
      <c r="BN141" s="197">
        <f t="shared" si="44"/>
        <v>58.150069040366901</v>
      </c>
      <c r="BO141" s="197">
        <f t="shared" si="72"/>
        <v>0.20943468320835298</v>
      </c>
      <c r="BP141" s="197">
        <f t="shared" si="45"/>
        <v>65.707601240626474</v>
      </c>
      <c r="BQ141" s="197">
        <f t="shared" si="46"/>
        <v>8.7746939999999995E-2</v>
      </c>
      <c r="BR141" s="288">
        <f t="shared" si="47"/>
        <v>0.15258565355164794</v>
      </c>
      <c r="BS141" s="197">
        <f t="shared" si="48"/>
        <v>0.19983572272125094</v>
      </c>
      <c r="BT141" s="197">
        <f t="shared" si="73"/>
        <v>0.65483129661862205</v>
      </c>
      <c r="BU141" s="197">
        <f t="shared" si="49"/>
        <v>0.50907969622559446</v>
      </c>
      <c r="BV141" s="197">
        <f t="shared" si="50"/>
        <v>1.6681768055385326</v>
      </c>
      <c r="BW141" s="194"/>
      <c r="BX141" s="194"/>
      <c r="BY141" s="194"/>
      <c r="BZ141" s="194"/>
      <c r="CA141" s="194"/>
      <c r="CB141" s="194"/>
      <c r="CC141" s="194"/>
      <c r="CD141" s="194"/>
      <c r="CE141" s="194"/>
      <c r="CF141" s="194"/>
      <c r="CG141" s="194"/>
      <c r="CH141" s="194"/>
      <c r="CI141" s="194"/>
      <c r="CJ141" s="194"/>
      <c r="CK141" s="194"/>
      <c r="CL141" s="194"/>
      <c r="CM141" s="194"/>
      <c r="CN141" s="194"/>
      <c r="CO141" s="194"/>
      <c r="CP141" s="194"/>
      <c r="CQ141" s="194"/>
      <c r="CR141" s="194"/>
      <c r="CS141" s="194"/>
      <c r="CT141" s="194"/>
      <c r="CU141" s="194"/>
      <c r="CV141" s="194"/>
      <c r="CW141" s="194"/>
      <c r="CX141" s="194"/>
      <c r="CY141" s="194"/>
      <c r="CZ141" s="194"/>
      <c r="DA141" s="194"/>
      <c r="DB141" s="194"/>
      <c r="DC141" s="194"/>
      <c r="DD141" s="194"/>
      <c r="DE141" s="194"/>
      <c r="DF141" s="194"/>
    </row>
    <row r="142" spans="2:110" s="192" customFormat="1" hidden="1" x14ac:dyDescent="0.35">
      <c r="B142" s="266"/>
      <c r="C142" s="266"/>
      <c r="D142" s="249"/>
      <c r="E142" s="249"/>
      <c r="F142" s="249"/>
      <c r="Q142" s="193"/>
      <c r="R142" s="194">
        <f t="shared" si="51"/>
        <v>10.199999999999992</v>
      </c>
      <c r="S142" s="197">
        <f t="shared" si="19"/>
        <v>0.68627450980392213</v>
      </c>
      <c r="T142" s="194">
        <f t="shared" si="74"/>
        <v>0.69</v>
      </c>
      <c r="U142" s="194">
        <f t="shared" si="75"/>
        <v>1.4999999999999999E-4</v>
      </c>
      <c r="V142" s="197">
        <f t="shared" si="52"/>
        <v>0.68627450980392213</v>
      </c>
      <c r="W142" s="197">
        <f t="shared" si="20"/>
        <v>7.686274509803929E-3</v>
      </c>
      <c r="X142" s="286">
        <f t="shared" si="21"/>
        <v>1</v>
      </c>
      <c r="Y142" s="286">
        <f t="shared" si="22"/>
        <v>0.53557476139403437</v>
      </c>
      <c r="Z142" s="286">
        <f t="shared" si="23"/>
        <v>0.68584230710366723</v>
      </c>
      <c r="AA142" s="286">
        <f t="shared" si="53"/>
        <v>0.53557476139403437</v>
      </c>
      <c r="AB142" s="197">
        <f t="shared" si="24"/>
        <v>0.64824683736375954</v>
      </c>
      <c r="AC142" s="287">
        <f t="shared" si="25"/>
        <v>1.3732686189590625E-6</v>
      </c>
      <c r="AD142" s="197">
        <f t="shared" si="54"/>
        <v>6.5699180095478065</v>
      </c>
      <c r="AE142" s="197">
        <f t="shared" si="55"/>
        <v>19.70975402864342</v>
      </c>
      <c r="AF142" s="197">
        <f t="shared" si="56"/>
        <v>8.5178571428571437E-2</v>
      </c>
      <c r="AG142" s="197">
        <f t="shared" si="57"/>
        <v>0.25553571428571431</v>
      </c>
      <c r="AH142" s="197">
        <f t="shared" si="26"/>
        <v>0.20018675900673752</v>
      </c>
      <c r="AI142" s="197">
        <f t="shared" si="58"/>
        <v>0.20018675900673752</v>
      </c>
      <c r="AJ142" s="218">
        <f t="shared" si="27"/>
        <v>389.99999999999994</v>
      </c>
      <c r="AK142" s="197">
        <f t="shared" si="59"/>
        <v>0.10845169589095698</v>
      </c>
      <c r="AL142" s="197">
        <f t="shared" si="60"/>
        <v>0.17123501364325724</v>
      </c>
      <c r="AM142" s="197">
        <f t="shared" si="61"/>
        <v>7.2603645784741081E-3</v>
      </c>
      <c r="AN142" s="197">
        <f t="shared" si="28"/>
        <v>24.05</v>
      </c>
      <c r="AO142" s="197">
        <f t="shared" si="29"/>
        <v>21.69</v>
      </c>
      <c r="AP142" s="197">
        <f t="shared" si="62"/>
        <v>0.13188021496774785</v>
      </c>
      <c r="AQ142" s="197">
        <f t="shared" si="63"/>
        <v>0.74834021686712826</v>
      </c>
      <c r="AR142" s="197">
        <f t="shared" si="64"/>
        <v>0.54815345786039082</v>
      </c>
      <c r="AS142" s="258">
        <f t="shared" si="65"/>
        <v>0.47628765797225325</v>
      </c>
      <c r="AT142" s="197">
        <f t="shared" si="30"/>
        <v>2.5407192511309744E-3</v>
      </c>
      <c r="AU142" s="194">
        <f t="shared" si="66"/>
        <v>21.19</v>
      </c>
      <c r="AV142" s="197">
        <f t="shared" si="31"/>
        <v>1.5299999999999989E-2</v>
      </c>
      <c r="AW142" s="197">
        <f t="shared" si="32"/>
        <v>3.4259999999999994E-3</v>
      </c>
      <c r="AX142" s="197">
        <f t="shared" si="67"/>
        <v>3.4945199999999968E-2</v>
      </c>
      <c r="AY142" s="197">
        <f t="shared" si="33"/>
        <v>2.8867475999999992E-3</v>
      </c>
      <c r="AZ142" s="197">
        <f t="shared" si="34"/>
        <v>0</v>
      </c>
      <c r="BA142" s="197">
        <f t="shared" si="68"/>
        <v>7.2596939999999985E-2</v>
      </c>
      <c r="BB142" s="258">
        <f t="shared" si="35"/>
        <v>0.65081758096432185</v>
      </c>
      <c r="BC142" s="197">
        <f t="shared" si="36"/>
        <v>7.0862177513713695E-2</v>
      </c>
      <c r="BD142" s="197">
        <f t="shared" si="69"/>
        <v>1.417243550274274E-2</v>
      </c>
      <c r="BE142" s="197">
        <f t="shared" si="70"/>
        <v>8.5034613016456428E-2</v>
      </c>
      <c r="BF142" s="197">
        <f t="shared" si="37"/>
        <v>0.20773291256157636</v>
      </c>
      <c r="BG142" s="197">
        <f t="shared" si="38"/>
        <v>1.6870604983912081E-3</v>
      </c>
      <c r="BH142" s="197">
        <f t="shared" si="39"/>
        <v>0.11188470437153816</v>
      </c>
      <c r="BI142" s="197">
        <f t="shared" si="71"/>
        <v>0.63154391226684092</v>
      </c>
      <c r="BJ142" s="197">
        <f t="shared" si="40"/>
        <v>6.9538499467495996</v>
      </c>
      <c r="BK142" s="288">
        <f t="shared" si="41"/>
        <v>0.9091806816219784</v>
      </c>
      <c r="BL142" s="197">
        <f t="shared" si="42"/>
        <v>0.68174999477937304</v>
      </c>
      <c r="BM142" s="197">
        <f t="shared" si="43"/>
        <v>0.13442093421887882</v>
      </c>
      <c r="BN142" s="197">
        <f t="shared" si="44"/>
        <v>58.065256053132728</v>
      </c>
      <c r="BO142" s="197">
        <f t="shared" si="72"/>
        <v>0.20941997305996757</v>
      </c>
      <c r="BP142" s="197">
        <f t="shared" si="45"/>
        <v>65.70649797949757</v>
      </c>
      <c r="BQ142" s="197">
        <f t="shared" si="46"/>
        <v>8.7896939999999979E-2</v>
      </c>
      <c r="BR142" s="288">
        <f t="shared" si="47"/>
        <v>0.15440627510104149</v>
      </c>
      <c r="BS142" s="197">
        <f t="shared" si="48"/>
        <v>0.20018675900673752</v>
      </c>
      <c r="BT142" s="197">
        <f t="shared" si="73"/>
        <v>0.64824683736375954</v>
      </c>
      <c r="BU142" s="197">
        <f t="shared" si="49"/>
        <v>0.51070092991411264</v>
      </c>
      <c r="BV142" s="197">
        <f t="shared" si="50"/>
        <v>1.6537570431639401</v>
      </c>
      <c r="BW142" s="194"/>
      <c r="BX142" s="194"/>
      <c r="BY142" s="194"/>
      <c r="BZ142" s="194"/>
      <c r="CA142" s="194"/>
      <c r="CB142" s="194"/>
      <c r="CC142" s="194"/>
      <c r="CD142" s="194"/>
      <c r="CE142" s="194"/>
      <c r="CF142" s="194"/>
      <c r="CG142" s="194"/>
      <c r="CH142" s="194"/>
      <c r="CI142" s="194"/>
      <c r="CJ142" s="194"/>
      <c r="CK142" s="194"/>
      <c r="CL142" s="194"/>
      <c r="CM142" s="194"/>
      <c r="CN142" s="194"/>
      <c r="CO142" s="194"/>
      <c r="CP142" s="194"/>
      <c r="CQ142" s="194"/>
      <c r="CR142" s="194"/>
      <c r="CS142" s="194"/>
      <c r="CT142" s="194"/>
      <c r="CU142" s="194"/>
      <c r="CV142" s="194"/>
      <c r="CW142" s="194"/>
      <c r="CX142" s="194"/>
      <c r="CY142" s="194"/>
      <c r="CZ142" s="194"/>
      <c r="DA142" s="194"/>
      <c r="DB142" s="194"/>
      <c r="DC142" s="194"/>
      <c r="DD142" s="194"/>
      <c r="DE142" s="194"/>
      <c r="DF142" s="194"/>
    </row>
    <row r="143" spans="2:110" s="192" customFormat="1" hidden="1" x14ac:dyDescent="0.35">
      <c r="B143" s="266"/>
      <c r="C143" s="266"/>
      <c r="D143" s="249"/>
      <c r="E143" s="249"/>
      <c r="F143" s="249"/>
      <c r="Q143" s="193"/>
      <c r="R143" s="194">
        <f t="shared" si="51"/>
        <v>10.299999999999992</v>
      </c>
      <c r="S143" s="197">
        <f t="shared" si="19"/>
        <v>0.67961165048543748</v>
      </c>
      <c r="T143" s="194">
        <f t="shared" si="74"/>
        <v>0.69</v>
      </c>
      <c r="U143" s="194">
        <f t="shared" si="75"/>
        <v>1.4999999999999999E-4</v>
      </c>
      <c r="V143" s="197">
        <f t="shared" si="52"/>
        <v>0.67961165048543748</v>
      </c>
      <c r="W143" s="197">
        <f t="shared" si="20"/>
        <v>7.6116504854369009E-3</v>
      </c>
      <c r="X143" s="286">
        <f t="shared" si="21"/>
        <v>1</v>
      </c>
      <c r="Y143" s="286">
        <f t="shared" si="22"/>
        <v>0.53090602815761201</v>
      </c>
      <c r="Z143" s="286">
        <f t="shared" si="23"/>
        <v>0.68365908267875286</v>
      </c>
      <c r="AA143" s="286">
        <f t="shared" si="53"/>
        <v>0.53090602815761201</v>
      </c>
      <c r="AB143" s="197">
        <f t="shared" si="24"/>
        <v>0.64179505640584356</v>
      </c>
      <c r="AC143" s="287">
        <f t="shared" si="25"/>
        <v>1.3612975080964411E-6</v>
      </c>
      <c r="AD143" s="197">
        <f t="shared" si="54"/>
        <v>6.6359635041118299</v>
      </c>
      <c r="AE143" s="197">
        <f t="shared" si="55"/>
        <v>19.907890512335491</v>
      </c>
      <c r="AF143" s="197">
        <f t="shared" si="56"/>
        <v>8.5178571428571423E-2</v>
      </c>
      <c r="AG143" s="197">
        <f t="shared" si="57"/>
        <v>0.25553571428571431</v>
      </c>
      <c r="AH143" s="197">
        <f t="shared" si="26"/>
        <v>0.20050081082780777</v>
      </c>
      <c r="AI143" s="197">
        <f t="shared" si="58"/>
        <v>0.20050081082780777</v>
      </c>
      <c r="AJ143" s="218">
        <f t="shared" si="27"/>
        <v>390</v>
      </c>
      <c r="AK143" s="197">
        <f t="shared" si="59"/>
        <v>0.10737231293669763</v>
      </c>
      <c r="AL143" s="197">
        <f t="shared" si="60"/>
        <v>0.16953076961663791</v>
      </c>
      <c r="AM143" s="197">
        <f t="shared" si="61"/>
        <v>7.1881046317454492E-3</v>
      </c>
      <c r="AN143" s="197">
        <f t="shared" si="28"/>
        <v>24.05</v>
      </c>
      <c r="AO143" s="197">
        <f t="shared" si="29"/>
        <v>21.69</v>
      </c>
      <c r="AP143" s="197">
        <f t="shared" si="62"/>
        <v>0.13056765590750624</v>
      </c>
      <c r="AQ143" s="197">
        <f t="shared" si="63"/>
        <v>0.7420454618197474</v>
      </c>
      <c r="AR143" s="197">
        <f t="shared" si="64"/>
        <v>0.54154465099193971</v>
      </c>
      <c r="AS143" s="258">
        <f t="shared" si="65"/>
        <v>0.46953086000249256</v>
      </c>
      <c r="AT143" s="197">
        <f t="shared" si="30"/>
        <v>2.4691433591404193E-3</v>
      </c>
      <c r="AU143" s="194">
        <f t="shared" si="66"/>
        <v>21.19</v>
      </c>
      <c r="AV143" s="197">
        <f t="shared" si="31"/>
        <v>1.5449999999999988E-2</v>
      </c>
      <c r="AW143" s="197">
        <f t="shared" si="32"/>
        <v>3.4259999999999998E-3</v>
      </c>
      <c r="AX143" s="197">
        <f t="shared" si="67"/>
        <v>3.5287799999999966E-2</v>
      </c>
      <c r="AY143" s="197">
        <f t="shared" si="33"/>
        <v>2.8867475999999996E-3</v>
      </c>
      <c r="AZ143" s="197">
        <f t="shared" si="34"/>
        <v>0</v>
      </c>
      <c r="BA143" s="197">
        <f t="shared" si="68"/>
        <v>7.2596939999999999E-2</v>
      </c>
      <c r="BB143" s="258">
        <f t="shared" si="35"/>
        <v>0.64439967594306768</v>
      </c>
      <c r="BC143" s="197">
        <f t="shared" si="36"/>
        <v>6.9471482656080288E-2</v>
      </c>
      <c r="BD143" s="197">
        <f t="shared" si="69"/>
        <v>1.3894296531216058E-2</v>
      </c>
      <c r="BE143" s="197">
        <f t="shared" si="70"/>
        <v>8.3365779187296346E-2</v>
      </c>
      <c r="BF143" s="197">
        <f t="shared" si="37"/>
        <v>0.20773291256157633</v>
      </c>
      <c r="BG143" s="197">
        <f t="shared" si="38"/>
        <v>1.6723539886964777E-3</v>
      </c>
      <c r="BH143" s="197">
        <f t="shared" si="39"/>
        <v>0.10968892816938546</v>
      </c>
      <c r="BI143" s="197">
        <f t="shared" si="71"/>
        <v>0.62643046077360121</v>
      </c>
      <c r="BJ143" s="197">
        <f t="shared" si="40"/>
        <v>6.9487364952563606</v>
      </c>
      <c r="BK143" s="288">
        <f t="shared" si="41"/>
        <v>0.90984973150136839</v>
      </c>
      <c r="BL143" s="197">
        <f t="shared" si="42"/>
        <v>0.6746346111899385</v>
      </c>
      <c r="BM143" s="197">
        <f t="shared" si="43"/>
        <v>0.13303679926664666</v>
      </c>
      <c r="BN143" s="197">
        <f t="shared" si="44"/>
        <v>57.982207955998803</v>
      </c>
      <c r="BO143" s="197">
        <f t="shared" si="72"/>
        <v>0.20940526655027281</v>
      </c>
      <c r="BP143" s="197">
        <f t="shared" si="45"/>
        <v>65.705394991270452</v>
      </c>
      <c r="BQ143" s="197">
        <f t="shared" si="46"/>
        <v>8.804693999999999E-2</v>
      </c>
      <c r="BR143" s="288">
        <f t="shared" si="47"/>
        <v>0.15620314368783458</v>
      </c>
      <c r="BS143" s="197">
        <f t="shared" si="48"/>
        <v>0.20050081082780777</v>
      </c>
      <c r="BT143" s="197">
        <f t="shared" si="73"/>
        <v>0.64179505640584356</v>
      </c>
      <c r="BU143" s="197">
        <f t="shared" si="49"/>
        <v>0.5121403879577362</v>
      </c>
      <c r="BV143" s="197">
        <f t="shared" si="50"/>
        <v>1.6393408476503752</v>
      </c>
      <c r="BW143" s="194"/>
      <c r="BX143" s="194"/>
      <c r="BY143" s="194"/>
      <c r="BZ143" s="194"/>
      <c r="CA143" s="194"/>
      <c r="CB143" s="194"/>
      <c r="CC143" s="194"/>
      <c r="CD143" s="194"/>
      <c r="CE143" s="194"/>
      <c r="CF143" s="194"/>
      <c r="CG143" s="194"/>
      <c r="CH143" s="194"/>
      <c r="CI143" s="194"/>
      <c r="CJ143" s="194"/>
      <c r="CK143" s="194"/>
      <c r="CL143" s="194"/>
      <c r="CM143" s="194"/>
      <c r="CN143" s="194"/>
      <c r="CO143" s="194"/>
      <c r="CP143" s="194"/>
      <c r="CQ143" s="194"/>
      <c r="CR143" s="194"/>
      <c r="CS143" s="194"/>
      <c r="CT143" s="194"/>
      <c r="CU143" s="194"/>
      <c r="CV143" s="194"/>
      <c r="CW143" s="194"/>
      <c r="CX143" s="194"/>
      <c r="CY143" s="194"/>
      <c r="CZ143" s="194"/>
      <c r="DA143" s="194"/>
      <c r="DB143" s="194"/>
      <c r="DC143" s="194"/>
      <c r="DD143" s="194"/>
      <c r="DE143" s="194"/>
      <c r="DF143" s="194"/>
    </row>
    <row r="144" spans="2:110" s="192" customFormat="1" hidden="1" x14ac:dyDescent="0.35">
      <c r="B144" s="274"/>
      <c r="C144" s="274"/>
      <c r="D144" s="274"/>
      <c r="E144" s="274"/>
      <c r="F144" s="274"/>
      <c r="Q144" s="193"/>
      <c r="R144" s="194">
        <f t="shared" si="51"/>
        <v>10.399999999999991</v>
      </c>
      <c r="S144" s="197">
        <f t="shared" si="19"/>
        <v>0.67307692307692368</v>
      </c>
      <c r="T144" s="194">
        <f t="shared" si="74"/>
        <v>0.69</v>
      </c>
      <c r="U144" s="194">
        <f t="shared" si="75"/>
        <v>1.4999999999999999E-4</v>
      </c>
      <c r="V144" s="197">
        <f t="shared" si="52"/>
        <v>0.67307692307692368</v>
      </c>
      <c r="W144" s="197">
        <f t="shared" si="20"/>
        <v>7.538461538461546E-3</v>
      </c>
      <c r="X144" s="286">
        <f t="shared" si="21"/>
        <v>1</v>
      </c>
      <c r="Y144" s="286">
        <f t="shared" si="22"/>
        <v>0.52623841672816063</v>
      </c>
      <c r="Z144" s="286">
        <f t="shared" si="23"/>
        <v>0.68149022187250741</v>
      </c>
      <c r="AA144" s="286">
        <f t="shared" si="53"/>
        <v>0.52623841672816063</v>
      </c>
      <c r="AB144" s="197">
        <f t="shared" si="24"/>
        <v>0.63547193936465785</v>
      </c>
      <c r="AC144" s="287">
        <f t="shared" si="25"/>
        <v>1.3493292736619502E-6</v>
      </c>
      <c r="AD144" s="197">
        <f t="shared" si="54"/>
        <v>6.7019931292113863</v>
      </c>
      <c r="AE144" s="197">
        <f t="shared" si="55"/>
        <v>20.105979387634161</v>
      </c>
      <c r="AF144" s="197">
        <f t="shared" si="56"/>
        <v>8.5178571428571437E-2</v>
      </c>
      <c r="AG144" s="197">
        <f t="shared" si="57"/>
        <v>0.25553571428571431</v>
      </c>
      <c r="AH144" s="197">
        <f t="shared" si="26"/>
        <v>0.20077794513491454</v>
      </c>
      <c r="AI144" s="197">
        <f t="shared" si="58"/>
        <v>0.20077794513491454</v>
      </c>
      <c r="AJ144" s="218">
        <f t="shared" si="27"/>
        <v>390.00000000000006</v>
      </c>
      <c r="AK144" s="197">
        <f t="shared" si="59"/>
        <v>0.10631445545570727</v>
      </c>
      <c r="AL144" s="197">
        <f t="shared" si="60"/>
        <v>0.16786051228500395</v>
      </c>
      <c r="AM144" s="197">
        <f t="shared" si="61"/>
        <v>7.1172857208841693E-3</v>
      </c>
      <c r="AN144" s="197">
        <f t="shared" si="28"/>
        <v>24.05</v>
      </c>
      <c r="AO144" s="197">
        <f t="shared" si="29"/>
        <v>21.69</v>
      </c>
      <c r="AP144" s="197">
        <f t="shared" si="62"/>
        <v>0.12928127240882387</v>
      </c>
      <c r="AQ144" s="197">
        <f t="shared" si="63"/>
        <v>0.73586091193211511</v>
      </c>
      <c r="AR144" s="197">
        <f t="shared" si="64"/>
        <v>0.53508296679720058</v>
      </c>
      <c r="AS144" s="258">
        <f t="shared" si="65"/>
        <v>0.4628993533962461</v>
      </c>
      <c r="AT144" s="197">
        <f t="shared" si="30"/>
        <v>2.3998890873962227E-3</v>
      </c>
      <c r="AU144" s="194">
        <f t="shared" si="66"/>
        <v>21.19</v>
      </c>
      <c r="AV144" s="197">
        <f t="shared" si="31"/>
        <v>1.5599999999999987E-2</v>
      </c>
      <c r="AW144" s="197">
        <f t="shared" si="32"/>
        <v>3.4260000000000002E-3</v>
      </c>
      <c r="AX144" s="197">
        <f t="shared" si="67"/>
        <v>3.5630399999999972E-2</v>
      </c>
      <c r="AY144" s="197">
        <f t="shared" si="33"/>
        <v>2.8867476000000005E-3</v>
      </c>
      <c r="AZ144" s="197">
        <f t="shared" si="34"/>
        <v>0</v>
      </c>
      <c r="BA144" s="197">
        <f t="shared" si="68"/>
        <v>7.2596940000000013E-2</v>
      </c>
      <c r="BB144" s="258">
        <f t="shared" si="35"/>
        <v>0.63810963085580308</v>
      </c>
      <c r="BC144" s="197">
        <f t="shared" si="36"/>
        <v>6.8121866635782471E-2</v>
      </c>
      <c r="BD144" s="197">
        <f t="shared" si="69"/>
        <v>1.3624373327156495E-2</v>
      </c>
      <c r="BE144" s="197">
        <f t="shared" si="70"/>
        <v>8.1746239962938963E-2</v>
      </c>
      <c r="BF144" s="197">
        <f t="shared" si="37"/>
        <v>0.20773291256157636</v>
      </c>
      <c r="BG144" s="197">
        <f t="shared" si="38"/>
        <v>1.6576510126937059E-3</v>
      </c>
      <c r="BH144" s="197">
        <f t="shared" si="39"/>
        <v>0.10755801158250962</v>
      </c>
      <c r="BI144" s="197">
        <f t="shared" si="71"/>
        <v>0.62145966421593868</v>
      </c>
      <c r="BJ144" s="197">
        <f t="shared" si="40"/>
        <v>6.943765698698698</v>
      </c>
      <c r="BK144" s="288">
        <f t="shared" si="41"/>
        <v>0.9105010607814138</v>
      </c>
      <c r="BL144" s="197">
        <f t="shared" si="42"/>
        <v>0.66766977872102917</v>
      </c>
      <c r="BM144" s="197">
        <f t="shared" si="43"/>
        <v>0.13168116149622008</v>
      </c>
      <c r="BN144" s="197">
        <f t="shared" si="44"/>
        <v>57.900869689773202</v>
      </c>
      <c r="BO144" s="197">
        <f t="shared" si="72"/>
        <v>0.20939056357427008</v>
      </c>
      <c r="BP144" s="197">
        <f t="shared" si="45"/>
        <v>65.704292268070262</v>
      </c>
      <c r="BQ144" s="197">
        <f t="shared" si="46"/>
        <v>8.8196940000000001E-2</v>
      </c>
      <c r="BR144" s="288">
        <f t="shared" si="47"/>
        <v>0.15797546099018273</v>
      </c>
      <c r="BS144" s="197">
        <f t="shared" si="48"/>
        <v>0.20077794513491454</v>
      </c>
      <c r="BT144" s="197">
        <f t="shared" si="73"/>
        <v>0.63547193936465785</v>
      </c>
      <c r="BU144" s="197">
        <f t="shared" si="49"/>
        <v>0.51339753642471764</v>
      </c>
      <c r="BV144" s="197">
        <f t="shared" si="50"/>
        <v>1.624928116071845</v>
      </c>
      <c r="BW144" s="194"/>
      <c r="BX144" s="194"/>
      <c r="BY144" s="194"/>
      <c r="BZ144" s="194"/>
      <c r="CA144" s="194"/>
      <c r="CB144" s="194"/>
      <c r="CC144" s="194"/>
      <c r="CD144" s="194"/>
      <c r="CE144" s="194"/>
      <c r="CF144" s="194"/>
      <c r="CG144" s="194"/>
      <c r="CH144" s="194"/>
      <c r="CI144" s="194"/>
      <c r="CJ144" s="194"/>
      <c r="CK144" s="194"/>
      <c r="CL144" s="194"/>
      <c r="CM144" s="194"/>
      <c r="CN144" s="194"/>
      <c r="CO144" s="194"/>
      <c r="CP144" s="194"/>
      <c r="CQ144" s="194"/>
      <c r="CR144" s="194"/>
      <c r="CS144" s="194"/>
      <c r="CT144" s="194"/>
      <c r="CU144" s="194"/>
      <c r="CV144" s="194"/>
      <c r="CW144" s="194"/>
      <c r="CX144" s="194"/>
      <c r="CY144" s="194"/>
      <c r="CZ144" s="194"/>
      <c r="DA144" s="194"/>
      <c r="DB144" s="194"/>
      <c r="DC144" s="194"/>
      <c r="DD144" s="194"/>
      <c r="DE144" s="194"/>
      <c r="DF144" s="194"/>
    </row>
    <row r="145" spans="2:110" s="192" customFormat="1" hidden="1" x14ac:dyDescent="0.35">
      <c r="B145" s="194"/>
      <c r="C145" s="194"/>
      <c r="D145" s="194"/>
      <c r="E145" s="194"/>
      <c r="F145" s="194"/>
      <c r="Q145" s="193"/>
      <c r="R145" s="194">
        <f t="shared" si="51"/>
        <v>10.499999999999991</v>
      </c>
      <c r="S145" s="197">
        <f t="shared" si="19"/>
        <v>0.6666666666666673</v>
      </c>
      <c r="T145" s="194">
        <f t="shared" si="74"/>
        <v>0.69</v>
      </c>
      <c r="U145" s="194">
        <f t="shared" si="75"/>
        <v>1.4999999999999999E-4</v>
      </c>
      <c r="V145" s="197">
        <f t="shared" si="52"/>
        <v>0.6666666666666673</v>
      </c>
      <c r="W145" s="197">
        <f t="shared" si="20"/>
        <v>7.4666666666666744E-3</v>
      </c>
      <c r="X145" s="286">
        <f t="shared" si="21"/>
        <v>1</v>
      </c>
      <c r="Y145" s="286">
        <f t="shared" si="22"/>
        <v>0.52157189504301493</v>
      </c>
      <c r="Z145" s="286">
        <f t="shared" si="23"/>
        <v>0.67933556923092164</v>
      </c>
      <c r="AA145" s="286">
        <f t="shared" si="53"/>
        <v>0.52157189504301493</v>
      </c>
      <c r="AB145" s="197">
        <f t="shared" si="24"/>
        <v>0.62927363379978429</v>
      </c>
      <c r="AC145" s="287">
        <f t="shared" si="25"/>
        <v>1.3373638334436281E-6</v>
      </c>
      <c r="AD145" s="197">
        <f t="shared" si="54"/>
        <v>6.7680073384158863</v>
      </c>
      <c r="AE145" s="197">
        <f t="shared" si="55"/>
        <v>20.304022015247657</v>
      </c>
      <c r="AF145" s="197">
        <f t="shared" si="56"/>
        <v>8.5178571428571423E-2</v>
      </c>
      <c r="AG145" s="197">
        <f t="shared" si="57"/>
        <v>0.25553571428571425</v>
      </c>
      <c r="AH145" s="197">
        <f t="shared" si="26"/>
        <v>0.20101822618106038</v>
      </c>
      <c r="AI145" s="197">
        <f t="shared" si="58"/>
        <v>0.20101822618106038</v>
      </c>
      <c r="AJ145" s="218">
        <f t="shared" si="27"/>
        <v>389.99999999999994</v>
      </c>
      <c r="AK145" s="197">
        <f t="shared" si="59"/>
        <v>0.10527747893470392</v>
      </c>
      <c r="AL145" s="197">
        <f t="shared" si="60"/>
        <v>0.16622322402258452</v>
      </c>
      <c r="AM145" s="197">
        <f t="shared" si="61"/>
        <v>7.0478646985575851E-3</v>
      </c>
      <c r="AN145" s="197">
        <f t="shared" si="28"/>
        <v>24.05</v>
      </c>
      <c r="AO145" s="197">
        <f t="shared" si="29"/>
        <v>21.69</v>
      </c>
      <c r="AP145" s="197">
        <f t="shared" si="62"/>
        <v>0.12802028072600191</v>
      </c>
      <c r="AQ145" s="197">
        <f t="shared" si="63"/>
        <v>0.72978274689031453</v>
      </c>
      <c r="AR145" s="197">
        <f t="shared" si="64"/>
        <v>0.52876452070925406</v>
      </c>
      <c r="AS145" s="258">
        <f t="shared" si="65"/>
        <v>0.45638922775798685</v>
      </c>
      <c r="AT145" s="197">
        <f t="shared" si="30"/>
        <v>2.3328606247915544E-3</v>
      </c>
      <c r="AU145" s="194">
        <f t="shared" si="66"/>
        <v>21.19</v>
      </c>
      <c r="AV145" s="197">
        <f t="shared" si="31"/>
        <v>1.5749999999999986E-2</v>
      </c>
      <c r="AW145" s="197">
        <f t="shared" si="32"/>
        <v>3.4259999999999994E-3</v>
      </c>
      <c r="AX145" s="197">
        <f t="shared" si="67"/>
        <v>3.5972999999999963E-2</v>
      </c>
      <c r="AY145" s="197">
        <f t="shared" si="33"/>
        <v>2.8867475999999992E-3</v>
      </c>
      <c r="AZ145" s="197">
        <f t="shared" si="34"/>
        <v>0</v>
      </c>
      <c r="BA145" s="197">
        <f t="shared" si="68"/>
        <v>7.2596939999999985E-2</v>
      </c>
      <c r="BB145" s="258">
        <f t="shared" si="35"/>
        <v>0.6319435629867064</v>
      </c>
      <c r="BC145" s="197">
        <f t="shared" si="36"/>
        <v>6.6811701155695777E-2</v>
      </c>
      <c r="BD145" s="197">
        <f t="shared" si="69"/>
        <v>1.3362340231139157E-2</v>
      </c>
      <c r="BE145" s="197">
        <f t="shared" si="70"/>
        <v>8.0174041386834927E-2</v>
      </c>
      <c r="BF145" s="197">
        <f t="shared" si="37"/>
        <v>0.20773291256157633</v>
      </c>
      <c r="BG145" s="197">
        <f t="shared" si="38"/>
        <v>1.642951469385497E-3</v>
      </c>
      <c r="BH145" s="197">
        <f t="shared" si="39"/>
        <v>0.10548938368310692</v>
      </c>
      <c r="BI145" s="197">
        <f t="shared" si="71"/>
        <v>0.61662611805169709</v>
      </c>
      <c r="BJ145" s="197">
        <f t="shared" si="40"/>
        <v>6.9389321525344565</v>
      </c>
      <c r="BK145" s="288">
        <f t="shared" si="41"/>
        <v>0.91113530086520966</v>
      </c>
      <c r="BL145" s="197">
        <f t="shared" si="42"/>
        <v>0.66085068119375834</v>
      </c>
      <c r="BM145" s="197">
        <f t="shared" si="43"/>
        <v>0.13035314135079346</v>
      </c>
      <c r="BN145" s="197">
        <f t="shared" si="44"/>
        <v>57.821188481047606</v>
      </c>
      <c r="BO145" s="197">
        <f t="shared" si="72"/>
        <v>0.20937586403096184</v>
      </c>
      <c r="BP145" s="197">
        <f t="shared" si="45"/>
        <v>65.703189802322143</v>
      </c>
      <c r="BQ145" s="197">
        <f t="shared" si="46"/>
        <v>8.8346939999999971E-2</v>
      </c>
      <c r="BR145" s="288">
        <f t="shared" si="47"/>
        <v>0.15972242867322983</v>
      </c>
      <c r="BS145" s="197">
        <f t="shared" si="48"/>
        <v>0.20101822618106038</v>
      </c>
      <c r="BT145" s="197">
        <f t="shared" si="73"/>
        <v>0.62927363379978429</v>
      </c>
      <c r="BU145" s="197">
        <f t="shared" si="49"/>
        <v>0.51447193216377007</v>
      </c>
      <c r="BV145" s="197">
        <f t="shared" si="50"/>
        <v>1.6105187494246944</v>
      </c>
      <c r="BW145" s="194"/>
      <c r="BX145" s="194"/>
      <c r="BY145" s="194"/>
      <c r="BZ145" s="194"/>
      <c r="CA145" s="194"/>
      <c r="CB145" s="194"/>
      <c r="CC145" s="194"/>
      <c r="CD145" s="194"/>
      <c r="CE145" s="194"/>
      <c r="CF145" s="194"/>
      <c r="CG145" s="194"/>
      <c r="CH145" s="194"/>
      <c r="CI145" s="194"/>
      <c r="CJ145" s="194"/>
      <c r="CK145" s="194"/>
      <c r="CL145" s="194"/>
      <c r="CM145" s="194"/>
      <c r="CN145" s="194"/>
      <c r="CO145" s="194"/>
      <c r="CP145" s="194"/>
      <c r="CQ145" s="194"/>
      <c r="CR145" s="194"/>
      <c r="CS145" s="194"/>
      <c r="CT145" s="194"/>
      <c r="CU145" s="194"/>
      <c r="CV145" s="194"/>
      <c r="CW145" s="194"/>
      <c r="CX145" s="194"/>
      <c r="CY145" s="194"/>
      <c r="CZ145" s="194"/>
      <c r="DA145" s="194"/>
      <c r="DB145" s="194"/>
      <c r="DC145" s="194"/>
      <c r="DD145" s="194"/>
      <c r="DE145" s="194"/>
      <c r="DF145" s="194"/>
    </row>
    <row r="146" spans="2:110" s="192" customFormat="1" hidden="1" x14ac:dyDescent="0.35">
      <c r="B146" s="290"/>
      <c r="C146" s="290"/>
      <c r="D146" s="194"/>
      <c r="E146" s="194"/>
      <c r="F146" s="194"/>
      <c r="Q146" s="193"/>
      <c r="R146" s="194">
        <f t="shared" si="51"/>
        <v>10.599999999999991</v>
      </c>
      <c r="S146" s="197">
        <f t="shared" si="19"/>
        <v>0.66037735849056667</v>
      </c>
      <c r="T146" s="194">
        <f t="shared" si="74"/>
        <v>0.69</v>
      </c>
      <c r="U146" s="194">
        <f t="shared" si="75"/>
        <v>1.4999999999999999E-4</v>
      </c>
      <c r="V146" s="197">
        <f t="shared" si="52"/>
        <v>0.66037735849056667</v>
      </c>
      <c r="W146" s="197">
        <f t="shared" si="20"/>
        <v>7.3962264150943475E-3</v>
      </c>
      <c r="X146" s="286">
        <f t="shared" si="21"/>
        <v>1</v>
      </c>
      <c r="Y146" s="286">
        <f t="shared" si="22"/>
        <v>0.51690643224983457</v>
      </c>
      <c r="Z146" s="286">
        <f t="shared" si="23"/>
        <v>0.67719497203852708</v>
      </c>
      <c r="AA146" s="286">
        <f t="shared" si="53"/>
        <v>0.51690643224983457</v>
      </c>
      <c r="AB146" s="197">
        <f t="shared" si="24"/>
        <v>0.62319644105450522</v>
      </c>
      <c r="AC146" s="287">
        <f t="shared" si="25"/>
        <v>1.3254011083329092E-6</v>
      </c>
      <c r="AD146" s="197">
        <f t="shared" si="54"/>
        <v>6.8340065681730717</v>
      </c>
      <c r="AE146" s="197">
        <f t="shared" si="55"/>
        <v>20.502019704519217</v>
      </c>
      <c r="AF146" s="197">
        <f t="shared" si="56"/>
        <v>8.5178571428571423E-2</v>
      </c>
      <c r="AG146" s="197">
        <f t="shared" si="57"/>
        <v>0.25553571428571431</v>
      </c>
      <c r="AH146" s="197">
        <f t="shared" si="26"/>
        <v>0.20122171565747024</v>
      </c>
      <c r="AI146" s="197">
        <f t="shared" si="58"/>
        <v>0.20122171565747024</v>
      </c>
      <c r="AJ146" s="218">
        <f t="shared" si="27"/>
        <v>390</v>
      </c>
      <c r="AK146" s="197">
        <f t="shared" si="59"/>
        <v>0.10426076458841872</v>
      </c>
      <c r="AL146" s="197">
        <f t="shared" si="60"/>
        <v>0.16461792782571835</v>
      </c>
      <c r="AM146" s="197">
        <f t="shared" si="61"/>
        <v>6.9798001398104596E-3</v>
      </c>
      <c r="AN146" s="197">
        <f t="shared" si="28"/>
        <v>24.05</v>
      </c>
      <c r="AO146" s="197">
        <f t="shared" si="29"/>
        <v>21.69</v>
      </c>
      <c r="AP146" s="197">
        <f t="shared" si="62"/>
        <v>0.12678392839930616</v>
      </c>
      <c r="AQ146" s="197">
        <f t="shared" si="63"/>
        <v>0.72380729888324036</v>
      </c>
      <c r="AR146" s="197">
        <f t="shared" si="64"/>
        <v>0.52258558322577009</v>
      </c>
      <c r="AS146" s="258">
        <f t="shared" si="65"/>
        <v>0.44999672625085779</v>
      </c>
      <c r="AT146" s="197">
        <f t="shared" si="30"/>
        <v>2.2679670007286824E-3</v>
      </c>
      <c r="AU146" s="194">
        <f t="shared" si="66"/>
        <v>21.19</v>
      </c>
      <c r="AV146" s="197">
        <f t="shared" si="31"/>
        <v>1.5899999999999987E-2</v>
      </c>
      <c r="AW146" s="197">
        <f t="shared" si="32"/>
        <v>3.4259999999999998E-3</v>
      </c>
      <c r="AX146" s="197">
        <f t="shared" si="67"/>
        <v>3.6315599999999969E-2</v>
      </c>
      <c r="AY146" s="197">
        <f t="shared" si="33"/>
        <v>2.8867475999999996E-3</v>
      </c>
      <c r="AZ146" s="197">
        <f t="shared" si="34"/>
        <v>0</v>
      </c>
      <c r="BA146" s="197">
        <f t="shared" si="68"/>
        <v>7.2596939999999999E-2</v>
      </c>
      <c r="BB146" s="258">
        <f t="shared" si="35"/>
        <v>0.6258977438160428</v>
      </c>
      <c r="BC146" s="197">
        <f t="shared" si="36"/>
        <v>6.5539438009954334E-2</v>
      </c>
      <c r="BD146" s="197">
        <f t="shared" si="69"/>
        <v>1.3107887601990867E-2</v>
      </c>
      <c r="BE146" s="197">
        <f t="shared" si="70"/>
        <v>7.8647325611945207E-2</v>
      </c>
      <c r="BF146" s="197">
        <f t="shared" si="37"/>
        <v>0.20773291256157633</v>
      </c>
      <c r="BG146" s="197">
        <f t="shared" si="38"/>
        <v>1.6282552615869788E-3</v>
      </c>
      <c r="BH146" s="197">
        <f t="shared" si="39"/>
        <v>0.1034805999999279</v>
      </c>
      <c r="BI146" s="197">
        <f t="shared" si="71"/>
        <v>0.6119246764350712</v>
      </c>
      <c r="BJ146" s="197">
        <f t="shared" si="40"/>
        <v>6.9342307109178307</v>
      </c>
      <c r="BK146" s="288">
        <f t="shared" si="41"/>
        <v>0.91175305496086156</v>
      </c>
      <c r="BL146" s="197">
        <f t="shared" si="42"/>
        <v>0.65417270857715437</v>
      </c>
      <c r="BM146" s="197">
        <f t="shared" si="43"/>
        <v>0.12905189540003484</v>
      </c>
      <c r="BN146" s="197">
        <f t="shared" si="44"/>
        <v>57.743113724002093</v>
      </c>
      <c r="BO146" s="197">
        <f t="shared" si="72"/>
        <v>0.2093611678231633</v>
      </c>
      <c r="BP146" s="197">
        <f t="shared" si="45"/>
        <v>65.70208758673725</v>
      </c>
      <c r="BQ146" s="197">
        <f t="shared" si="46"/>
        <v>8.8496939999999982E-2</v>
      </c>
      <c r="BR146" s="288">
        <f t="shared" si="47"/>
        <v>0.16144324838969293</v>
      </c>
      <c r="BS146" s="197">
        <f t="shared" si="48"/>
        <v>0.20122171565747024</v>
      </c>
      <c r="BT146" s="197">
        <f t="shared" si="73"/>
        <v>0.62319644105450522</v>
      </c>
      <c r="BU146" s="197">
        <f t="shared" si="49"/>
        <v>0.51536322281242231</v>
      </c>
      <c r="BV146" s="197">
        <f t="shared" si="50"/>
        <v>1.5961126524425311</v>
      </c>
      <c r="BW146" s="194"/>
      <c r="BX146" s="194"/>
      <c r="BY146" s="194"/>
      <c r="BZ146" s="194"/>
      <c r="CA146" s="194"/>
      <c r="CB146" s="194"/>
      <c r="CC146" s="194"/>
      <c r="CD146" s="194"/>
      <c r="CE146" s="194"/>
      <c r="CF146" s="194"/>
      <c r="CG146" s="194"/>
      <c r="CH146" s="194"/>
      <c r="CI146" s="194"/>
      <c r="CJ146" s="194"/>
      <c r="CK146" s="194"/>
      <c r="CL146" s="194"/>
      <c r="CM146" s="194"/>
      <c r="CN146" s="194"/>
      <c r="CO146" s="194"/>
      <c r="CP146" s="194"/>
      <c r="CQ146" s="194"/>
      <c r="CR146" s="194"/>
      <c r="CS146" s="194"/>
      <c r="CT146" s="194"/>
      <c r="CU146" s="194"/>
      <c r="CV146" s="194"/>
      <c r="CW146" s="194"/>
      <c r="CX146" s="194"/>
      <c r="CY146" s="194"/>
      <c r="CZ146" s="194"/>
      <c r="DA146" s="194"/>
      <c r="DB146" s="194"/>
      <c r="DC146" s="194"/>
      <c r="DD146" s="194"/>
      <c r="DE146" s="194"/>
      <c r="DF146" s="194"/>
    </row>
    <row r="147" spans="2:110" s="192" customFormat="1" hidden="1" x14ac:dyDescent="0.35">
      <c r="B147" s="266"/>
      <c r="C147" s="266"/>
      <c r="D147" s="249"/>
      <c r="E147" s="249"/>
      <c r="F147" s="194"/>
      <c r="Q147" s="193"/>
      <c r="R147" s="194">
        <f t="shared" si="51"/>
        <v>10.69999999999999</v>
      </c>
      <c r="S147" s="197">
        <f t="shared" si="19"/>
        <v>0.65420560747663603</v>
      </c>
      <c r="T147" s="194">
        <f t="shared" si="74"/>
        <v>0.69</v>
      </c>
      <c r="U147" s="194">
        <f t="shared" si="75"/>
        <v>1.4999999999999999E-4</v>
      </c>
      <c r="V147" s="197">
        <f t="shared" si="52"/>
        <v>0.65420560747663603</v>
      </c>
      <c r="W147" s="197">
        <f t="shared" si="20"/>
        <v>7.3271028037383244E-3</v>
      </c>
      <c r="X147" s="286">
        <f t="shared" si="21"/>
        <v>1</v>
      </c>
      <c r="Y147" s="286">
        <f t="shared" si="22"/>
        <v>0.51224199865002717</v>
      </c>
      <c r="Z147" s="286">
        <f t="shared" si="23"/>
        <v>0.67506828023823839</v>
      </c>
      <c r="AA147" s="286">
        <f t="shared" si="53"/>
        <v>0.51224199865002717</v>
      </c>
      <c r="AB147" s="197">
        <f t="shared" si="24"/>
        <v>0.61723680859150165</v>
      </c>
      <c r="AC147" s="287">
        <f t="shared" si="25"/>
        <v>1.3134410221795569E-6</v>
      </c>
      <c r="AD147" s="197">
        <f t="shared" si="54"/>
        <v>6.8999912386093722</v>
      </c>
      <c r="AE147" s="197">
        <f t="shared" si="55"/>
        <v>20.699973715828115</v>
      </c>
      <c r="AF147" s="197">
        <f t="shared" si="56"/>
        <v>8.5178571428571437E-2</v>
      </c>
      <c r="AG147" s="197">
        <f t="shared" si="57"/>
        <v>0.25553571428571425</v>
      </c>
      <c r="AH147" s="197">
        <f t="shared" si="26"/>
        <v>0.2013884728210954</v>
      </c>
      <c r="AI147" s="197">
        <f t="shared" si="58"/>
        <v>0.2013884728210954</v>
      </c>
      <c r="AJ147" s="218">
        <f t="shared" si="27"/>
        <v>390</v>
      </c>
      <c r="AK147" s="197">
        <f t="shared" si="59"/>
        <v>0.10326371807735824</v>
      </c>
      <c r="AL147" s="197">
        <f t="shared" si="60"/>
        <v>0.16304368528832119</v>
      </c>
      <c r="AM147" s="197">
        <f t="shared" si="61"/>
        <v>6.9130522562248194E-3</v>
      </c>
      <c r="AN147" s="197">
        <f t="shared" si="28"/>
        <v>24.05</v>
      </c>
      <c r="AO147" s="197">
        <f t="shared" si="29"/>
        <v>21.69</v>
      </c>
      <c r="AP147" s="197">
        <f t="shared" si="62"/>
        <v>0.12557149269573073</v>
      </c>
      <c r="AQ147" s="197">
        <f t="shared" si="63"/>
        <v>0.7179310450020493</v>
      </c>
      <c r="AR147" s="197">
        <f t="shared" si="64"/>
        <v>0.51654257218095401</v>
      </c>
      <c r="AS147" s="258">
        <f t="shared" si="65"/>
        <v>0.4437182379118968</v>
      </c>
      <c r="AT147" s="197">
        <f t="shared" si="30"/>
        <v>2.2051217961431531E-3</v>
      </c>
      <c r="AU147" s="194">
        <f t="shared" si="66"/>
        <v>21.19</v>
      </c>
      <c r="AV147" s="197">
        <f t="shared" si="31"/>
        <v>1.6049999999999984E-2</v>
      </c>
      <c r="AW147" s="197">
        <f t="shared" si="32"/>
        <v>3.4259999999999998E-3</v>
      </c>
      <c r="AX147" s="197">
        <f t="shared" si="67"/>
        <v>3.6658199999999967E-2</v>
      </c>
      <c r="AY147" s="197">
        <f t="shared" si="33"/>
        <v>2.8867475999999996E-3</v>
      </c>
      <c r="AZ147" s="197">
        <f t="shared" si="34"/>
        <v>0</v>
      </c>
      <c r="BA147" s="197">
        <f t="shared" si="68"/>
        <v>7.2596939999999999E-2</v>
      </c>
      <c r="BB147" s="258">
        <f t="shared" si="35"/>
        <v>0.6199685913783507</v>
      </c>
      <c r="BC147" s="197">
        <f t="shared" si="36"/>
        <v>6.430360438366331E-2</v>
      </c>
      <c r="BD147" s="197">
        <f t="shared" si="69"/>
        <v>1.2860720876732663E-2</v>
      </c>
      <c r="BE147" s="197">
        <f t="shared" si="70"/>
        <v>7.7164325260395975E-2</v>
      </c>
      <c r="BF147" s="197">
        <f t="shared" si="37"/>
        <v>0.20773291256157633</v>
      </c>
      <c r="BG147" s="197">
        <f t="shared" si="38"/>
        <v>1.6135622957475853E-3</v>
      </c>
      <c r="BH147" s="197">
        <f t="shared" si="39"/>
        <v>0.10152933509696584</v>
      </c>
      <c r="BI147" s="197">
        <f t="shared" si="71"/>
        <v>0.60735043730655958</v>
      </c>
      <c r="BJ147" s="197">
        <f t="shared" si="40"/>
        <v>6.9296564717893183</v>
      </c>
      <c r="BK147" s="288">
        <f t="shared" si="41"/>
        <v>0.91235489958570282</v>
      </c>
      <c r="BL147" s="197">
        <f t="shared" si="42"/>
        <v>0.64763144596161915</v>
      </c>
      <c r="BM147" s="197">
        <f t="shared" si="43"/>
        <v>0.12777661449187389</v>
      </c>
      <c r="BN147" s="197">
        <f t="shared" si="44"/>
        <v>57.666596869512432</v>
      </c>
      <c r="BO147" s="197">
        <f t="shared" si="72"/>
        <v>0.20934647485732391</v>
      </c>
      <c r="BP147" s="197">
        <f t="shared" si="45"/>
        <v>65.700985614299299</v>
      </c>
      <c r="BQ147" s="197">
        <f t="shared" si="46"/>
        <v>8.864693999999998E-2</v>
      </c>
      <c r="BR147" s="288">
        <f t="shared" si="47"/>
        <v>0.16313712178041692</v>
      </c>
      <c r="BS147" s="197">
        <f t="shared" si="48"/>
        <v>0.2013884728210954</v>
      </c>
      <c r="BT147" s="197">
        <f t="shared" si="73"/>
        <v>0.61723680859150165</v>
      </c>
      <c r="BU147" s="197">
        <f t="shared" si="49"/>
        <v>0.51607114680491684</v>
      </c>
      <c r="BV147" s="197">
        <f t="shared" si="50"/>
        <v>1.5817097334215267</v>
      </c>
      <c r="BW147" s="194"/>
      <c r="BX147" s="194"/>
      <c r="BY147" s="194"/>
      <c r="BZ147" s="194"/>
      <c r="CA147" s="194"/>
      <c r="CB147" s="194"/>
      <c r="CC147" s="194"/>
      <c r="CD147" s="194"/>
      <c r="CE147" s="194"/>
      <c r="CF147" s="194"/>
      <c r="CG147" s="194"/>
      <c r="CH147" s="194"/>
      <c r="CI147" s="194"/>
      <c r="CJ147" s="194"/>
      <c r="CK147" s="194"/>
      <c r="CL147" s="194"/>
      <c r="CM147" s="194"/>
      <c r="CN147" s="194"/>
      <c r="CO147" s="194"/>
      <c r="CP147" s="194"/>
      <c r="CQ147" s="194"/>
      <c r="CR147" s="194"/>
      <c r="CS147" s="194"/>
      <c r="CT147" s="194"/>
      <c r="CU147" s="194"/>
      <c r="CV147" s="194"/>
      <c r="CW147" s="194"/>
      <c r="CX147" s="194"/>
      <c r="CY147" s="194"/>
      <c r="CZ147" s="194"/>
      <c r="DA147" s="194"/>
      <c r="DB147" s="194"/>
      <c r="DC147" s="194"/>
      <c r="DD147" s="194"/>
      <c r="DE147" s="194"/>
      <c r="DF147" s="194"/>
    </row>
    <row r="148" spans="2:110" s="192" customFormat="1" hidden="1" x14ac:dyDescent="0.35">
      <c r="B148" s="289"/>
      <c r="C148" s="289"/>
      <c r="D148" s="289">
        <v>1.1000000000000001</v>
      </c>
      <c r="F148" s="249"/>
      <c r="Q148" s="193"/>
      <c r="R148" s="194">
        <f t="shared" si="51"/>
        <v>10.79999999999999</v>
      </c>
      <c r="S148" s="197">
        <f t="shared" si="19"/>
        <v>0.6481481481481487</v>
      </c>
      <c r="T148" s="194">
        <f t="shared" si="74"/>
        <v>0.69</v>
      </c>
      <c r="U148" s="194">
        <f t="shared" si="75"/>
        <v>1.4999999999999999E-4</v>
      </c>
      <c r="V148" s="197">
        <f t="shared" si="52"/>
        <v>0.6481481481481487</v>
      </c>
      <c r="W148" s="197">
        <f t="shared" si="20"/>
        <v>7.2592592592592665E-3</v>
      </c>
      <c r="X148" s="286">
        <f t="shared" si="21"/>
        <v>1</v>
      </c>
      <c r="Y148" s="286">
        <f t="shared" si="22"/>
        <v>0.50757856564531656</v>
      </c>
      <c r="Z148" s="286">
        <f t="shared" si="23"/>
        <v>0.67295534635477539</v>
      </c>
      <c r="AA148" s="286">
        <f t="shared" si="53"/>
        <v>0.50757856564531656</v>
      </c>
      <c r="AB148" s="197">
        <f t="shared" si="24"/>
        <v>0.61139132278587249</v>
      </c>
      <c r="AC148" s="287">
        <f t="shared" si="25"/>
        <v>1.3014835016546579E-6</v>
      </c>
      <c r="AD148" s="197">
        <f t="shared" si="54"/>
        <v>6.9659617542857664</v>
      </c>
      <c r="AE148" s="197">
        <f t="shared" si="55"/>
        <v>20.897885262857297</v>
      </c>
      <c r="AF148" s="197">
        <f t="shared" si="56"/>
        <v>8.5178571428571437E-2</v>
      </c>
      <c r="AG148" s="197">
        <f t="shared" si="57"/>
        <v>0.25553571428571425</v>
      </c>
      <c r="AH148" s="197">
        <f t="shared" si="26"/>
        <v>0.20151855461451981</v>
      </c>
      <c r="AI148" s="197">
        <f t="shared" si="58"/>
        <v>0.20151855461451981</v>
      </c>
      <c r="AJ148" s="218">
        <f t="shared" si="27"/>
        <v>390</v>
      </c>
      <c r="AK148" s="197">
        <f t="shared" si="59"/>
        <v>0.10228576830207647</v>
      </c>
      <c r="AL148" s="197">
        <f t="shared" si="60"/>
        <v>0.161499594698155</v>
      </c>
      <c r="AM148" s="197">
        <f t="shared" si="61"/>
        <v>6.8475828152017729E-3</v>
      </c>
      <c r="AN148" s="197">
        <f t="shared" si="28"/>
        <v>24.05</v>
      </c>
      <c r="AO148" s="197">
        <f t="shared" si="29"/>
        <v>21.69</v>
      </c>
      <c r="AP148" s="197">
        <f t="shared" si="62"/>
        <v>0.1243822791428003</v>
      </c>
      <c r="AQ148" s="197">
        <f t="shared" si="63"/>
        <v>0.71215060009313236</v>
      </c>
      <c r="AR148" s="197">
        <f t="shared" si="64"/>
        <v>0.51063204547861263</v>
      </c>
      <c r="AS148" s="258">
        <f t="shared" si="65"/>
        <v>0.43755029042289573</v>
      </c>
      <c r="AT148" s="197">
        <f t="shared" si="30"/>
        <v>2.1442428744705968E-3</v>
      </c>
      <c r="AU148" s="194">
        <f t="shared" si="66"/>
        <v>21.19</v>
      </c>
      <c r="AV148" s="197">
        <f t="shared" si="31"/>
        <v>1.6199999999999985E-2</v>
      </c>
      <c r="AW148" s="197">
        <f t="shared" si="32"/>
        <v>3.4259999999999998E-3</v>
      </c>
      <c r="AX148" s="197">
        <f t="shared" si="67"/>
        <v>3.7000799999999966E-2</v>
      </c>
      <c r="AY148" s="197">
        <f t="shared" si="33"/>
        <v>2.8867475999999996E-3</v>
      </c>
      <c r="AZ148" s="197">
        <f t="shared" si="34"/>
        <v>0</v>
      </c>
      <c r="BA148" s="197">
        <f t="shared" si="68"/>
        <v>7.2596939999999999E-2</v>
      </c>
      <c r="BB148" s="258">
        <f t="shared" si="35"/>
        <v>0.61415266307790772</v>
      </c>
      <c r="BC148" s="197">
        <f t="shared" si="36"/>
        <v>6.3102798473539279E-2</v>
      </c>
      <c r="BD148" s="197">
        <f t="shared" si="69"/>
        <v>1.2620559694707857E-2</v>
      </c>
      <c r="BE148" s="197">
        <f t="shared" si="70"/>
        <v>7.5723358168247129E-2</v>
      </c>
      <c r="BF148" s="197">
        <f t="shared" si="37"/>
        <v>0.20773291256157633</v>
      </c>
      <c r="BG148" s="197">
        <f t="shared" si="38"/>
        <v>1.598872481782747E-3</v>
      </c>
      <c r="BH148" s="197">
        <f t="shared" si="39"/>
        <v>9.9633375658860462E-2</v>
      </c>
      <c r="BI148" s="197">
        <f t="shared" si="71"/>
        <v>0.6028987284877374</v>
      </c>
      <c r="BJ148" s="197">
        <f t="shared" si="40"/>
        <v>6.9252047629704965</v>
      </c>
      <c r="BK148" s="288">
        <f t="shared" si="41"/>
        <v>0.91294138597728192</v>
      </c>
      <c r="BL148" s="197">
        <f t="shared" si="42"/>
        <v>0.64122266323800947</v>
      </c>
      <c r="BM148" s="197">
        <f t="shared" si="43"/>
        <v>0.12652652201727088</v>
      </c>
      <c r="BN148" s="197">
        <f t="shared" si="44"/>
        <v>57.591591321036255</v>
      </c>
      <c r="BO148" s="197">
        <f t="shared" si="72"/>
        <v>0.20933178504335909</v>
      </c>
      <c r="BP148" s="197">
        <f t="shared" si="45"/>
        <v>65.699883878251939</v>
      </c>
      <c r="BQ148" s="197">
        <f t="shared" si="46"/>
        <v>8.8796939999999991E-2</v>
      </c>
      <c r="BR148" s="288">
        <f t="shared" si="47"/>
        <v>0.16480325047489891</v>
      </c>
      <c r="BS148" s="197">
        <f t="shared" si="48"/>
        <v>0.20151855461451981</v>
      </c>
      <c r="BT148" s="197">
        <f t="shared" si="73"/>
        <v>0.61139132278587249</v>
      </c>
      <c r="BU148" s="197">
        <f t="shared" si="49"/>
        <v>0.51659553337967279</v>
      </c>
      <c r="BV148" s="197">
        <f t="shared" si="50"/>
        <v>1.5673099040554272</v>
      </c>
      <c r="BW148" s="194"/>
      <c r="BX148" s="194"/>
      <c r="BY148" s="194"/>
      <c r="BZ148" s="194"/>
      <c r="CA148" s="194"/>
      <c r="CB148" s="194"/>
      <c r="CC148" s="194"/>
      <c r="CD148" s="194"/>
      <c r="CE148" s="194"/>
      <c r="CF148" s="194"/>
      <c r="CG148" s="194"/>
      <c r="CH148" s="194"/>
      <c r="CI148" s="194"/>
      <c r="CJ148" s="194"/>
      <c r="CK148" s="194"/>
      <c r="CL148" s="194"/>
      <c r="CM148" s="194"/>
      <c r="CN148" s="194"/>
      <c r="CO148" s="194"/>
      <c r="CP148" s="194"/>
      <c r="CQ148" s="194"/>
      <c r="CR148" s="194"/>
      <c r="CS148" s="194"/>
      <c r="CT148" s="194"/>
      <c r="CU148" s="194"/>
      <c r="CV148" s="194"/>
      <c r="CW148" s="194"/>
      <c r="CX148" s="194"/>
      <c r="CY148" s="194"/>
      <c r="CZ148" s="194"/>
      <c r="DA148" s="194"/>
      <c r="DB148" s="194"/>
      <c r="DC148" s="194"/>
      <c r="DD148" s="194"/>
      <c r="DE148" s="194"/>
      <c r="DF148" s="194"/>
    </row>
    <row r="149" spans="2:110" s="192" customFormat="1" hidden="1" x14ac:dyDescent="0.35">
      <c r="B149" s="289"/>
      <c r="C149" s="289"/>
      <c r="D149" s="289">
        <v>1.2</v>
      </c>
      <c r="Q149" s="193"/>
      <c r="R149" s="194">
        <f t="shared" si="51"/>
        <v>10.89999999999999</v>
      </c>
      <c r="S149" s="197">
        <f t="shared" si="19"/>
        <v>0.64220183486238591</v>
      </c>
      <c r="T149" s="194">
        <f t="shared" si="74"/>
        <v>0.69</v>
      </c>
      <c r="U149" s="194">
        <f t="shared" si="75"/>
        <v>1.4999999999999999E-4</v>
      </c>
      <c r="V149" s="197">
        <f t="shared" si="52"/>
        <v>0.64220183486238591</v>
      </c>
      <c r="W149" s="197">
        <f t="shared" si="20"/>
        <v>7.1926605504587229E-3</v>
      </c>
      <c r="X149" s="286">
        <f t="shared" si="21"/>
        <v>1</v>
      </c>
      <c r="Y149" s="286">
        <f t="shared" si="22"/>
        <v>0.50291610568725276</v>
      </c>
      <c r="Z149" s="286">
        <f t="shared" si="23"/>
        <v>0.67085602542145251</v>
      </c>
      <c r="AA149" s="286">
        <f t="shared" si="53"/>
        <v>0.50291610568725276</v>
      </c>
      <c r="AB149" s="197">
        <f t="shared" si="24"/>
        <v>0.60565670214374145</v>
      </c>
      <c r="AC149" s="287">
        <f t="shared" si="25"/>
        <v>1.2895284761211609E-6</v>
      </c>
      <c r="AD149" s="197">
        <f t="shared" si="54"/>
        <v>7.031918504912035</v>
      </c>
      <c r="AE149" s="197">
        <f t="shared" si="55"/>
        <v>21.095755514736105</v>
      </c>
      <c r="AF149" s="197">
        <f t="shared" si="56"/>
        <v>8.5178571428571451E-2</v>
      </c>
      <c r="AG149" s="197">
        <f t="shared" si="57"/>
        <v>0.25553571428571431</v>
      </c>
      <c r="AH149" s="197">
        <f t="shared" si="26"/>
        <v>0.20161201577879576</v>
      </c>
      <c r="AI149" s="197">
        <f t="shared" si="58"/>
        <v>0.20161201577879576</v>
      </c>
      <c r="AJ149" s="218">
        <f t="shared" si="27"/>
        <v>389.99999999999994</v>
      </c>
      <c r="AK149" s="197">
        <f t="shared" si="59"/>
        <v>0.10132636626864795</v>
      </c>
      <c r="AL149" s="197">
        <f t="shared" si="60"/>
        <v>0.1599847892455166</v>
      </c>
      <c r="AM149" s="197">
        <f t="shared" si="61"/>
        <v>6.7833550640099055E-3</v>
      </c>
      <c r="AN149" s="197">
        <f t="shared" si="28"/>
        <v>24.05</v>
      </c>
      <c r="AO149" s="197">
        <f t="shared" si="29"/>
        <v>21.69</v>
      </c>
      <c r="AP149" s="197">
        <f t="shared" si="62"/>
        <v>0.12321562014895417</v>
      </c>
      <c r="AQ149" s="197">
        <f t="shared" si="63"/>
        <v>0.70646271003313932</v>
      </c>
      <c r="AR149" s="197">
        <f t="shared" si="64"/>
        <v>0.50485069425434359</v>
      </c>
      <c r="AS149" s="258">
        <f t="shared" si="65"/>
        <v>0.4314895433050801</v>
      </c>
      <c r="AT149" s="197">
        <f t="shared" si="30"/>
        <v>2.0852521309942182E-3</v>
      </c>
      <c r="AU149" s="194">
        <f t="shared" si="66"/>
        <v>21.19</v>
      </c>
      <c r="AV149" s="197">
        <f t="shared" si="31"/>
        <v>1.6349999999999986E-2</v>
      </c>
      <c r="AW149" s="197">
        <f t="shared" si="32"/>
        <v>3.4259999999999994E-3</v>
      </c>
      <c r="AX149" s="197">
        <f t="shared" si="67"/>
        <v>3.7343399999999957E-2</v>
      </c>
      <c r="AY149" s="197">
        <f t="shared" si="33"/>
        <v>2.8867475999999992E-3</v>
      </c>
      <c r="AZ149" s="197">
        <f t="shared" si="34"/>
        <v>0</v>
      </c>
      <c r="BA149" s="197">
        <f t="shared" si="68"/>
        <v>7.2596939999999985E-2</v>
      </c>
      <c r="BB149" s="258">
        <f t="shared" si="35"/>
        <v>0.60844664892974132</v>
      </c>
      <c r="BC149" s="197">
        <f t="shared" si="36"/>
        <v>6.1935685404548073E-2</v>
      </c>
      <c r="BD149" s="197">
        <f t="shared" si="69"/>
        <v>1.2387137080909615E-2</v>
      </c>
      <c r="BE149" s="197">
        <f t="shared" si="70"/>
        <v>7.4322822485457685E-2</v>
      </c>
      <c r="BF149" s="197">
        <f t="shared" si="37"/>
        <v>0.20773291256157636</v>
      </c>
      <c r="BG149" s="197">
        <f t="shared" si="38"/>
        <v>1.5841857329148459E-3</v>
      </c>
      <c r="BH149" s="197">
        <f t="shared" si="39"/>
        <v>9.7790614043653704E-2</v>
      </c>
      <c r="BI149" s="197">
        <f t="shared" si="71"/>
        <v>0.59856509470355101</v>
      </c>
      <c r="BJ149" s="197">
        <f t="shared" si="40"/>
        <v>6.9208711291863096</v>
      </c>
      <c r="BK149" s="288">
        <f t="shared" si="41"/>
        <v>0.9135130414176742</v>
      </c>
      <c r="BL149" s="197">
        <f t="shared" si="42"/>
        <v>0.63494230542993724</v>
      </c>
      <c r="BM149" s="197">
        <f t="shared" si="43"/>
        <v>0.12530087227994838</v>
      </c>
      <c r="BN149" s="197">
        <f t="shared" si="44"/>
        <v>57.518052336796899</v>
      </c>
      <c r="BO149" s="197">
        <f t="shared" si="72"/>
        <v>0.20931709829449122</v>
      </c>
      <c r="BP149" s="197">
        <f t="shared" si="45"/>
        <v>65.698782372086839</v>
      </c>
      <c r="BQ149" s="197">
        <f t="shared" si="46"/>
        <v>8.8946939999999974E-2</v>
      </c>
      <c r="BR149" s="288">
        <f t="shared" si="47"/>
        <v>0.16644083609178559</v>
      </c>
      <c r="BS149" s="197">
        <f t="shared" si="48"/>
        <v>0.20161201577879576</v>
      </c>
      <c r="BT149" s="197">
        <f t="shared" si="73"/>
        <v>0.60565670214374145</v>
      </c>
      <c r="BU149" s="197">
        <f t="shared" si="49"/>
        <v>0.51693630258634915</v>
      </c>
      <c r="BV149" s="197">
        <f t="shared" si="50"/>
        <v>1.5529130792796522</v>
      </c>
      <c r="BW149" s="194"/>
      <c r="BX149" s="194"/>
      <c r="BY149" s="194"/>
      <c r="BZ149" s="194"/>
      <c r="CA149" s="194"/>
      <c r="CB149" s="194"/>
      <c r="CC149" s="194"/>
      <c r="CD149" s="194"/>
      <c r="CE149" s="194"/>
      <c r="CF149" s="194"/>
      <c r="CG149" s="194"/>
      <c r="CH149" s="194"/>
      <c r="CI149" s="194"/>
      <c r="CJ149" s="194"/>
      <c r="CK149" s="194"/>
      <c r="CL149" s="194"/>
      <c r="CM149" s="194"/>
      <c r="CN149" s="194"/>
      <c r="CO149" s="194"/>
      <c r="CP149" s="194"/>
      <c r="CQ149" s="194"/>
      <c r="CR149" s="194"/>
      <c r="CS149" s="194"/>
      <c r="CT149" s="194"/>
      <c r="CU149" s="194"/>
      <c r="CV149" s="194"/>
      <c r="CW149" s="194"/>
      <c r="CX149" s="194"/>
      <c r="CY149" s="194"/>
      <c r="CZ149" s="194"/>
      <c r="DA149" s="194"/>
      <c r="DB149" s="194"/>
      <c r="DC149" s="194"/>
      <c r="DD149" s="194"/>
      <c r="DE149" s="194"/>
      <c r="DF149" s="194"/>
    </row>
    <row r="150" spans="2:110" s="192" customFormat="1" hidden="1" x14ac:dyDescent="0.35">
      <c r="B150" s="289"/>
      <c r="C150" s="289"/>
      <c r="D150" s="289">
        <v>1.2</v>
      </c>
      <c r="Q150" s="193"/>
      <c r="R150" s="194">
        <f t="shared" si="51"/>
        <v>10.999999999999989</v>
      </c>
      <c r="S150" s="197">
        <f t="shared" si="19"/>
        <v>0.63636363636363702</v>
      </c>
      <c r="T150" s="194">
        <f t="shared" si="74"/>
        <v>0.69</v>
      </c>
      <c r="U150" s="194">
        <f t="shared" si="75"/>
        <v>1.4999999999999999E-4</v>
      </c>
      <c r="V150" s="197">
        <f t="shared" si="52"/>
        <v>0.63636363636363702</v>
      </c>
      <c r="W150" s="197">
        <f t="shared" si="20"/>
        <v>7.1272727272727356E-3</v>
      </c>
      <c r="X150" s="286">
        <f t="shared" si="21"/>
        <v>1</v>
      </c>
      <c r="Y150" s="286">
        <f t="shared" si="22"/>
        <v>0.49825459222947699</v>
      </c>
      <c r="Z150" s="286">
        <f t="shared" si="23"/>
        <v>0.66877017491013979</v>
      </c>
      <c r="AA150" s="286">
        <f t="shared" si="53"/>
        <v>0.49825459222947699</v>
      </c>
      <c r="AB150" s="197">
        <f t="shared" si="24"/>
        <v>0.60002979091722874</v>
      </c>
      <c r="AC150" s="287">
        <f t="shared" si="25"/>
        <v>1.2775758775114795E-6</v>
      </c>
      <c r="AD150" s="197">
        <f t="shared" si="54"/>
        <v>7.0978618660220327</v>
      </c>
      <c r="AE150" s="197">
        <f t="shared" si="55"/>
        <v>21.293585598066102</v>
      </c>
      <c r="AF150" s="197">
        <f t="shared" si="56"/>
        <v>8.5178571428571437E-2</v>
      </c>
      <c r="AG150" s="197">
        <f t="shared" si="57"/>
        <v>0.25553571428571431</v>
      </c>
      <c r="AH150" s="197">
        <f t="shared" si="26"/>
        <v>0.2016689089596935</v>
      </c>
      <c r="AI150" s="197">
        <f t="shared" si="58"/>
        <v>0.2016689089596935</v>
      </c>
      <c r="AJ150" s="218">
        <f t="shared" si="27"/>
        <v>390</v>
      </c>
      <c r="AK150" s="197">
        <f t="shared" si="59"/>
        <v>0.10038498402045237</v>
      </c>
      <c r="AL150" s="197">
        <f t="shared" si="60"/>
        <v>0.15849843533662647</v>
      </c>
      <c r="AM150" s="197">
        <f t="shared" si="61"/>
        <v>6.7203336582729633E-3</v>
      </c>
      <c r="AN150" s="197">
        <f t="shared" si="28"/>
        <v>24.05</v>
      </c>
      <c r="AO150" s="197">
        <f t="shared" si="29"/>
        <v>21.69</v>
      </c>
      <c r="AP150" s="197">
        <f t="shared" si="62"/>
        <v>0.12207087370456772</v>
      </c>
      <c r="AQ150" s="197">
        <f t="shared" si="63"/>
        <v>0.70086424539707548</v>
      </c>
      <c r="AR150" s="197">
        <f t="shared" si="64"/>
        <v>0.49919533643738201</v>
      </c>
      <c r="AS150" s="258">
        <f t="shared" si="65"/>
        <v>0.42553278150830071</v>
      </c>
      <c r="AT150" s="197">
        <f t="shared" si="30"/>
        <v>2.0280752591477413E-3</v>
      </c>
      <c r="AU150" s="194">
        <f t="shared" si="66"/>
        <v>21.19</v>
      </c>
      <c r="AV150" s="197">
        <f t="shared" si="31"/>
        <v>1.6499999999999983E-2</v>
      </c>
      <c r="AW150" s="197">
        <f t="shared" si="32"/>
        <v>3.4259999999999998E-3</v>
      </c>
      <c r="AX150" s="197">
        <f t="shared" si="67"/>
        <v>3.7685999999999963E-2</v>
      </c>
      <c r="AY150" s="197">
        <f t="shared" si="33"/>
        <v>2.8867475999999996E-3</v>
      </c>
      <c r="AZ150" s="197">
        <f t="shared" si="34"/>
        <v>0</v>
      </c>
      <c r="BA150" s="197">
        <f t="shared" si="68"/>
        <v>7.2596939999999999E-2</v>
      </c>
      <c r="BB150" s="258">
        <f t="shared" si="35"/>
        <v>0.6028473651969648</v>
      </c>
      <c r="BC150" s="197">
        <f t="shared" si="36"/>
        <v>6.0800993419779556E-2</v>
      </c>
      <c r="BD150" s="197">
        <f t="shared" si="69"/>
        <v>1.2160198683955912E-2</v>
      </c>
      <c r="BE150" s="197">
        <f t="shared" si="70"/>
        <v>7.2961192103735473E-2</v>
      </c>
      <c r="BF150" s="197">
        <f t="shared" si="37"/>
        <v>0.20773291256157636</v>
      </c>
      <c r="BG150" s="197">
        <f t="shared" si="38"/>
        <v>1.5695019655228525E-3</v>
      </c>
      <c r="BH150" s="197">
        <f t="shared" si="39"/>
        <v>9.5999042266960696E-2</v>
      </c>
      <c r="BI150" s="197">
        <f t="shared" si="71"/>
        <v>0.59434528546151077</v>
      </c>
      <c r="BJ150" s="197">
        <f t="shared" si="40"/>
        <v>6.9166513199442701</v>
      </c>
      <c r="BK150" s="288">
        <f t="shared" si="41"/>
        <v>0.91407037047715456</v>
      </c>
      <c r="BL150" s="197">
        <f t="shared" si="42"/>
        <v>0.62878648363129785</v>
      </c>
      <c r="BM150" s="197">
        <f t="shared" si="43"/>
        <v>0.12409894896371546</v>
      </c>
      <c r="BN150" s="197">
        <f t="shared" si="44"/>
        <v>57.445936937822928</v>
      </c>
      <c r="BO150" s="197">
        <f t="shared" si="72"/>
        <v>0.20930241452709922</v>
      </c>
      <c r="BP150" s="197">
        <f t="shared" si="45"/>
        <v>65.697681089532438</v>
      </c>
      <c r="BQ150" s="197">
        <f t="shared" si="46"/>
        <v>8.9096939999999986E-2</v>
      </c>
      <c r="BR150" s="288">
        <f t="shared" si="47"/>
        <v>0.16804908023934495</v>
      </c>
      <c r="BS150" s="197">
        <f t="shared" si="48"/>
        <v>0.2016689089596935</v>
      </c>
      <c r="BT150" s="197">
        <f t="shared" si="73"/>
        <v>0.60002979091722874</v>
      </c>
      <c r="BU150" s="197">
        <f t="shared" si="49"/>
        <v>0.51709346529252775</v>
      </c>
      <c r="BV150" s="197">
        <f t="shared" si="50"/>
        <v>1.5385191771238917</v>
      </c>
      <c r="BW150" s="194"/>
      <c r="BX150" s="194"/>
      <c r="BY150" s="194"/>
      <c r="BZ150" s="194"/>
      <c r="CA150" s="194"/>
      <c r="CB150" s="194"/>
      <c r="CC150" s="194"/>
      <c r="CD150" s="194"/>
      <c r="CE150" s="194"/>
      <c r="CF150" s="194"/>
      <c r="CG150" s="194"/>
      <c r="CH150" s="194"/>
      <c r="CI150" s="194"/>
      <c r="CJ150" s="194"/>
      <c r="CK150" s="194"/>
      <c r="CL150" s="194"/>
      <c r="CM150" s="194"/>
      <c r="CN150" s="194"/>
      <c r="CO150" s="194"/>
      <c r="CP150" s="194"/>
      <c r="CQ150" s="194"/>
      <c r="CR150" s="194"/>
      <c r="CS150" s="194"/>
      <c r="CT150" s="194"/>
      <c r="CU150" s="194"/>
      <c r="CV150" s="194"/>
      <c r="CW150" s="194"/>
      <c r="CX150" s="194"/>
      <c r="CY150" s="194"/>
      <c r="CZ150" s="194"/>
      <c r="DA150" s="194"/>
      <c r="DB150" s="194"/>
      <c r="DC150" s="194"/>
      <c r="DD150" s="194"/>
      <c r="DE150" s="194"/>
      <c r="DF150" s="194"/>
    </row>
    <row r="151" spans="2:110" s="192" customFormat="1" hidden="1" x14ac:dyDescent="0.35">
      <c r="B151" s="289"/>
      <c r="C151" s="289"/>
      <c r="D151" s="289">
        <v>1.3</v>
      </c>
      <c r="Q151" s="193"/>
      <c r="R151" s="194">
        <f t="shared" si="51"/>
        <v>11.099999999999989</v>
      </c>
      <c r="S151" s="197">
        <f t="shared" si="19"/>
        <v>0.63063063063063118</v>
      </c>
      <c r="T151" s="194">
        <f t="shared" si="74"/>
        <v>0.69</v>
      </c>
      <c r="U151" s="194">
        <f t="shared" si="75"/>
        <v>1.4999999999999999E-4</v>
      </c>
      <c r="V151" s="197">
        <f t="shared" si="52"/>
        <v>0.63063063063063118</v>
      </c>
      <c r="W151" s="197">
        <f t="shared" si="20"/>
        <v>7.06306306306307E-3</v>
      </c>
      <c r="X151" s="286">
        <f t="shared" si="21"/>
        <v>1</v>
      </c>
      <c r="Y151" s="286">
        <f t="shared" si="22"/>
        <v>0.4935939996825674</v>
      </c>
      <c r="Z151" s="286">
        <f t="shared" si="23"/>
        <v>0.66669765466421393</v>
      </c>
      <c r="AA151" s="286">
        <f t="shared" si="53"/>
        <v>0.4935939996825674</v>
      </c>
      <c r="AB151" s="197">
        <f t="shared" si="24"/>
        <v>0.59450755308884662</v>
      </c>
      <c r="AC151" s="287">
        <f t="shared" si="25"/>
        <v>1.2656256402117113E-6</v>
      </c>
      <c r="AD151" s="197">
        <f t="shared" si="54"/>
        <v>7.1637921996124616</v>
      </c>
      <c r="AE151" s="197">
        <f t="shared" si="55"/>
        <v>21.491376598837387</v>
      </c>
      <c r="AF151" s="197">
        <f t="shared" si="56"/>
        <v>8.5178571428571423E-2</v>
      </c>
      <c r="AG151" s="197">
        <f t="shared" si="57"/>
        <v>0.25553571428571425</v>
      </c>
      <c r="AH151" s="197">
        <f t="shared" si="26"/>
        <v>0.20168928480781165</v>
      </c>
      <c r="AI151" s="197">
        <f t="shared" si="58"/>
        <v>0.20168928480781165</v>
      </c>
      <c r="AJ151" s="218">
        <f t="shared" si="27"/>
        <v>390</v>
      </c>
      <c r="AK151" s="197">
        <f t="shared" si="59"/>
        <v>9.9461113631764048E-2</v>
      </c>
      <c r="AL151" s="197">
        <f t="shared" si="60"/>
        <v>0.157039731004601</v>
      </c>
      <c r="AM151" s="197">
        <f t="shared" si="61"/>
        <v>6.6584845945950833E-3</v>
      </c>
      <c r="AN151" s="197">
        <f t="shared" si="28"/>
        <v>24.05</v>
      </c>
      <c r="AO151" s="197">
        <f t="shared" si="29"/>
        <v>21.69</v>
      </c>
      <c r="AP151" s="197">
        <f t="shared" si="62"/>
        <v>0.12094742215812943</v>
      </c>
      <c r="AQ151" s="197">
        <f t="shared" si="63"/>
        <v>0.6953521954927524</v>
      </c>
      <c r="AR151" s="197">
        <f t="shared" si="64"/>
        <v>0.49366291068494078</v>
      </c>
      <c r="AS151" s="258">
        <f t="shared" si="65"/>
        <v>0.41967690936770485</v>
      </c>
      <c r="AT151" s="197">
        <f t="shared" si="30"/>
        <v>1.9726415324720025E-3</v>
      </c>
      <c r="AU151" s="194">
        <f t="shared" si="66"/>
        <v>21.19</v>
      </c>
      <c r="AV151" s="197">
        <f t="shared" si="31"/>
        <v>1.6649999999999984E-2</v>
      </c>
      <c r="AW151" s="197">
        <f t="shared" si="32"/>
        <v>3.4259999999999998E-3</v>
      </c>
      <c r="AX151" s="197">
        <f t="shared" si="67"/>
        <v>3.8028599999999961E-2</v>
      </c>
      <c r="AY151" s="197">
        <f t="shared" si="33"/>
        <v>2.8867475999999996E-3</v>
      </c>
      <c r="AZ151" s="197">
        <f t="shared" si="34"/>
        <v>0</v>
      </c>
      <c r="BA151" s="197">
        <f t="shared" si="68"/>
        <v>7.2596939999999999E-2</v>
      </c>
      <c r="BB151" s="258">
        <f t="shared" si="35"/>
        <v>0.59735174839749561</v>
      </c>
      <c r="BC151" s="197">
        <f t="shared" si="36"/>
        <v>5.969751032275606E-2</v>
      </c>
      <c r="BD151" s="197">
        <f t="shared" si="69"/>
        <v>1.1939502064551213E-2</v>
      </c>
      <c r="BE151" s="197">
        <f t="shared" si="70"/>
        <v>7.163701238730727E-2</v>
      </c>
      <c r="BF151" s="197">
        <f t="shared" si="37"/>
        <v>0.20773291256157631</v>
      </c>
      <c r="BG151" s="197">
        <f t="shared" si="38"/>
        <v>1.5548210990000871E-3</v>
      </c>
      <c r="BH151" s="197">
        <f t="shared" si="39"/>
        <v>9.4256746384709975E-2</v>
      </c>
      <c r="BI151" s="197">
        <f t="shared" si="71"/>
        <v>0.59023524372319502</v>
      </c>
      <c r="BJ151" s="197">
        <f t="shared" si="40"/>
        <v>6.9125412782059543</v>
      </c>
      <c r="BK151" s="288">
        <f t="shared" si="41"/>
        <v>0.91461385618280433</v>
      </c>
      <c r="BL151" s="197">
        <f t="shared" si="42"/>
        <v>0.62275146650504154</v>
      </c>
      <c r="BM151" s="197">
        <f t="shared" si="43"/>
        <v>0.12292006369060143</v>
      </c>
      <c r="BN151" s="197">
        <f t="shared" si="44"/>
        <v>57.375203821436088</v>
      </c>
      <c r="BO151" s="197">
        <f t="shared" si="72"/>
        <v>0.2092877336605764</v>
      </c>
      <c r="BP151" s="197">
        <f t="shared" si="45"/>
        <v>65.696580024543238</v>
      </c>
      <c r="BQ151" s="197">
        <f t="shared" si="46"/>
        <v>8.9246939999999983E-2</v>
      </c>
      <c r="BR151" s="288">
        <f t="shared" si="47"/>
        <v>0.16962718451591316</v>
      </c>
      <c r="BS151" s="197">
        <f t="shared" si="48"/>
        <v>0.20168928480781165</v>
      </c>
      <c r="BT151" s="197">
        <f t="shared" si="73"/>
        <v>0.59450755308884662</v>
      </c>
      <c r="BU151" s="197">
        <f t="shared" si="49"/>
        <v>0.51706712319004144</v>
      </c>
      <c r="BV151" s="197">
        <f t="shared" si="50"/>
        <v>1.5241281185726869</v>
      </c>
      <c r="BW151" s="194"/>
      <c r="BX151" s="194"/>
      <c r="BY151" s="194"/>
      <c r="BZ151" s="194"/>
      <c r="CA151" s="194"/>
      <c r="CB151" s="194"/>
      <c r="CC151" s="194"/>
      <c r="CD151" s="194"/>
      <c r="CE151" s="194"/>
      <c r="CF151" s="194"/>
      <c r="CG151" s="194"/>
      <c r="CH151" s="194"/>
      <c r="CI151" s="194"/>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row>
    <row r="152" spans="2:110" s="192" customFormat="1" hidden="1" x14ac:dyDescent="0.35">
      <c r="B152" s="289"/>
      <c r="C152" s="289"/>
      <c r="D152" s="289">
        <v>1.3</v>
      </c>
      <c r="Q152" s="193"/>
      <c r="R152" s="194">
        <f t="shared" si="51"/>
        <v>11.199999999999989</v>
      </c>
      <c r="S152" s="197">
        <f t="shared" si="19"/>
        <v>0.62500000000000056</v>
      </c>
      <c r="T152" s="194">
        <f t="shared" si="74"/>
        <v>0.69</v>
      </c>
      <c r="U152" s="194">
        <f t="shared" si="75"/>
        <v>1.4999999999999999E-4</v>
      </c>
      <c r="V152" s="197">
        <f t="shared" si="52"/>
        <v>0.62500000000000056</v>
      </c>
      <c r="W152" s="197">
        <f t="shared" si="20"/>
        <v>7.0000000000000071E-3</v>
      </c>
      <c r="X152" s="286">
        <f t="shared" si="21"/>
        <v>1</v>
      </c>
      <c r="Y152" s="286">
        <f t="shared" si="22"/>
        <v>0.48893430337130522</v>
      </c>
      <c r="Z152" s="286">
        <f t="shared" si="23"/>
        <v>0.66463832683432511</v>
      </c>
      <c r="AA152" s="286">
        <f t="shared" si="53"/>
        <v>0.48893430337130522</v>
      </c>
      <c r="AB152" s="197">
        <f t="shared" si="24"/>
        <v>0.58908706670046307</v>
      </c>
      <c r="AC152" s="287">
        <f t="shared" si="25"/>
        <v>1.2536777009520648E-6</v>
      </c>
      <c r="AD152" s="197">
        <f t="shared" si="54"/>
        <v>7.2297098547473899</v>
      </c>
      <c r="AE152" s="197">
        <f t="shared" si="55"/>
        <v>21.689129564242172</v>
      </c>
      <c r="AF152" s="197">
        <f t="shared" si="56"/>
        <v>8.5178571428571423E-2</v>
      </c>
      <c r="AG152" s="197">
        <f t="shared" si="57"/>
        <v>0.25553571428571425</v>
      </c>
      <c r="AH152" s="197">
        <f t="shared" si="26"/>
        <v>0.20167319207296114</v>
      </c>
      <c r="AI152" s="197">
        <f t="shared" si="58"/>
        <v>0.20167319207296114</v>
      </c>
      <c r="AJ152" s="218">
        <f t="shared" si="27"/>
        <v>390</v>
      </c>
      <c r="AK152" s="197">
        <f t="shared" si="59"/>
        <v>9.8554266258987472E-2</v>
      </c>
      <c r="AL152" s="197">
        <f t="shared" si="60"/>
        <v>0.15560790441144307</v>
      </c>
      <c r="AM152" s="197">
        <f t="shared" si="61"/>
        <v>6.597775147045187E-3</v>
      </c>
      <c r="AN152" s="197">
        <f t="shared" si="28"/>
        <v>24.05</v>
      </c>
      <c r="AO152" s="197">
        <f t="shared" si="29"/>
        <v>21.69</v>
      </c>
      <c r="AP152" s="197">
        <f t="shared" si="62"/>
        <v>0.11984467106251759</v>
      </c>
      <c r="AQ152" s="197">
        <f t="shared" si="63"/>
        <v>0.68992366273694361</v>
      </c>
      <c r="AR152" s="197">
        <f t="shared" si="64"/>
        <v>0.48825047066398253</v>
      </c>
      <c r="AS152" s="258">
        <f t="shared" si="65"/>
        <v>0.41391894490294018</v>
      </c>
      <c r="AT152" s="197">
        <f t="shared" si="30"/>
        <v>1.9188836010351083E-3</v>
      </c>
      <c r="AU152" s="194">
        <f t="shared" si="66"/>
        <v>21.19</v>
      </c>
      <c r="AV152" s="197">
        <f t="shared" si="31"/>
        <v>1.6799999999999982E-2</v>
      </c>
      <c r="AW152" s="197">
        <f t="shared" si="32"/>
        <v>3.4259999999999998E-3</v>
      </c>
      <c r="AX152" s="197">
        <f t="shared" si="67"/>
        <v>3.837119999999996E-2</v>
      </c>
      <c r="AY152" s="197">
        <f t="shared" si="33"/>
        <v>2.8867475999999996E-3</v>
      </c>
      <c r="AZ152" s="197">
        <f t="shared" si="34"/>
        <v>0</v>
      </c>
      <c r="BA152" s="197">
        <f t="shared" si="68"/>
        <v>7.2596939999999999E-2</v>
      </c>
      <c r="BB152" s="258">
        <f t="shared" si="35"/>
        <v>0.59195684965530271</v>
      </c>
      <c r="BC152" s="197">
        <f t="shared" si="36"/>
        <v>5.8624080153145873E-2</v>
      </c>
      <c r="BD152" s="197">
        <f t="shared" si="69"/>
        <v>1.1724816030629175E-2</v>
      </c>
      <c r="BE152" s="197">
        <f t="shared" si="70"/>
        <v>7.0348896183775045E-2</v>
      </c>
      <c r="BF152" s="197">
        <f t="shared" si="37"/>
        <v>0.20773291256157631</v>
      </c>
      <c r="BG152" s="197">
        <f t="shared" si="38"/>
        <v>1.5401430556196112E-3</v>
      </c>
      <c r="BH152" s="197">
        <f t="shared" si="39"/>
        <v>9.2561901244408093E-2</v>
      </c>
      <c r="BI152" s="197">
        <f t="shared" si="71"/>
        <v>0.58623109530893169</v>
      </c>
      <c r="BJ152" s="197">
        <f t="shared" si="40"/>
        <v>6.9085371297916911</v>
      </c>
      <c r="BK152" s="288">
        <f t="shared" si="41"/>
        <v>0.91514396111719121</v>
      </c>
      <c r="BL152" s="197">
        <f t="shared" si="42"/>
        <v>0.61683367230283015</v>
      </c>
      <c r="BM152" s="197">
        <f t="shared" si="43"/>
        <v>0.12176355466355269</v>
      </c>
      <c r="BN152" s="197">
        <f t="shared" si="44"/>
        <v>57.305813279813165</v>
      </c>
      <c r="BO152" s="197">
        <f t="shared" si="72"/>
        <v>0.20927305561719592</v>
      </c>
      <c r="BP152" s="197">
        <f t="shared" si="45"/>
        <v>65.695479171289691</v>
      </c>
      <c r="BQ152" s="197">
        <f t="shared" si="46"/>
        <v>8.939693999999998E-2</v>
      </c>
      <c r="BR152" s="288">
        <f t="shared" si="47"/>
        <v>0.17117435051031873</v>
      </c>
      <c r="BS152" s="197">
        <f t="shared" si="48"/>
        <v>0.20167319207296114</v>
      </c>
      <c r="BT152" s="197">
        <f t="shared" si="73"/>
        <v>0.58908706670046307</v>
      </c>
      <c r="BU152" s="197">
        <f t="shared" si="49"/>
        <v>0.51685746880096928</v>
      </c>
      <c r="BV152" s="197">
        <f t="shared" si="50"/>
        <v>1.5097398274334684</v>
      </c>
      <c r="BW152" s="194"/>
      <c r="BX152" s="194"/>
      <c r="BY152" s="194"/>
      <c r="BZ152" s="194"/>
      <c r="CA152" s="194"/>
      <c r="CB152" s="194"/>
      <c r="CC152" s="194"/>
      <c r="CD152" s="194"/>
      <c r="CE152" s="194"/>
      <c r="CF152" s="194"/>
      <c r="CG152" s="194"/>
      <c r="CH152" s="194"/>
      <c r="CI152" s="194"/>
      <c r="CJ152" s="194"/>
      <c r="CK152" s="194"/>
      <c r="CL152" s="194"/>
      <c r="CM152" s="194"/>
      <c r="CN152" s="194"/>
      <c r="CO152" s="194"/>
      <c r="CP152" s="194"/>
      <c r="CQ152" s="194"/>
      <c r="CR152" s="194"/>
      <c r="CS152" s="194"/>
      <c r="CT152" s="194"/>
      <c r="CU152" s="194"/>
      <c r="CV152" s="194"/>
      <c r="CW152" s="194"/>
      <c r="CX152" s="194"/>
      <c r="CY152" s="194"/>
      <c r="CZ152" s="194"/>
      <c r="DA152" s="194"/>
      <c r="DB152" s="194"/>
      <c r="DC152" s="194"/>
      <c r="DD152" s="194"/>
      <c r="DE152" s="194"/>
      <c r="DF152" s="194"/>
    </row>
    <row r="153" spans="2:110" s="192" customFormat="1" hidden="1" x14ac:dyDescent="0.35">
      <c r="B153" s="289"/>
      <c r="C153" s="289"/>
      <c r="D153" s="289">
        <v>1.4</v>
      </c>
      <c r="Q153" s="193"/>
      <c r="R153" s="194">
        <f t="shared" si="51"/>
        <v>11.299999999999988</v>
      </c>
      <c r="S153" s="197">
        <f t="shared" si="19"/>
        <v>0.6194690265486732</v>
      </c>
      <c r="T153" s="194">
        <f t="shared" si="74"/>
        <v>0.69</v>
      </c>
      <c r="U153" s="194">
        <f t="shared" si="75"/>
        <v>1.4999999999999999E-4</v>
      </c>
      <c r="V153" s="197">
        <f t="shared" si="52"/>
        <v>0.6194690265486732</v>
      </c>
      <c r="W153" s="197">
        <f t="shared" si="20"/>
        <v>6.9380530973451411E-3</v>
      </c>
      <c r="X153" s="286">
        <f t="shared" si="21"/>
        <v>1</v>
      </c>
      <c r="Y153" s="286">
        <f t="shared" si="22"/>
        <v>0.4842754794942104</v>
      </c>
      <c r="Z153" s="286">
        <f t="shared" si="23"/>
        <v>0.6625920558168289</v>
      </c>
      <c r="AA153" s="286">
        <f t="shared" si="53"/>
        <v>0.4842754794942104</v>
      </c>
      <c r="AB153" s="197">
        <f t="shared" si="24"/>
        <v>0.58376551850387881</v>
      </c>
      <c r="AC153" s="287">
        <f t="shared" si="25"/>
        <v>1.2417319987031036E-6</v>
      </c>
      <c r="AD153" s="197">
        <f t="shared" si="54"/>
        <v>7.2956151681306833</v>
      </c>
      <c r="AE153" s="197">
        <f t="shared" si="55"/>
        <v>21.886845504392049</v>
      </c>
      <c r="AF153" s="197">
        <f t="shared" si="56"/>
        <v>8.5178571428571423E-2</v>
      </c>
      <c r="AG153" s="197">
        <f t="shared" si="57"/>
        <v>0.25553571428571425</v>
      </c>
      <c r="AH153" s="197">
        <f t="shared" si="26"/>
        <v>0.20162067769320352</v>
      </c>
      <c r="AI153" s="197">
        <f t="shared" si="58"/>
        <v>0.20162067769320352</v>
      </c>
      <c r="AJ153" s="218">
        <f t="shared" si="27"/>
        <v>390</v>
      </c>
      <c r="AK153" s="197">
        <f t="shared" si="59"/>
        <v>9.7663971245698922E-2</v>
      </c>
      <c r="AL153" s="197">
        <f t="shared" si="60"/>
        <v>0.15420221243498686</v>
      </c>
      <c r="AM153" s="197">
        <f t="shared" si="61"/>
        <v>6.5381738072434435E-3</v>
      </c>
      <c r="AN153" s="197">
        <f t="shared" si="28"/>
        <v>24.05</v>
      </c>
      <c r="AO153" s="197">
        <f t="shared" si="29"/>
        <v>21.69</v>
      </c>
      <c r="AP153" s="197">
        <f t="shared" si="62"/>
        <v>0.11876204808670668</v>
      </c>
      <c r="AQ153" s="197">
        <f t="shared" si="63"/>
        <v>0.68457585735048054</v>
      </c>
      <c r="AR153" s="197">
        <f t="shared" si="64"/>
        <v>0.48295517965727708</v>
      </c>
      <c r="AS153" s="258">
        <f t="shared" si="65"/>
        <v>0.40825601443683462</v>
      </c>
      <c r="AT153" s="197">
        <f t="shared" si="30"/>
        <v>1.8667373012271082E-3</v>
      </c>
      <c r="AU153" s="194">
        <f t="shared" si="66"/>
        <v>21.19</v>
      </c>
      <c r="AV153" s="197">
        <f t="shared" si="31"/>
        <v>1.6949999999999982E-2</v>
      </c>
      <c r="AW153" s="197">
        <f t="shared" si="32"/>
        <v>3.4259999999999998E-3</v>
      </c>
      <c r="AX153" s="197">
        <f t="shared" si="67"/>
        <v>3.8713799999999958E-2</v>
      </c>
      <c r="AY153" s="197">
        <f t="shared" si="33"/>
        <v>2.8867475999999996E-3</v>
      </c>
      <c r="AZ153" s="197">
        <f t="shared" si="34"/>
        <v>0</v>
      </c>
      <c r="BA153" s="197">
        <f t="shared" si="68"/>
        <v>7.2596939999999999E-2</v>
      </c>
      <c r="BB153" s="258">
        <f t="shared" si="35"/>
        <v>0.58665982937322769</v>
      </c>
      <c r="BC153" s="197">
        <f t="shared" si="36"/>
        <v>5.7579600078457589E-2</v>
      </c>
      <c r="BD153" s="197">
        <f t="shared" si="69"/>
        <v>1.1515920015691518E-2</v>
      </c>
      <c r="BE153" s="197">
        <f t="shared" si="70"/>
        <v>6.9095520094149113E-2</v>
      </c>
      <c r="BF153" s="197">
        <f t="shared" si="37"/>
        <v>0.20773291256157631</v>
      </c>
      <c r="BG153" s="197">
        <f t="shared" si="38"/>
        <v>1.5254677604067627E-3</v>
      </c>
      <c r="BH153" s="197">
        <f t="shared" si="39"/>
        <v>9.0912765577417828E-2</v>
      </c>
      <c r="BI153" s="197">
        <f t="shared" si="71"/>
        <v>0.58232913898148375</v>
      </c>
      <c r="BJ153" s="197">
        <f t="shared" si="40"/>
        <v>6.9046351734642428</v>
      </c>
      <c r="BK153" s="288">
        <f t="shared" si="41"/>
        <v>0.91566112845187253</v>
      </c>
      <c r="BL153" s="197">
        <f t="shared" si="42"/>
        <v>0.61102966136851766</v>
      </c>
      <c r="BM153" s="197">
        <f t="shared" si="43"/>
        <v>0.12062878538793378</v>
      </c>
      <c r="BN153" s="197">
        <f t="shared" si="44"/>
        <v>57.237727123276031</v>
      </c>
      <c r="BO153" s="197">
        <f t="shared" si="72"/>
        <v>0.20925838032198307</v>
      </c>
      <c r="BP153" s="197">
        <f t="shared" si="45"/>
        <v>65.694378524148732</v>
      </c>
      <c r="BQ153" s="197">
        <f t="shared" si="46"/>
        <v>8.9546939999999978E-2</v>
      </c>
      <c r="BR153" s="288">
        <f t="shared" si="47"/>
        <v>0.17268977980228534</v>
      </c>
      <c r="BS153" s="197">
        <f t="shared" si="48"/>
        <v>0.20162067769320352</v>
      </c>
      <c r="BT153" s="197">
        <f t="shared" si="73"/>
        <v>0.58376551850387881</v>
      </c>
      <c r="BU153" s="197">
        <f t="shared" si="49"/>
        <v>0.51646478548331876</v>
      </c>
      <c r="BV153" s="197">
        <f t="shared" si="50"/>
        <v>1.4953542302116134</v>
      </c>
      <c r="BW153" s="194"/>
      <c r="BX153" s="194"/>
      <c r="BY153" s="194"/>
      <c r="BZ153" s="194"/>
      <c r="CA153" s="194"/>
      <c r="CB153" s="194"/>
      <c r="CC153" s="194"/>
      <c r="CD153" s="194"/>
      <c r="CE153" s="194"/>
      <c r="CF153" s="194"/>
      <c r="CG153" s="194"/>
      <c r="CH153" s="194"/>
      <c r="CI153" s="194"/>
      <c r="CJ153" s="194"/>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row>
    <row r="154" spans="2:110" s="192" customFormat="1" hidden="1" x14ac:dyDescent="0.35">
      <c r="B154" s="289"/>
      <c r="C154" s="289"/>
      <c r="D154" s="289">
        <v>1.5</v>
      </c>
      <c r="Q154" s="193"/>
      <c r="R154" s="194">
        <f t="shared" si="51"/>
        <v>11.399999999999988</v>
      </c>
      <c r="S154" s="197">
        <f t="shared" si="19"/>
        <v>0.61403508771929893</v>
      </c>
      <c r="T154" s="194">
        <f t="shared" si="74"/>
        <v>0.69</v>
      </c>
      <c r="U154" s="194">
        <f t="shared" si="75"/>
        <v>1.4999999999999999E-4</v>
      </c>
      <c r="V154" s="197">
        <f t="shared" si="52"/>
        <v>0.61403508771929893</v>
      </c>
      <c r="W154" s="197">
        <f t="shared" si="20"/>
        <v>6.8771929824561493E-3</v>
      </c>
      <c r="X154" s="286">
        <f t="shared" si="21"/>
        <v>1</v>
      </c>
      <c r="Y154" s="286">
        <f t="shared" si="22"/>
        <v>0.47961750508520712</v>
      </c>
      <c r="Z154" s="286">
        <f t="shared" si="23"/>
        <v>0.66055870819472662</v>
      </c>
      <c r="AA154" s="286">
        <f t="shared" si="53"/>
        <v>0.47961750508520712</v>
      </c>
      <c r="AB154" s="197">
        <f t="shared" si="24"/>
        <v>0.57854019891180697</v>
      </c>
      <c r="AC154" s="287">
        <f t="shared" si="25"/>
        <v>1.2297884745774541E-6</v>
      </c>
      <c r="AD154" s="197">
        <f t="shared" si="54"/>
        <v>7.3615084646482893</v>
      </c>
      <c r="AE154" s="197">
        <f t="shared" si="55"/>
        <v>22.084525393944865</v>
      </c>
      <c r="AF154" s="197">
        <f t="shared" si="56"/>
        <v>8.5178571428571437E-2</v>
      </c>
      <c r="AG154" s="197">
        <f t="shared" si="57"/>
        <v>0.25553571428571431</v>
      </c>
      <c r="AH154" s="197">
        <f t="shared" si="26"/>
        <v>0.20153178687889611</v>
      </c>
      <c r="AI154" s="197">
        <f t="shared" si="58"/>
        <v>0.20153178687889611</v>
      </c>
      <c r="AJ154" s="218">
        <f t="shared" si="27"/>
        <v>389.99999999999994</v>
      </c>
      <c r="AK154" s="197">
        <f t="shared" si="59"/>
        <v>9.6789775277945314E-2</v>
      </c>
      <c r="AL154" s="197">
        <f t="shared" si="60"/>
        <v>0.15282193933519428</v>
      </c>
      <c r="AM154" s="197">
        <f t="shared" si="61"/>
        <v>6.4796502278122387E-3</v>
      </c>
      <c r="AN154" s="197">
        <f t="shared" si="28"/>
        <v>24.05</v>
      </c>
      <c r="AO154" s="197">
        <f t="shared" si="29"/>
        <v>21.69</v>
      </c>
      <c r="AP154" s="197">
        <f t="shared" si="62"/>
        <v>0.1176990019885875</v>
      </c>
      <c r="AQ154" s="197">
        <f t="shared" si="63"/>
        <v>0.67930609235125505</v>
      </c>
      <c r="AR154" s="197">
        <f t="shared" si="64"/>
        <v>0.47777430547235888</v>
      </c>
      <c r="AS154" s="258">
        <f t="shared" si="65"/>
        <v>0.40268534751223783</v>
      </c>
      <c r="AT154" s="197">
        <f t="shared" si="30"/>
        <v>1.8161414779317797E-3</v>
      </c>
      <c r="AU154" s="194">
        <f t="shared" si="66"/>
        <v>21.19</v>
      </c>
      <c r="AV154" s="197">
        <f t="shared" si="31"/>
        <v>1.7099999999999983E-2</v>
      </c>
      <c r="AW154" s="197">
        <f t="shared" si="32"/>
        <v>3.4259999999999994E-3</v>
      </c>
      <c r="AX154" s="197">
        <f t="shared" si="67"/>
        <v>3.9056399999999949E-2</v>
      </c>
      <c r="AY154" s="197">
        <f t="shared" si="33"/>
        <v>2.8867475999999992E-3</v>
      </c>
      <c r="AZ154" s="197">
        <f t="shared" si="34"/>
        <v>0</v>
      </c>
      <c r="BA154" s="197">
        <f t="shared" si="68"/>
        <v>7.2596939999999985E-2</v>
      </c>
      <c r="BB154" s="258">
        <f t="shared" si="35"/>
        <v>0.58145795220617325</v>
      </c>
      <c r="BC154" s="197">
        <f t="shared" si="36"/>
        <v>5.6563017485749142E-2</v>
      </c>
      <c r="BD154" s="197">
        <f t="shared" si="69"/>
        <v>1.1312603497149829E-2</v>
      </c>
      <c r="BE154" s="197">
        <f t="shared" si="70"/>
        <v>6.7875620982898968E-2</v>
      </c>
      <c r="BF154" s="197">
        <f t="shared" si="37"/>
        <v>0.20773291256157636</v>
      </c>
      <c r="BG154" s="197">
        <f t="shared" si="38"/>
        <v>1.5107951410184024E-3</v>
      </c>
      <c r="BH154" s="197">
        <f t="shared" si="39"/>
        <v>8.930767740704057E-2</v>
      </c>
      <c r="BI154" s="197">
        <f t="shared" si="71"/>
        <v>0.57852583715905348</v>
      </c>
      <c r="BJ154" s="197">
        <f t="shared" si="40"/>
        <v>6.9008318716418122</v>
      </c>
      <c r="BK154" s="288">
        <f t="shared" si="41"/>
        <v>0.91616578292010853</v>
      </c>
      <c r="BL154" s="197">
        <f t="shared" si="42"/>
        <v>0.60533612909138768</v>
      </c>
      <c r="BM154" s="197">
        <f t="shared" si="43"/>
        <v>0.11951514346651929</v>
      </c>
      <c r="BN154" s="197">
        <f t="shared" si="44"/>
        <v>57.170908607991159</v>
      </c>
      <c r="BO154" s="197">
        <f t="shared" si="72"/>
        <v>0.20924370770259476</v>
      </c>
      <c r="BP154" s="197">
        <f t="shared" si="45"/>
        <v>65.6932780776946</v>
      </c>
      <c r="BQ154" s="197">
        <f t="shared" si="46"/>
        <v>8.9696939999999975E-2</v>
      </c>
      <c r="BR154" s="288">
        <f t="shared" si="47"/>
        <v>0.17417267396281458</v>
      </c>
      <c r="BS154" s="197">
        <f t="shared" si="48"/>
        <v>0.20153178687889611</v>
      </c>
      <c r="BT154" s="197">
        <f t="shared" si="73"/>
        <v>0.57854019891180697</v>
      </c>
      <c r="BU154" s="197">
        <f t="shared" si="49"/>
        <v>0.51588944743641485</v>
      </c>
      <c r="BV154" s="197">
        <f t="shared" si="50"/>
        <v>1.4809712559920736</v>
      </c>
      <c r="BW154" s="194"/>
      <c r="BX154" s="194"/>
      <c r="BY154" s="194"/>
      <c r="BZ154" s="194"/>
      <c r="CA154" s="194"/>
      <c r="CB154" s="194"/>
      <c r="CC154" s="194"/>
      <c r="CD154" s="194"/>
      <c r="CE154" s="194"/>
      <c r="CF154" s="194"/>
      <c r="CG154" s="194"/>
      <c r="CH154" s="194"/>
      <c r="CI154" s="194"/>
      <c r="CJ154" s="194"/>
      <c r="CK154" s="194"/>
      <c r="CL154" s="194"/>
      <c r="CM154" s="194"/>
      <c r="CN154" s="194"/>
      <c r="CO154" s="194"/>
      <c r="CP154" s="194"/>
      <c r="CQ154" s="194"/>
      <c r="CR154" s="194"/>
      <c r="CS154" s="194"/>
      <c r="CT154" s="194"/>
      <c r="CU154" s="194"/>
      <c r="CV154" s="194"/>
      <c r="CW154" s="194"/>
      <c r="CX154" s="194"/>
      <c r="CY154" s="194"/>
      <c r="CZ154" s="194"/>
      <c r="DA154" s="194"/>
      <c r="DB154" s="194"/>
      <c r="DC154" s="194"/>
      <c r="DD154" s="194"/>
      <c r="DE154" s="194"/>
      <c r="DF154" s="194"/>
    </row>
    <row r="155" spans="2:110" s="192" customFormat="1" hidden="1" x14ac:dyDescent="0.35">
      <c r="B155" s="289"/>
      <c r="C155" s="289"/>
      <c r="D155" s="289">
        <v>1.5</v>
      </c>
      <c r="Q155" s="193"/>
      <c r="R155" s="194">
        <f t="shared" si="51"/>
        <v>11.499999999999988</v>
      </c>
      <c r="S155" s="197">
        <f t="shared" si="19"/>
        <v>0.60869565217391364</v>
      </c>
      <c r="T155" s="194">
        <f t="shared" si="74"/>
        <v>0.69</v>
      </c>
      <c r="U155" s="194">
        <f t="shared" si="75"/>
        <v>1.4999999999999999E-4</v>
      </c>
      <c r="V155" s="197">
        <f t="shared" si="52"/>
        <v>0.60869565217391364</v>
      </c>
      <c r="W155" s="197">
        <f t="shared" si="20"/>
        <v>6.8173913043478333E-3</v>
      </c>
      <c r="X155" s="286">
        <f t="shared" si="21"/>
        <v>1</v>
      </c>
      <c r="Y155" s="286">
        <f t="shared" si="22"/>
        <v>0.47496035797729091</v>
      </c>
      <c r="Z155" s="286">
        <f t="shared" si="23"/>
        <v>0.65853815268098292</v>
      </c>
      <c r="AA155" s="286">
        <f t="shared" si="53"/>
        <v>0.47496035797729091</v>
      </c>
      <c r="AB155" s="197">
        <f t="shared" si="24"/>
        <v>0.57340849722963405</v>
      </c>
      <c r="AC155" s="287">
        <f t="shared" si="25"/>
        <v>1.2178470717366434E-6</v>
      </c>
      <c r="AD155" s="197">
        <f t="shared" si="54"/>
        <v>7.4273900578822261</v>
      </c>
      <c r="AE155" s="197">
        <f t="shared" si="55"/>
        <v>22.282170173646676</v>
      </c>
      <c r="AF155" s="197">
        <f t="shared" si="56"/>
        <v>8.5178571428571437E-2</v>
      </c>
      <c r="AG155" s="197">
        <f t="shared" si="57"/>
        <v>0.25553571428571431</v>
      </c>
      <c r="AH155" s="197">
        <f t="shared" si="26"/>
        <v>0.20140656319206873</v>
      </c>
      <c r="AI155" s="197">
        <f t="shared" si="58"/>
        <v>0.20140656319206873</v>
      </c>
      <c r="AJ155" s="218">
        <f t="shared" si="27"/>
        <v>390.00000000000006</v>
      </c>
      <c r="AK155" s="197">
        <f t="shared" si="59"/>
        <v>9.5931241586517779E-2</v>
      </c>
      <c r="AL155" s="197">
        <f t="shared" si="60"/>
        <v>0.15146639549462032</v>
      </c>
      <c r="AM155" s="197">
        <f t="shared" si="61"/>
        <v>6.422175168971902E-3</v>
      </c>
      <c r="AN155" s="197">
        <f t="shared" si="28"/>
        <v>24.05</v>
      </c>
      <c r="AO155" s="197">
        <f t="shared" si="29"/>
        <v>21.69</v>
      </c>
      <c r="AP155" s="197">
        <f t="shared" si="62"/>
        <v>0.11665500164491051</v>
      </c>
      <c r="AQ155" s="197">
        <f t="shared" si="63"/>
        <v>0.67411177882566842</v>
      </c>
      <c r="AR155" s="197">
        <f t="shared" si="64"/>
        <v>0.47270521563359968</v>
      </c>
      <c r="AS155" s="258">
        <f t="shared" si="65"/>
        <v>0.39720427208729397</v>
      </c>
      <c r="AT155" s="197">
        <f t="shared" si="30"/>
        <v>1.7670378181612472E-3</v>
      </c>
      <c r="AU155" s="194">
        <f t="shared" si="66"/>
        <v>21.19</v>
      </c>
      <c r="AV155" s="197">
        <f t="shared" si="31"/>
        <v>1.7249999999999981E-2</v>
      </c>
      <c r="AW155" s="197">
        <f t="shared" si="32"/>
        <v>3.4260000000000002E-3</v>
      </c>
      <c r="AX155" s="197">
        <f t="shared" si="67"/>
        <v>3.9398999999999962E-2</v>
      </c>
      <c r="AY155" s="197">
        <f t="shared" si="33"/>
        <v>2.8867476000000005E-3</v>
      </c>
      <c r="AZ155" s="197">
        <f t="shared" si="34"/>
        <v>0</v>
      </c>
      <c r="BA155" s="197">
        <f t="shared" si="68"/>
        <v>7.2596940000000013E-2</v>
      </c>
      <c r="BB155" s="258">
        <f t="shared" si="35"/>
        <v>0.57634858231503494</v>
      </c>
      <c r="BC155" s="197">
        <f t="shared" si="36"/>
        <v>5.5573327258704917E-2</v>
      </c>
      <c r="BD155" s="197">
        <f t="shared" si="69"/>
        <v>1.1114665451740984E-2</v>
      </c>
      <c r="BE155" s="197">
        <f t="shared" si="70"/>
        <v>6.6687992710445898E-2</v>
      </c>
      <c r="BF155" s="197">
        <f t="shared" si="37"/>
        <v>0.20773291256157633</v>
      </c>
      <c r="BG155" s="197">
        <f t="shared" si="38"/>
        <v>1.4961251276284664E-3</v>
      </c>
      <c r="BH155" s="197">
        <f t="shared" si="39"/>
        <v>8.7745049749277521E-2</v>
      </c>
      <c r="BI155" s="197">
        <f t="shared" si="71"/>
        <v>0.57481780721199993</v>
      </c>
      <c r="BJ155" s="197">
        <f t="shared" si="40"/>
        <v>6.8971238416947589</v>
      </c>
      <c r="BK155" s="288">
        <f t="shared" si="41"/>
        <v>0.9166583317328465</v>
      </c>
      <c r="BL155" s="197">
        <f t="shared" si="42"/>
        <v>0.59974989927780575</v>
      </c>
      <c r="BM155" s="197">
        <f t="shared" si="43"/>
        <v>0.11842203946307175</v>
      </c>
      <c r="BN155" s="197">
        <f t="shared" si="44"/>
        <v>57.105322367784304</v>
      </c>
      <c r="BO155" s="197">
        <f t="shared" si="72"/>
        <v>0.20922903768920481</v>
      </c>
      <c r="BP155" s="197">
        <f t="shared" si="45"/>
        <v>65.692177826690369</v>
      </c>
      <c r="BQ155" s="197">
        <f t="shared" si="46"/>
        <v>8.9846939999999986E-2</v>
      </c>
      <c r="BR155" s="288">
        <f t="shared" si="47"/>
        <v>0.1756222345545492</v>
      </c>
      <c r="BS155" s="197">
        <f t="shared" si="48"/>
        <v>0.20140656319206873</v>
      </c>
      <c r="BT155" s="197">
        <f t="shared" si="73"/>
        <v>0.57340849722963405</v>
      </c>
      <c r="BU155" s="197">
        <f t="shared" si="49"/>
        <v>0.5151319197060118</v>
      </c>
      <c r="BV155" s="197">
        <f t="shared" si="50"/>
        <v>1.4665908363271876</v>
      </c>
      <c r="BW155" s="194"/>
      <c r="BX155" s="194"/>
      <c r="BY155" s="194"/>
      <c r="BZ155" s="194"/>
      <c r="CA155" s="194"/>
      <c r="CB155" s="194"/>
      <c r="CC155" s="194"/>
      <c r="CD155" s="194"/>
      <c r="CE155" s="194"/>
      <c r="CF155" s="194"/>
      <c r="CG155" s="194"/>
      <c r="CH155" s="194"/>
      <c r="CI155" s="194"/>
      <c r="CJ155" s="194"/>
      <c r="CK155" s="194"/>
      <c r="CL155" s="194"/>
      <c r="CM155" s="194"/>
      <c r="CN155" s="194"/>
      <c r="CO155" s="194"/>
      <c r="CP155" s="194"/>
      <c r="CQ155" s="194"/>
      <c r="CR155" s="194"/>
      <c r="CS155" s="194"/>
      <c r="CT155" s="194"/>
      <c r="CU155" s="194"/>
      <c r="CV155" s="194"/>
      <c r="CW155" s="194"/>
      <c r="CX155" s="194"/>
      <c r="CY155" s="194"/>
      <c r="CZ155" s="194"/>
      <c r="DA155" s="194"/>
      <c r="DB155" s="194"/>
      <c r="DC155" s="194"/>
      <c r="DD155" s="194"/>
      <c r="DE155" s="194"/>
      <c r="DF155" s="194"/>
    </row>
    <row r="156" spans="2:110" s="192" customFormat="1" hidden="1" x14ac:dyDescent="0.35">
      <c r="B156" s="289"/>
      <c r="C156" s="289"/>
      <c r="D156" s="289"/>
      <c r="Q156" s="193"/>
      <c r="R156" s="194">
        <f t="shared" si="51"/>
        <v>11.599999999999987</v>
      </c>
      <c r="S156" s="197">
        <f t="shared" si="19"/>
        <v>0.60344827586206962</v>
      </c>
      <c r="T156" s="194">
        <f t="shared" si="74"/>
        <v>0.69</v>
      </c>
      <c r="U156" s="194">
        <f t="shared" si="75"/>
        <v>1.4999999999999999E-4</v>
      </c>
      <c r="V156" s="197">
        <f t="shared" si="52"/>
        <v>0.60344827586206962</v>
      </c>
      <c r="W156" s="197">
        <f t="shared" si="20"/>
        <v>6.758620689655181E-3</v>
      </c>
      <c r="X156" s="286">
        <f t="shared" si="21"/>
        <v>1</v>
      </c>
      <c r="Y156" s="286">
        <f t="shared" si="22"/>
        <v>0.47030401676807504</v>
      </c>
      <c r="Z156" s="286">
        <f t="shared" si="23"/>
        <v>0.65653026006408977</v>
      </c>
      <c r="AA156" s="286">
        <f t="shared" si="53"/>
        <v>0.47030401676807504</v>
      </c>
      <c r="AB156" s="197">
        <f t="shared" si="24"/>
        <v>0.56836789714980318</v>
      </c>
      <c r="AC156" s="287">
        <f t="shared" si="25"/>
        <v>1.2059077353027564E-6</v>
      </c>
      <c r="AD156" s="197">
        <f t="shared" si="54"/>
        <v>7.493260250597964</v>
      </c>
      <c r="AE156" s="197">
        <f t="shared" si="55"/>
        <v>22.479780751793893</v>
      </c>
      <c r="AF156" s="197">
        <f t="shared" si="56"/>
        <v>8.5178571428571437E-2</v>
      </c>
      <c r="AG156" s="197">
        <f t="shared" si="57"/>
        <v>0.25553571428571431</v>
      </c>
      <c r="AH156" s="197">
        <f t="shared" si="26"/>
        <v>0.20124504862143436</v>
      </c>
      <c r="AI156" s="197">
        <f t="shared" si="58"/>
        <v>0.20124504862143436</v>
      </c>
      <c r="AJ156" s="218">
        <f t="shared" si="27"/>
        <v>390.00000000000006</v>
      </c>
      <c r="AK156" s="197">
        <f t="shared" si="59"/>
        <v>9.5087949193162075E-2</v>
      </c>
      <c r="AL156" s="197">
        <f t="shared" si="60"/>
        <v>0.1501349162282499</v>
      </c>
      <c r="AM156" s="197">
        <f t="shared" si="61"/>
        <v>6.3657204480777963E-3</v>
      </c>
      <c r="AN156" s="197">
        <f t="shared" si="28"/>
        <v>24.05</v>
      </c>
      <c r="AO156" s="197">
        <f t="shared" si="29"/>
        <v>21.69</v>
      </c>
      <c r="AP156" s="197">
        <f t="shared" si="62"/>
        <v>0.11562953513465661</v>
      </c>
      <c r="AQ156" s="197">
        <f t="shared" si="63"/>
        <v>0.66899042146052035</v>
      </c>
      <c r="AR156" s="197">
        <f t="shared" si="64"/>
        <v>0.46774537283908602</v>
      </c>
      <c r="AS156" s="258">
        <f t="shared" si="65"/>
        <v>0.39181020999086752</v>
      </c>
      <c r="AT156" s="197">
        <f t="shared" si="30"/>
        <v>1.7193706953145824E-3</v>
      </c>
      <c r="AU156" s="194">
        <f t="shared" si="66"/>
        <v>21.19</v>
      </c>
      <c r="AV156" s="197">
        <f t="shared" si="31"/>
        <v>1.7399999999999981E-2</v>
      </c>
      <c r="AW156" s="197">
        <f t="shared" si="32"/>
        <v>3.4260000000000002E-3</v>
      </c>
      <c r="AX156" s="197">
        <f t="shared" si="67"/>
        <v>3.974159999999996E-2</v>
      </c>
      <c r="AY156" s="197">
        <f t="shared" si="33"/>
        <v>2.8867476000000005E-3</v>
      </c>
      <c r="AZ156" s="197">
        <f t="shared" si="34"/>
        <v>0</v>
      </c>
      <c r="BA156" s="197">
        <f t="shared" si="68"/>
        <v>7.2596940000000013E-2</v>
      </c>
      <c r="BB156" s="258">
        <f t="shared" si="35"/>
        <v>0.57132917888322166</v>
      </c>
      <c r="BC156" s="197">
        <f t="shared" si="36"/>
        <v>5.4609569226636859E-2</v>
      </c>
      <c r="BD156" s="197">
        <f t="shared" si="69"/>
        <v>1.0921913845327372E-2</v>
      </c>
      <c r="BE156" s="197">
        <f t="shared" si="70"/>
        <v>6.5531483071964228E-2</v>
      </c>
      <c r="BF156" s="197">
        <f t="shared" si="37"/>
        <v>0.20773291256157636</v>
      </c>
      <c r="BG156" s="197">
        <f t="shared" si="38"/>
        <v>1.4814576528194361E-3</v>
      </c>
      <c r="BH156" s="197">
        <f t="shared" si="39"/>
        <v>8.6223366585042788E-2</v>
      </c>
      <c r="BI156" s="197">
        <f t="shared" si="71"/>
        <v>0.57120181330137398</v>
      </c>
      <c r="BJ156" s="197">
        <f t="shared" si="40"/>
        <v>6.8935078477841332</v>
      </c>
      <c r="BK156" s="288">
        <f t="shared" si="41"/>
        <v>0.91713916544173046</v>
      </c>
      <c r="BL156" s="197">
        <f t="shared" si="42"/>
        <v>0.59426791791242595</v>
      </c>
      <c r="BM156" s="197">
        <f t="shared" si="43"/>
        <v>0.11734890582997119</v>
      </c>
      <c r="BN156" s="197">
        <f t="shared" si="44"/>
        <v>57.04093434979827</v>
      </c>
      <c r="BO156" s="197">
        <f t="shared" si="72"/>
        <v>0.20921437021439579</v>
      </c>
      <c r="BP156" s="197">
        <f t="shared" si="45"/>
        <v>65.691077766079687</v>
      </c>
      <c r="BQ156" s="197">
        <f t="shared" si="46"/>
        <v>8.9996939999999997E-2</v>
      </c>
      <c r="BR156" s="288">
        <f t="shared" si="47"/>
        <v>0.17703766313211805</v>
      </c>
      <c r="BS156" s="197">
        <f t="shared" si="48"/>
        <v>0.20124504862143436</v>
      </c>
      <c r="BT156" s="197">
        <f t="shared" si="73"/>
        <v>0.56836789714980318</v>
      </c>
      <c r="BU156" s="197">
        <f t="shared" si="49"/>
        <v>0.51419275818914378</v>
      </c>
      <c r="BV156" s="197">
        <f t="shared" si="50"/>
        <v>1.4522129051302961</v>
      </c>
      <c r="BW156" s="194"/>
      <c r="BX156" s="194"/>
      <c r="BY156" s="194"/>
      <c r="BZ156" s="194"/>
      <c r="CA156" s="194"/>
      <c r="CB156" s="194"/>
      <c r="CC156" s="194"/>
      <c r="CD156" s="194"/>
      <c r="CE156" s="194"/>
      <c r="CF156" s="194"/>
      <c r="CG156" s="194"/>
      <c r="CH156" s="194"/>
      <c r="CI156" s="194"/>
      <c r="CJ156" s="194"/>
      <c r="CK156" s="194"/>
      <c r="CL156" s="194"/>
      <c r="CM156" s="194"/>
      <c r="CN156" s="194"/>
      <c r="CO156" s="194"/>
      <c r="CP156" s="194"/>
      <c r="CQ156" s="194"/>
      <c r="CR156" s="194"/>
      <c r="CS156" s="194"/>
      <c r="CT156" s="194"/>
      <c r="CU156" s="194"/>
      <c r="CV156" s="194"/>
      <c r="CW156" s="194"/>
      <c r="CX156" s="194"/>
      <c r="CY156" s="194"/>
      <c r="CZ156" s="194"/>
      <c r="DA156" s="194"/>
      <c r="DB156" s="194"/>
      <c r="DC156" s="194"/>
      <c r="DD156" s="194"/>
      <c r="DE156" s="194"/>
      <c r="DF156" s="194"/>
    </row>
    <row r="157" spans="2:110" s="192" customFormat="1" hidden="1" x14ac:dyDescent="0.35">
      <c r="B157" s="289"/>
      <c r="C157" s="289"/>
      <c r="D157" s="289"/>
      <c r="Q157" s="193"/>
      <c r="R157" s="194">
        <f t="shared" si="51"/>
        <v>11.699999999999987</v>
      </c>
      <c r="S157" s="197">
        <f t="shared" si="19"/>
        <v>0.59829059829059894</v>
      </c>
      <c r="T157" s="194">
        <f t="shared" si="74"/>
        <v>0.69</v>
      </c>
      <c r="U157" s="194">
        <f t="shared" si="75"/>
        <v>1.4999999999999999E-4</v>
      </c>
      <c r="V157" s="197">
        <f t="shared" si="52"/>
        <v>0.59829059829059894</v>
      </c>
      <c r="W157" s="197">
        <f t="shared" si="20"/>
        <v>6.7008547008547093E-3</v>
      </c>
      <c r="X157" s="286">
        <f t="shared" si="21"/>
        <v>1</v>
      </c>
      <c r="Y157" s="286">
        <f t="shared" si="22"/>
        <v>0.46564846078710442</v>
      </c>
      <c r="Z157" s="286">
        <f t="shared" si="23"/>
        <v>0.65453490315575524</v>
      </c>
      <c r="AA157" s="286">
        <f t="shared" si="53"/>
        <v>0.46564846078710442</v>
      </c>
      <c r="AB157" s="197">
        <f t="shared" si="24"/>
        <v>0.56341597249199249</v>
      </c>
      <c r="AC157" s="287">
        <f t="shared" si="25"/>
        <v>1.1939704122746267E-6</v>
      </c>
      <c r="AD157" s="197">
        <f t="shared" si="54"/>
        <v>7.559119335206816</v>
      </c>
      <c r="AE157" s="197">
        <f t="shared" si="55"/>
        <v>22.677358005620448</v>
      </c>
      <c r="AF157" s="197">
        <f t="shared" si="56"/>
        <v>8.5178571428571437E-2</v>
      </c>
      <c r="AG157" s="197">
        <f t="shared" si="57"/>
        <v>0.25553571428571431</v>
      </c>
      <c r="AH157" s="197">
        <f t="shared" si="26"/>
        <v>0.20104728365331359</v>
      </c>
      <c r="AI157" s="197">
        <f t="shared" si="58"/>
        <v>0.20104728365331359</v>
      </c>
      <c r="AJ157" s="218">
        <f t="shared" si="27"/>
        <v>390</v>
      </c>
      <c r="AK157" s="197">
        <f t="shared" si="59"/>
        <v>9.4259492197910341E-2</v>
      </c>
      <c r="AL157" s="197">
        <f t="shared" si="60"/>
        <v>0.14882686065826217</v>
      </c>
      <c r="AM157" s="197">
        <f t="shared" si="61"/>
        <v>6.3102588919103164E-3</v>
      </c>
      <c r="AN157" s="197">
        <f t="shared" si="28"/>
        <v>24.05</v>
      </c>
      <c r="AO157" s="197">
        <f t="shared" si="29"/>
        <v>21.69</v>
      </c>
      <c r="AP157" s="197">
        <f t="shared" si="62"/>
        <v>0.11462210887241368</v>
      </c>
      <c r="AQ157" s="197">
        <f t="shared" si="63"/>
        <v>0.66393961431864934</v>
      </c>
      <c r="AR157" s="197">
        <f t="shared" si="64"/>
        <v>0.46289233066533569</v>
      </c>
      <c r="AS157" s="258">
        <f t="shared" si="65"/>
        <v>0.38650067262117377</v>
      </c>
      <c r="AT157" s="197">
        <f t="shared" si="30"/>
        <v>1.6730870232901415E-3</v>
      </c>
      <c r="AU157" s="194">
        <f t="shared" si="66"/>
        <v>21.19</v>
      </c>
      <c r="AV157" s="197">
        <f t="shared" si="31"/>
        <v>1.7549999999999982E-2</v>
      </c>
      <c r="AW157" s="197">
        <f t="shared" si="32"/>
        <v>3.4259999999999998E-3</v>
      </c>
      <c r="AX157" s="197">
        <f t="shared" si="67"/>
        <v>4.0084199999999952E-2</v>
      </c>
      <c r="AY157" s="197">
        <f t="shared" si="33"/>
        <v>2.8867475999999996E-3</v>
      </c>
      <c r="AZ157" s="197">
        <f t="shared" si="34"/>
        <v>0</v>
      </c>
      <c r="BA157" s="197">
        <f t="shared" si="68"/>
        <v>7.2596939999999999E-2</v>
      </c>
      <c r="BB157" s="258">
        <f t="shared" si="35"/>
        <v>0.56639729187893872</v>
      </c>
      <c r="BC157" s="197">
        <f t="shared" si="36"/>
        <v>5.3670825773056222E-2</v>
      </c>
      <c r="BD157" s="197">
        <f t="shared" si="69"/>
        <v>1.0734165154611244E-2</v>
      </c>
      <c r="BE157" s="197">
        <f t="shared" si="70"/>
        <v>6.4404990927667466E-2</v>
      </c>
      <c r="BF157" s="197">
        <f t="shared" si="37"/>
        <v>0.20773291256157636</v>
      </c>
      <c r="BG157" s="197">
        <f t="shared" si="38"/>
        <v>1.4667926514793787E-3</v>
      </c>
      <c r="BH157" s="197">
        <f t="shared" si="39"/>
        <v>8.4741179084323395E-2</v>
      </c>
      <c r="BI157" s="197">
        <f t="shared" si="71"/>
        <v>0.56767475872075035</v>
      </c>
      <c r="BJ157" s="197">
        <f t="shared" si="40"/>
        <v>6.8899807932035095</v>
      </c>
      <c r="BK157" s="288">
        <f t="shared" si="41"/>
        <v>0.91760865875261621</v>
      </c>
      <c r="BL157" s="197">
        <f t="shared" si="42"/>
        <v>0.58888724728235187</v>
      </c>
      <c r="BM157" s="197">
        <f t="shared" si="43"/>
        <v>0.11629519589570382</v>
      </c>
      <c r="BN157" s="197">
        <f t="shared" si="44"/>
        <v>56.977711753742227</v>
      </c>
      <c r="BO157" s="197">
        <f t="shared" si="72"/>
        <v>0.20919970521305573</v>
      </c>
      <c r="BP157" s="197">
        <f t="shared" si="45"/>
        <v>65.689977890979179</v>
      </c>
      <c r="BQ157" s="197">
        <f t="shared" si="46"/>
        <v>9.0146939999999981E-2</v>
      </c>
      <c r="BR157" s="288">
        <f t="shared" si="47"/>
        <v>0.17841816124246546</v>
      </c>
      <c r="BS157" s="197">
        <f t="shared" si="48"/>
        <v>0.20104728365331359</v>
      </c>
      <c r="BT157" s="197">
        <f t="shared" si="73"/>
        <v>0.56341597249199249</v>
      </c>
      <c r="BU157" s="197">
        <f t="shared" si="49"/>
        <v>0.51307260963873424</v>
      </c>
      <c r="BV157" s="197">
        <f t="shared" si="50"/>
        <v>1.4378373985748076</v>
      </c>
      <c r="BW157" s="194"/>
      <c r="BX157" s="194"/>
      <c r="BY157" s="194"/>
      <c r="BZ157" s="194"/>
      <c r="CA157" s="194"/>
      <c r="CB157" s="194"/>
      <c r="CC157" s="194"/>
      <c r="CD157" s="194"/>
      <c r="CE157" s="194"/>
      <c r="CF157" s="194"/>
      <c r="CG157" s="194"/>
      <c r="CH157" s="194"/>
      <c r="CI157" s="194"/>
      <c r="CJ157" s="194"/>
      <c r="CK157" s="194"/>
      <c r="CL157" s="194"/>
      <c r="CM157" s="194"/>
      <c r="CN157" s="194"/>
      <c r="CO157" s="194"/>
      <c r="CP157" s="194"/>
      <c r="CQ157" s="194"/>
      <c r="CR157" s="194"/>
      <c r="CS157" s="194"/>
      <c r="CT157" s="194"/>
      <c r="CU157" s="194"/>
      <c r="CV157" s="194"/>
      <c r="CW157" s="194"/>
      <c r="CX157" s="194"/>
      <c r="CY157" s="194"/>
      <c r="CZ157" s="194"/>
      <c r="DA157" s="194"/>
      <c r="DB157" s="194"/>
      <c r="DC157" s="194"/>
      <c r="DD157" s="194"/>
      <c r="DE157" s="194"/>
      <c r="DF157" s="194"/>
    </row>
    <row r="158" spans="2:110" s="192" customFormat="1" hidden="1" x14ac:dyDescent="0.35">
      <c r="B158" s="289"/>
      <c r="C158" s="289" t="s">
        <v>292</v>
      </c>
      <c r="D158" s="289">
        <f>SMALL(D148:D155,3)</f>
        <v>1.2</v>
      </c>
      <c r="Q158" s="193"/>
      <c r="R158" s="194">
        <f t="shared" si="51"/>
        <v>11.799999999999986</v>
      </c>
      <c r="S158" s="197">
        <f t="shared" si="19"/>
        <v>0.59322033898305149</v>
      </c>
      <c r="T158" s="194">
        <f t="shared" si="74"/>
        <v>0.69</v>
      </c>
      <c r="U158" s="194">
        <f t="shared" si="75"/>
        <v>1.4999999999999999E-4</v>
      </c>
      <c r="V158" s="197">
        <f t="shared" si="52"/>
        <v>0.59322033898305149</v>
      </c>
      <c r="W158" s="197">
        <f t="shared" si="20"/>
        <v>6.644067796610178E-3</v>
      </c>
      <c r="X158" s="286">
        <f t="shared" si="21"/>
        <v>1</v>
      </c>
      <c r="Y158" s="286">
        <f t="shared" si="22"/>
        <v>0.460993670064832</v>
      </c>
      <c r="Z158" s="286">
        <f t="shared" si="23"/>
        <v>0.65255195674060862</v>
      </c>
      <c r="AA158" s="286">
        <f t="shared" si="53"/>
        <v>0.460993670064832</v>
      </c>
      <c r="AB158" s="197">
        <f t="shared" si="24"/>
        <v>0.5585503831734937</v>
      </c>
      <c r="AC158" s="287">
        <f t="shared" si="25"/>
        <v>1.1820350514482872E-6</v>
      </c>
      <c r="AD158" s="197">
        <f t="shared" si="54"/>
        <v>7.624967594204815</v>
      </c>
      <c r="AE158" s="197">
        <f t="shared" si="55"/>
        <v>22.874902782614445</v>
      </c>
      <c r="AF158" s="197">
        <f t="shared" si="56"/>
        <v>8.5178571428571437E-2</v>
      </c>
      <c r="AG158" s="197">
        <f t="shared" si="57"/>
        <v>0.25553571428571431</v>
      </c>
      <c r="AH158" s="197">
        <f t="shared" si="26"/>
        <v>0.2008133073387296</v>
      </c>
      <c r="AI158" s="197">
        <f t="shared" si="58"/>
        <v>0.2008133073387296</v>
      </c>
      <c r="AJ158" s="218">
        <f t="shared" si="27"/>
        <v>390</v>
      </c>
      <c r="AK158" s="197">
        <f t="shared" si="59"/>
        <v>9.3445479104925497E-2</v>
      </c>
      <c r="AL158" s="197">
        <f t="shared" si="60"/>
        <v>0.14754161064960211</v>
      </c>
      <c r="AM158" s="197">
        <f t="shared" si="61"/>
        <v>6.2557642915431304E-3</v>
      </c>
      <c r="AN158" s="197">
        <f t="shared" si="28"/>
        <v>24.05</v>
      </c>
      <c r="AO158" s="197">
        <f t="shared" si="29"/>
        <v>21.69</v>
      </c>
      <c r="AP158" s="197">
        <f t="shared" si="62"/>
        <v>0.11363224678858476</v>
      </c>
      <c r="AQ158" s="197">
        <f t="shared" si="63"/>
        <v>0.65895703684285856</v>
      </c>
      <c r="AR158" s="197">
        <f t="shared" si="64"/>
        <v>0.4581437295041289</v>
      </c>
      <c r="AS158" s="258">
        <f t="shared" si="65"/>
        <v>0.38127325687188734</v>
      </c>
      <c r="AT158" s="197">
        <f t="shared" si="30"/>
        <v>1.6281361197437974E-3</v>
      </c>
      <c r="AU158" s="194">
        <f t="shared" si="66"/>
        <v>21.19</v>
      </c>
      <c r="AV158" s="197">
        <f t="shared" si="31"/>
        <v>1.769999999999998E-2</v>
      </c>
      <c r="AW158" s="197">
        <f t="shared" si="32"/>
        <v>3.4259999999999998E-3</v>
      </c>
      <c r="AX158" s="197">
        <f t="shared" si="67"/>
        <v>4.042679999999995E-2</v>
      </c>
      <c r="AY158" s="197">
        <f t="shared" si="33"/>
        <v>2.8867475999999996E-3</v>
      </c>
      <c r="AZ158" s="197">
        <f t="shared" si="34"/>
        <v>0</v>
      </c>
      <c r="BA158" s="197">
        <f t="shared" si="68"/>
        <v>7.2596939999999999E-2</v>
      </c>
      <c r="BB158" s="258">
        <f t="shared" si="35"/>
        <v>0.56155055804764054</v>
      </c>
      <c r="BC158" s="197">
        <f t="shared" si="36"/>
        <v>5.2756219592457042E-2</v>
      </c>
      <c r="BD158" s="197">
        <f t="shared" si="69"/>
        <v>1.055124391849141E-2</v>
      </c>
      <c r="BE158" s="197">
        <f t="shared" si="70"/>
        <v>6.3307463510948458E-2</v>
      </c>
      <c r="BF158" s="197">
        <f t="shared" si="37"/>
        <v>0.20773291256157636</v>
      </c>
      <c r="BG158" s="197">
        <f t="shared" si="38"/>
        <v>1.4521300607042206E-3</v>
      </c>
      <c r="BH158" s="197">
        <f t="shared" si="39"/>
        <v>8.3297102064351536E-2</v>
      </c>
      <c r="BI158" s="197">
        <f t="shared" si="71"/>
        <v>0.56423367870590901</v>
      </c>
      <c r="BJ158" s="197">
        <f t="shared" si="40"/>
        <v>6.8865397131886681</v>
      </c>
      <c r="BK158" s="288">
        <f t="shared" si="41"/>
        <v>0.91806717129281579</v>
      </c>
      <c r="BL158" s="197">
        <f t="shared" si="42"/>
        <v>0.58360506043971827</v>
      </c>
      <c r="BM158" s="197">
        <f t="shared" si="43"/>
        <v>0.11526038290832856</v>
      </c>
      <c r="BN158" s="197">
        <f t="shared" si="44"/>
        <v>56.915622974499712</v>
      </c>
      <c r="BO158" s="197">
        <f t="shared" si="72"/>
        <v>0.20918504262228058</v>
      </c>
      <c r="BP158" s="197">
        <f t="shared" si="45"/>
        <v>65.688878196671041</v>
      </c>
      <c r="BQ158" s="197">
        <f t="shared" si="46"/>
        <v>9.0296939999999978E-2</v>
      </c>
      <c r="BR158" s="288">
        <f t="shared" si="47"/>
        <v>0.17976293042516284</v>
      </c>
      <c r="BS158" s="197">
        <f t="shared" si="48"/>
        <v>0.2008133073387296</v>
      </c>
      <c r="BT158" s="197">
        <f t="shared" si="73"/>
        <v>0.5585503831734937</v>
      </c>
      <c r="BU158" s="197">
        <f t="shared" si="49"/>
        <v>0.51177221166797038</v>
      </c>
      <c r="BV158" s="197">
        <f t="shared" si="50"/>
        <v>1.4234642549984089</v>
      </c>
      <c r="BW158" s="194"/>
      <c r="BX158" s="194"/>
      <c r="BY158" s="194"/>
      <c r="BZ158" s="194"/>
      <c r="CA158" s="194"/>
      <c r="CB158" s="194"/>
      <c r="CC158" s="194"/>
      <c r="CD158" s="194"/>
      <c r="CE158" s="194"/>
      <c r="CF158" s="194"/>
      <c r="CG158" s="194"/>
      <c r="CH158" s="194"/>
      <c r="CI158" s="194"/>
      <c r="CJ158" s="194"/>
      <c r="CK158" s="194"/>
      <c r="CL158" s="194"/>
      <c r="CM158" s="194"/>
      <c r="CN158" s="194"/>
      <c r="CO158" s="194"/>
      <c r="CP158" s="194"/>
      <c r="CQ158" s="194"/>
      <c r="CR158" s="194"/>
      <c r="CS158" s="194"/>
      <c r="CT158" s="194"/>
      <c r="CU158" s="194"/>
      <c r="CV158" s="194"/>
      <c r="CW158" s="194"/>
      <c r="CX158" s="194"/>
      <c r="CY158" s="194"/>
      <c r="CZ158" s="194"/>
      <c r="DA158" s="194"/>
      <c r="DB158" s="194"/>
      <c r="DC158" s="194"/>
      <c r="DD158" s="194"/>
      <c r="DE158" s="194"/>
      <c r="DF158" s="194"/>
    </row>
    <row r="159" spans="2:110" s="192" customFormat="1" hidden="1" x14ac:dyDescent="0.35">
      <c r="B159" s="289"/>
      <c r="C159" s="192" t="s">
        <v>298</v>
      </c>
      <c r="D159" s="289">
        <f t="array" ref="D159">SMALL(IF(MATCH(D148:D155,D148:D155,0)=ROW(D148:D155)-MIN(ROW(D148:D155))+1,D148:D155,""),3)</f>
        <v>1.3</v>
      </c>
      <c r="Q159" s="193"/>
      <c r="R159" s="194">
        <f t="shared" si="51"/>
        <v>11.899999999999986</v>
      </c>
      <c r="S159" s="197">
        <f t="shared" si="19"/>
        <v>0.58823529411764763</v>
      </c>
      <c r="T159" s="194">
        <f t="shared" si="74"/>
        <v>0.69</v>
      </c>
      <c r="U159" s="194">
        <f t="shared" si="75"/>
        <v>1.4999999999999999E-4</v>
      </c>
      <c r="V159" s="197">
        <f t="shared" si="52"/>
        <v>0.58823529411764763</v>
      </c>
      <c r="W159" s="197">
        <f t="shared" si="20"/>
        <v>6.5882352941176543E-3</v>
      </c>
      <c r="X159" s="286">
        <f t="shared" si="21"/>
        <v>1</v>
      </c>
      <c r="Y159" s="286">
        <f t="shared" si="22"/>
        <v>0.45633962530315997</v>
      </c>
      <c r="Z159" s="286">
        <f t="shared" si="23"/>
        <v>0.65058129752781124</v>
      </c>
      <c r="AA159" s="286">
        <f t="shared" si="53"/>
        <v>0.45633962530315997</v>
      </c>
      <c r="AB159" s="197">
        <f t="shared" si="24"/>
        <v>0.55376887139532127</v>
      </c>
      <c r="AC159" s="287">
        <f t="shared" si="25"/>
        <v>1.1701016033414358E-6</v>
      </c>
      <c r="AD159" s="197">
        <f t="shared" si="54"/>
        <v>7.6908053005894441</v>
      </c>
      <c r="AE159" s="197">
        <f t="shared" si="55"/>
        <v>23.072415901768334</v>
      </c>
      <c r="AF159" s="197">
        <f t="shared" si="56"/>
        <v>8.5178571428571423E-2</v>
      </c>
      <c r="AG159" s="197">
        <f t="shared" si="57"/>
        <v>0.25553571428571425</v>
      </c>
      <c r="AH159" s="197">
        <f t="shared" si="26"/>
        <v>0.20054315735691708</v>
      </c>
      <c r="AI159" s="197">
        <f t="shared" si="58"/>
        <v>0.20054315735691708</v>
      </c>
      <c r="AJ159" s="218">
        <f t="shared" si="27"/>
        <v>390</v>
      </c>
      <c r="AK159" s="197">
        <f t="shared" si="59"/>
        <v>9.2645532184437246E-2</v>
      </c>
      <c r="AL159" s="197">
        <f t="shared" si="60"/>
        <v>0.1462785698025377</v>
      </c>
      <c r="AM159" s="197">
        <f t="shared" si="61"/>
        <v>6.2022113596275994E-3</v>
      </c>
      <c r="AN159" s="197">
        <f t="shared" si="28"/>
        <v>24.05</v>
      </c>
      <c r="AO159" s="197">
        <f t="shared" si="29"/>
        <v>21.69</v>
      </c>
      <c r="AP159" s="197">
        <f t="shared" si="62"/>
        <v>0.1126594895534849</v>
      </c>
      <c r="AQ159" s="197">
        <f t="shared" si="63"/>
        <v>0.65404045007377976</v>
      </c>
      <c r="AR159" s="197">
        <f t="shared" si="64"/>
        <v>0.45349729271686273</v>
      </c>
      <c r="AS159" s="258">
        <f t="shared" si="65"/>
        <v>0.37612564127111964</v>
      </c>
      <c r="AT159" s="197">
        <f t="shared" si="30"/>
        <v>1.5844695778420431E-3</v>
      </c>
      <c r="AU159" s="194">
        <f t="shared" si="66"/>
        <v>21.19</v>
      </c>
      <c r="AV159" s="197">
        <f t="shared" si="31"/>
        <v>1.784999999999998E-2</v>
      </c>
      <c r="AW159" s="197">
        <f t="shared" si="32"/>
        <v>3.4259999999999998E-3</v>
      </c>
      <c r="AX159" s="197">
        <f t="shared" si="67"/>
        <v>4.0769399999999949E-2</v>
      </c>
      <c r="AY159" s="197">
        <f t="shared" si="33"/>
        <v>2.8867475999999996E-3</v>
      </c>
      <c r="AZ159" s="197">
        <f t="shared" si="34"/>
        <v>0</v>
      </c>
      <c r="BA159" s="197">
        <f t="shared" si="68"/>
        <v>7.2596939999999999E-2</v>
      </c>
      <c r="BB159" s="258">
        <f t="shared" si="35"/>
        <v>0.55678669712018503</v>
      </c>
      <c r="BC159" s="197">
        <f t="shared" si="36"/>
        <v>5.186491158485778E-2</v>
      </c>
      <c r="BD159" s="197">
        <f t="shared" si="69"/>
        <v>1.0372982316971556E-2</v>
      </c>
      <c r="BE159" s="197">
        <f t="shared" si="70"/>
        <v>6.2237893901829336E-2</v>
      </c>
      <c r="BF159" s="197">
        <f t="shared" si="37"/>
        <v>0.20773291256157633</v>
      </c>
      <c r="BG159" s="197">
        <f t="shared" si="38"/>
        <v>1.4374698197049539E-3</v>
      </c>
      <c r="BH159" s="197">
        <f t="shared" si="39"/>
        <v>8.1889810665284252E-2</v>
      </c>
      <c r="BI159" s="197">
        <f t="shared" si="71"/>
        <v>0.56087573367972177</v>
      </c>
      <c r="BJ159" s="197">
        <f t="shared" si="40"/>
        <v>6.8831817681624807</v>
      </c>
      <c r="BK159" s="288">
        <f t="shared" si="41"/>
        <v>0.91851504833505915</v>
      </c>
      <c r="BL159" s="197">
        <f t="shared" si="42"/>
        <v>0.57841863598004106</v>
      </c>
      <c r="BM159" s="197">
        <f t="shared" si="43"/>
        <v>0.11424395913132694</v>
      </c>
      <c r="BN159" s="197">
        <f t="shared" si="44"/>
        <v>56.854637547879619</v>
      </c>
      <c r="BO159" s="197">
        <f t="shared" si="72"/>
        <v>0.2091703823812813</v>
      </c>
      <c r="BP159" s="197">
        <f t="shared" si="45"/>
        <v>65.687778678596104</v>
      </c>
      <c r="BQ159" s="197">
        <f t="shared" si="46"/>
        <v>9.0446939999999976E-2</v>
      </c>
      <c r="BR159" s="288">
        <f t="shared" si="47"/>
        <v>0.18107117221270685</v>
      </c>
      <c r="BS159" s="197">
        <f t="shared" si="48"/>
        <v>0.20054315735691708</v>
      </c>
      <c r="BT159" s="197">
        <f t="shared" si="73"/>
        <v>0.55376887139532127</v>
      </c>
      <c r="BU159" s="197">
        <f t="shared" si="49"/>
        <v>0.51029239275446492</v>
      </c>
      <c r="BV159" s="197">
        <f t="shared" si="50"/>
        <v>1.4090934148120975</v>
      </c>
      <c r="BW159" s="194"/>
      <c r="BX159" s="194"/>
      <c r="BY159" s="194"/>
      <c r="BZ159" s="194"/>
      <c r="CA159" s="194"/>
      <c r="CB159" s="194"/>
      <c r="CC159" s="194"/>
      <c r="CD159" s="194"/>
      <c r="CE159" s="194"/>
      <c r="CF159" s="194"/>
      <c r="CG159" s="194"/>
      <c r="CH159" s="194"/>
      <c r="CI159" s="194"/>
      <c r="CJ159" s="194"/>
      <c r="CK159" s="194"/>
      <c r="CL159" s="194"/>
      <c r="CM159" s="194"/>
      <c r="CN159" s="194"/>
      <c r="CO159" s="194"/>
      <c r="CP159" s="194"/>
      <c r="CQ159" s="194"/>
      <c r="CR159" s="194"/>
      <c r="CS159" s="194"/>
      <c r="CT159" s="194"/>
      <c r="CU159" s="194"/>
      <c r="CV159" s="194"/>
      <c r="CW159" s="194"/>
      <c r="CX159" s="194"/>
      <c r="CY159" s="194"/>
      <c r="CZ159" s="194"/>
      <c r="DA159" s="194"/>
      <c r="DB159" s="194"/>
      <c r="DC159" s="194"/>
      <c r="DD159" s="194"/>
      <c r="DE159" s="194"/>
      <c r="DF159" s="194"/>
    </row>
    <row r="160" spans="2:110" s="192" customFormat="1" hidden="1" x14ac:dyDescent="0.35">
      <c r="B160" s="289"/>
      <c r="C160" s="289"/>
      <c r="Q160" s="193"/>
      <c r="R160" s="194">
        <f t="shared" si="51"/>
        <v>11.999999999999986</v>
      </c>
      <c r="S160" s="197">
        <f t="shared" si="19"/>
        <v>0.58333333333333393</v>
      </c>
      <c r="T160" s="194">
        <f t="shared" si="74"/>
        <v>0.69</v>
      </c>
      <c r="U160" s="194">
        <f t="shared" si="75"/>
        <v>1.4999999999999999E-4</v>
      </c>
      <c r="V160" s="197">
        <f t="shared" si="52"/>
        <v>0.58333333333333393</v>
      </c>
      <c r="W160" s="197">
        <f t="shared" si="20"/>
        <v>6.5333333333333406E-3</v>
      </c>
      <c r="X160" s="286">
        <f t="shared" si="21"/>
        <v>1</v>
      </c>
      <c r="Y160" s="286">
        <f t="shared" si="22"/>
        <v>0.45168630784745428</v>
      </c>
      <c r="Z160" s="286">
        <f t="shared" si="23"/>
        <v>0.64862280410447992</v>
      </c>
      <c r="AA160" s="286">
        <f t="shared" si="53"/>
        <v>0.45168630784745428</v>
      </c>
      <c r="AB160" s="197">
        <f t="shared" si="24"/>
        <v>0.54906925803061724</v>
      </c>
      <c r="AC160" s="287">
        <f t="shared" si="25"/>
        <v>1.1581700201216776E-6</v>
      </c>
      <c r="AD160" s="197">
        <f t="shared" si="54"/>
        <v>7.7566327182555259</v>
      </c>
      <c r="AE160" s="197">
        <f t="shared" si="55"/>
        <v>23.26989815476658</v>
      </c>
      <c r="AF160" s="197">
        <f t="shared" si="56"/>
        <v>8.5178571428571423E-2</v>
      </c>
      <c r="AG160" s="197">
        <f t="shared" si="57"/>
        <v>0.25553571428571431</v>
      </c>
      <c r="AH160" s="197">
        <f t="shared" si="26"/>
        <v>0.20023687007546545</v>
      </c>
      <c r="AI160" s="197">
        <f t="shared" si="58"/>
        <v>0.20023687007546545</v>
      </c>
      <c r="AJ160" s="218">
        <f t="shared" si="27"/>
        <v>390</v>
      </c>
      <c r="AK160" s="197">
        <f t="shared" si="59"/>
        <v>9.1859286868522266E-2</v>
      </c>
      <c r="AL160" s="197">
        <f t="shared" si="60"/>
        <v>0.14503716249865362</v>
      </c>
      <c r="AM160" s="197">
        <f t="shared" si="61"/>
        <v>6.1495756899429136E-3</v>
      </c>
      <c r="AN160" s="197">
        <f t="shared" si="28"/>
        <v>24.05</v>
      </c>
      <c r="AO160" s="197">
        <f t="shared" si="29"/>
        <v>21.69</v>
      </c>
      <c r="AP160" s="197">
        <f t="shared" si="62"/>
        <v>0.11170339384259341</v>
      </c>
      <c r="AQ160" s="197">
        <f t="shared" si="63"/>
        <v>0.64918769306835</v>
      </c>
      <c r="AR160" s="197">
        <f t="shared" si="64"/>
        <v>0.44895082299288452</v>
      </c>
      <c r="AS160" s="258">
        <f t="shared" si="65"/>
        <v>0.37105558231968305</v>
      </c>
      <c r="AT160" s="197">
        <f t="shared" si="30"/>
        <v>1.5420411459107102E-3</v>
      </c>
      <c r="AU160" s="194">
        <f t="shared" si="66"/>
        <v>21.19</v>
      </c>
      <c r="AV160" s="197">
        <f t="shared" si="31"/>
        <v>1.7999999999999978E-2</v>
      </c>
      <c r="AW160" s="197">
        <f t="shared" si="32"/>
        <v>3.4259999999999998E-3</v>
      </c>
      <c r="AX160" s="197">
        <f t="shared" si="67"/>
        <v>4.1111999999999947E-2</v>
      </c>
      <c r="AY160" s="197">
        <f t="shared" si="33"/>
        <v>2.8867475999999996E-3</v>
      </c>
      <c r="AZ160" s="197">
        <f t="shared" si="34"/>
        <v>0</v>
      </c>
      <c r="BA160" s="197">
        <f t="shared" si="68"/>
        <v>7.2596939999999999E-2</v>
      </c>
      <c r="BB160" s="258">
        <f t="shared" si="35"/>
        <v>0.55210350822325649</v>
      </c>
      <c r="BC160" s="197">
        <f t="shared" si="36"/>
        <v>5.099609887847311E-2</v>
      </c>
      <c r="BD160" s="197">
        <f t="shared" si="69"/>
        <v>1.0199219775694622E-2</v>
      </c>
      <c r="BE160" s="197">
        <f t="shared" si="70"/>
        <v>6.1195318654167732E-2</v>
      </c>
      <c r="BF160" s="197">
        <f t="shared" si="37"/>
        <v>0.20773291256157631</v>
      </c>
      <c r="BG160" s="197">
        <f t="shared" si="38"/>
        <v>1.4228118697194808E-3</v>
      </c>
      <c r="BH160" s="197">
        <f t="shared" si="39"/>
        <v>8.0518037228188372E-2</v>
      </c>
      <c r="BI160" s="197">
        <f t="shared" si="71"/>
        <v>0.557598202902156</v>
      </c>
      <c r="BJ160" s="197">
        <f t="shared" si="40"/>
        <v>6.8799042373849151</v>
      </c>
      <c r="BK160" s="288">
        <f t="shared" si="41"/>
        <v>0.91895262148094936</v>
      </c>
      <c r="BL160" s="197">
        <f t="shared" si="42"/>
        <v>0.57332535311541022</v>
      </c>
      <c r="BM160" s="197">
        <f t="shared" si="43"/>
        <v>0.11324543498850412</v>
      </c>
      <c r="BN160" s="197">
        <f t="shared" si="44"/>
        <v>56.794726099310246</v>
      </c>
      <c r="BO160" s="197">
        <f t="shared" si="72"/>
        <v>0.20915572443129579</v>
      </c>
      <c r="BP160" s="197">
        <f t="shared" si="45"/>
        <v>65.686679332347182</v>
      </c>
      <c r="BQ160" s="197">
        <f t="shared" si="46"/>
        <v>9.0596939999999973E-2</v>
      </c>
      <c r="BR160" s="288">
        <f t="shared" si="47"/>
        <v>0.18234208813080174</v>
      </c>
      <c r="BS160" s="197">
        <f t="shared" si="48"/>
        <v>0.20023687007546545</v>
      </c>
      <c r="BT160" s="197">
        <f t="shared" si="73"/>
        <v>0.54906925803061724</v>
      </c>
      <c r="BU160" s="197">
        <f t="shared" si="49"/>
        <v>0.50863407224420909</v>
      </c>
      <c r="BV160" s="197">
        <f t="shared" si="50"/>
        <v>1.3947248204137712</v>
      </c>
      <c r="BW160" s="194"/>
      <c r="BX160" s="194"/>
      <c r="BY160" s="194"/>
      <c r="BZ160" s="194"/>
      <c r="CA160" s="194"/>
      <c r="CB160" s="194"/>
      <c r="CC160" s="194"/>
      <c r="CD160" s="194"/>
      <c r="CE160" s="194"/>
      <c r="CF160" s="194"/>
      <c r="CG160" s="194"/>
      <c r="CH160" s="194"/>
      <c r="CI160" s="194"/>
      <c r="CJ160" s="194"/>
      <c r="CK160" s="194"/>
      <c r="CL160" s="194"/>
      <c r="CM160" s="194"/>
      <c r="CN160" s="194"/>
      <c r="CO160" s="194"/>
      <c r="CP160" s="194"/>
      <c r="CQ160" s="194"/>
      <c r="CR160" s="194"/>
      <c r="CS160" s="194"/>
      <c r="CT160" s="194"/>
      <c r="CU160" s="194"/>
      <c r="CV160" s="194"/>
      <c r="CW160" s="194"/>
      <c r="CX160" s="194"/>
      <c r="CY160" s="194"/>
      <c r="CZ160" s="194"/>
      <c r="DA160" s="194"/>
      <c r="DB160" s="194"/>
      <c r="DC160" s="194"/>
      <c r="DD160" s="194"/>
      <c r="DE160" s="194"/>
      <c r="DF160" s="194"/>
    </row>
    <row r="161" spans="2:110" s="192" customFormat="1" hidden="1" x14ac:dyDescent="0.35">
      <c r="B161" s="289"/>
      <c r="C161" s="289"/>
      <c r="Q161" s="193"/>
      <c r="R161" s="194">
        <f t="shared" si="51"/>
        <v>12.099999999999985</v>
      </c>
      <c r="S161" s="197">
        <f t="shared" si="19"/>
        <v>0.5785123966942155</v>
      </c>
      <c r="T161" s="194">
        <f t="shared" si="74"/>
        <v>0.69</v>
      </c>
      <c r="U161" s="194">
        <f t="shared" si="75"/>
        <v>1.4999999999999999E-4</v>
      </c>
      <c r="V161" s="197">
        <f t="shared" si="52"/>
        <v>0.5785123966942155</v>
      </c>
      <c r="W161" s="197">
        <f t="shared" si="20"/>
        <v>6.4793388429752142E-3</v>
      </c>
      <c r="X161" s="286">
        <f t="shared" si="21"/>
        <v>1</v>
      </c>
      <c r="Y161" s="286">
        <f t="shared" si="22"/>
        <v>0.44703369965994733</v>
      </c>
      <c r="Z161" s="286">
        <f t="shared" si="23"/>
        <v>0.64667635689082759</v>
      </c>
      <c r="AA161" s="286">
        <f t="shared" si="53"/>
        <v>0.44703369965994733</v>
      </c>
      <c r="AB161" s="197">
        <f t="shared" si="24"/>
        <v>0.54444943920286848</v>
      </c>
      <c r="AC161" s="287">
        <f t="shared" si="25"/>
        <v>1.1462402555383264E-6</v>
      </c>
      <c r="AD161" s="197">
        <f t="shared" si="54"/>
        <v>7.8224501023714774</v>
      </c>
      <c r="AE161" s="197">
        <f t="shared" si="55"/>
        <v>23.46735030711443</v>
      </c>
      <c r="AF161" s="197">
        <f t="shared" si="56"/>
        <v>8.5178571428571437E-2</v>
      </c>
      <c r="AG161" s="197">
        <f t="shared" si="57"/>
        <v>0.25553571428571431</v>
      </c>
      <c r="AH161" s="197">
        <f t="shared" si="26"/>
        <v>0.19989448060730583</v>
      </c>
      <c r="AI161" s="197">
        <f t="shared" si="58"/>
        <v>0.19989448060730583</v>
      </c>
      <c r="AJ161" s="218">
        <f t="shared" si="27"/>
        <v>390</v>
      </c>
      <c r="AK161" s="197">
        <f t="shared" si="59"/>
        <v>9.1086391178639897E-2</v>
      </c>
      <c r="AL161" s="197">
        <f t="shared" si="60"/>
        <v>0.14381683299698411</v>
      </c>
      <c r="AM161" s="197">
        <f t="shared" si="61"/>
        <v>6.0978337190721278E-3</v>
      </c>
      <c r="AN161" s="197">
        <f t="shared" si="28"/>
        <v>24.05</v>
      </c>
      <c r="AO161" s="197">
        <f t="shared" si="29"/>
        <v>21.69</v>
      </c>
      <c r="AP161" s="197">
        <f t="shared" si="62"/>
        <v>0.11076353164042169</v>
      </c>
      <c r="AQ161" s="197">
        <f t="shared" si="63"/>
        <v>0.64439667950652135</v>
      </c>
      <c r="AR161" s="197">
        <f t="shared" si="64"/>
        <v>0.44450219889921555</v>
      </c>
      <c r="AS161" s="258">
        <f t="shared" si="65"/>
        <v>0.3660609110160018</v>
      </c>
      <c r="AT161" s="197">
        <f t="shared" si="30"/>
        <v>1.5008066144272902E-3</v>
      </c>
      <c r="AU161" s="194">
        <f t="shared" si="66"/>
        <v>21.19</v>
      </c>
      <c r="AV161" s="197">
        <f t="shared" si="31"/>
        <v>1.8149999999999979E-2</v>
      </c>
      <c r="AW161" s="197">
        <f t="shared" si="32"/>
        <v>3.4259999999999998E-3</v>
      </c>
      <c r="AX161" s="197">
        <f t="shared" si="67"/>
        <v>4.1454599999999946E-2</v>
      </c>
      <c r="AY161" s="197">
        <f t="shared" si="33"/>
        <v>2.8867475999999996E-3</v>
      </c>
      <c r="AZ161" s="197">
        <f t="shared" si="34"/>
        <v>0</v>
      </c>
      <c r="BA161" s="197">
        <f t="shared" si="68"/>
        <v>7.2596939999999999E-2</v>
      </c>
      <c r="BB161" s="258">
        <f t="shared" si="35"/>
        <v>0.54749886647957846</v>
      </c>
      <c r="BC161" s="197">
        <f t="shared" si="36"/>
        <v>5.0149012971641621E-2</v>
      </c>
      <c r="BD161" s="197">
        <f t="shared" si="69"/>
        <v>1.0029802594328325E-2</v>
      </c>
      <c r="BE161" s="197">
        <f t="shared" si="70"/>
        <v>6.0178815565969948E-2</v>
      </c>
      <c r="BF161" s="197">
        <f t="shared" si="37"/>
        <v>0.20773291256157636</v>
      </c>
      <c r="BG161" s="197">
        <f t="shared" si="38"/>
        <v>1.4081561539288339E-3</v>
      </c>
      <c r="BH161" s="197">
        <f t="shared" si="39"/>
        <v>7.9180568361319356E-2</v>
      </c>
      <c r="BI161" s="197">
        <f t="shared" si="71"/>
        <v>0.55439847849764334</v>
      </c>
      <c r="BJ161" s="197">
        <f t="shared" si="40"/>
        <v>6.8767045129804023</v>
      </c>
      <c r="BK161" s="288">
        <f t="shared" si="41"/>
        <v>0.91938020930648312</v>
      </c>
      <c r="BL161" s="197">
        <f t="shared" si="42"/>
        <v>0.56832268702317446</v>
      </c>
      <c r="BM161" s="197">
        <f t="shared" si="43"/>
        <v>0.11226433825484898</v>
      </c>
      <c r="BN161" s="197">
        <f t="shared" si="44"/>
        <v>56.735860295290941</v>
      </c>
      <c r="BO161" s="197">
        <f t="shared" si="72"/>
        <v>0.2091410687155052</v>
      </c>
      <c r="BP161" s="197">
        <f t="shared" si="45"/>
        <v>65.685580153662897</v>
      </c>
      <c r="BQ161" s="197">
        <f t="shared" si="46"/>
        <v>9.074693999999997E-2</v>
      </c>
      <c r="BR161" s="288">
        <f t="shared" si="47"/>
        <v>0.18357487969862957</v>
      </c>
      <c r="BS161" s="197">
        <f t="shared" si="48"/>
        <v>0.19989448060730583</v>
      </c>
      <c r="BT161" s="197">
        <f t="shared" si="73"/>
        <v>0.54444943920286848</v>
      </c>
      <c r="BU161" s="197">
        <f t="shared" si="49"/>
        <v>0.50679826035533604</v>
      </c>
      <c r="BV161" s="197">
        <f t="shared" si="50"/>
        <v>1.3803584161060991</v>
      </c>
      <c r="BW161" s="194"/>
      <c r="BX161" s="194"/>
      <c r="BY161" s="194"/>
      <c r="BZ161" s="194"/>
      <c r="CA161" s="194"/>
      <c r="CB161" s="194"/>
      <c r="CC161" s="194"/>
      <c r="CD161" s="194"/>
      <c r="CE161" s="194"/>
      <c r="CF161" s="194"/>
      <c r="CG161" s="194"/>
      <c r="CH161" s="194"/>
      <c r="CI161" s="194"/>
      <c r="CJ161" s="194"/>
      <c r="CK161" s="194"/>
      <c r="CL161" s="194"/>
      <c r="CM161" s="194"/>
      <c r="CN161" s="194"/>
      <c r="CO161" s="194"/>
      <c r="CP161" s="194"/>
      <c r="CQ161" s="194"/>
      <c r="CR161" s="194"/>
      <c r="CS161" s="194"/>
      <c r="CT161" s="194"/>
      <c r="CU161" s="194"/>
      <c r="CV161" s="194"/>
      <c r="CW161" s="194"/>
      <c r="CX161" s="194"/>
      <c r="CY161" s="194"/>
      <c r="CZ161" s="194"/>
      <c r="DA161" s="194"/>
      <c r="DB161" s="194"/>
      <c r="DC161" s="194"/>
      <c r="DD161" s="194"/>
      <c r="DE161" s="194"/>
      <c r="DF161" s="194"/>
    </row>
    <row r="162" spans="2:110" s="192" customFormat="1" hidden="1" x14ac:dyDescent="0.35">
      <c r="B162" s="289"/>
      <c r="C162" s="289"/>
      <c r="Q162" s="193"/>
      <c r="R162" s="194">
        <f t="shared" si="51"/>
        <v>12.199999999999985</v>
      </c>
      <c r="S162" s="197">
        <f t="shared" si="19"/>
        <v>0.57377049180327933</v>
      </c>
      <c r="T162" s="194">
        <f t="shared" si="74"/>
        <v>0.69</v>
      </c>
      <c r="U162" s="194">
        <f t="shared" si="75"/>
        <v>1.4999999999999999E-4</v>
      </c>
      <c r="V162" s="197">
        <f t="shared" si="52"/>
        <v>0.57377049180327933</v>
      </c>
      <c r="W162" s="197">
        <f t="shared" si="20"/>
        <v>6.4262295081967298E-3</v>
      </c>
      <c r="X162" s="286">
        <f t="shared" si="21"/>
        <v>1</v>
      </c>
      <c r="Y162" s="286">
        <f t="shared" si="22"/>
        <v>0.44238178329444883</v>
      </c>
      <c r="Z162" s="286">
        <f t="shared" si="23"/>
        <v>0.64474183809693564</v>
      </c>
      <c r="AA162" s="286">
        <f t="shared" si="53"/>
        <v>0.44238178329444883</v>
      </c>
      <c r="AB162" s="197">
        <f t="shared" si="24"/>
        <v>0.53990738304233288</v>
      </c>
      <c r="AC162" s="287">
        <f t="shared" si="25"/>
        <v>1.134312264857561E-6</v>
      </c>
      <c r="AD162" s="197">
        <f t="shared" si="54"/>
        <v>7.8882576997370659</v>
      </c>
      <c r="AE162" s="197">
        <f t="shared" si="55"/>
        <v>23.6647730992112</v>
      </c>
      <c r="AF162" s="197">
        <f t="shared" si="56"/>
        <v>8.5178571428571423E-2</v>
      </c>
      <c r="AG162" s="197">
        <f t="shared" si="57"/>
        <v>0.25553571428571431</v>
      </c>
      <c r="AH162" s="197">
        <f t="shared" si="26"/>
        <v>0.19951602286473288</v>
      </c>
      <c r="AI162" s="197">
        <f t="shared" si="58"/>
        <v>0.19951602286473288</v>
      </c>
      <c r="AJ162" s="218">
        <f t="shared" si="27"/>
        <v>390.00000000000006</v>
      </c>
      <c r="AK162" s="197">
        <f t="shared" si="59"/>
        <v>9.0326505182982297E-2</v>
      </c>
      <c r="AL162" s="197">
        <f t="shared" si="60"/>
        <v>0.14261704457721999</v>
      </c>
      <c r="AM162" s="197">
        <f t="shared" si="61"/>
        <v>6.0469626900741293E-3</v>
      </c>
      <c r="AN162" s="197">
        <f t="shared" si="28"/>
        <v>24.05</v>
      </c>
      <c r="AO162" s="197">
        <f t="shared" si="29"/>
        <v>21.69</v>
      </c>
      <c r="AP162" s="197">
        <f t="shared" si="62"/>
        <v>0.10983948958063626</v>
      </c>
      <c r="AQ162" s="197">
        <f t="shared" si="63"/>
        <v>0.63966539447469928</v>
      </c>
      <c r="AR162" s="197">
        <f t="shared" si="64"/>
        <v>0.44014937160996642</v>
      </c>
      <c r="AS162" s="258">
        <f t="shared" si="65"/>
        <v>0.36113952955589884</v>
      </c>
      <c r="AT162" s="197">
        <f t="shared" si="30"/>
        <v>1.4607237098479865E-3</v>
      </c>
      <c r="AU162" s="194">
        <f t="shared" si="66"/>
        <v>21.19</v>
      </c>
      <c r="AV162" s="197">
        <f t="shared" si="31"/>
        <v>1.8299999999999979E-2</v>
      </c>
      <c r="AW162" s="197">
        <f t="shared" si="32"/>
        <v>3.4260000000000002E-3</v>
      </c>
      <c r="AX162" s="197">
        <f t="shared" si="67"/>
        <v>4.1797199999999951E-2</v>
      </c>
      <c r="AY162" s="197">
        <f t="shared" si="33"/>
        <v>2.8867476000000005E-3</v>
      </c>
      <c r="AZ162" s="197">
        <f t="shared" si="34"/>
        <v>0</v>
      </c>
      <c r="BA162" s="197">
        <f t="shared" si="68"/>
        <v>7.2596940000000013E-2</v>
      </c>
      <c r="BB162" s="258">
        <f t="shared" si="35"/>
        <v>0.54297071978631317</v>
      </c>
      <c r="BC162" s="197">
        <f t="shared" si="36"/>
        <v>4.9322917985823167E-2</v>
      </c>
      <c r="BD162" s="197">
        <f t="shared" si="69"/>
        <v>9.8645835971646334E-3</v>
      </c>
      <c r="BE162" s="197">
        <f t="shared" si="70"/>
        <v>5.91875015829878E-2</v>
      </c>
      <c r="BF162" s="197">
        <f t="shared" si="37"/>
        <v>0.20773291256157636</v>
      </c>
      <c r="BG162" s="197">
        <f t="shared" si="38"/>
        <v>1.3935026173775137E-3</v>
      </c>
      <c r="BH162" s="197">
        <f t="shared" si="39"/>
        <v>7.787624218176864E-2</v>
      </c>
      <c r="BI162" s="197">
        <f t="shared" si="71"/>
        <v>0.55127405983419453</v>
      </c>
      <c r="BJ162" s="197">
        <f t="shared" si="40"/>
        <v>6.8735800943169538</v>
      </c>
      <c r="BK162" s="288">
        <f t="shared" si="41"/>
        <v>0.91979811797203237</v>
      </c>
      <c r="BL162" s="197">
        <f t="shared" si="42"/>
        <v>0.56340820445221007</v>
      </c>
      <c r="BM162" s="197">
        <f t="shared" si="43"/>
        <v>0.11130021329048424</v>
      </c>
      <c r="BN162" s="197">
        <f t="shared" si="44"/>
        <v>56.678012797429055</v>
      </c>
      <c r="BO162" s="197">
        <f t="shared" si="72"/>
        <v>0.20912641517895386</v>
      </c>
      <c r="BP162" s="197">
        <f t="shared" si="45"/>
        <v>65.684481138421546</v>
      </c>
      <c r="BQ162" s="197">
        <f t="shared" si="46"/>
        <v>9.0896939999999996E-2</v>
      </c>
      <c r="BR162" s="288">
        <f t="shared" si="47"/>
        <v>0.18476874842910723</v>
      </c>
      <c r="BS162" s="197">
        <f t="shared" si="48"/>
        <v>0.19951602286473288</v>
      </c>
      <c r="BT162" s="197">
        <f t="shared" si="73"/>
        <v>0.53990738304233288</v>
      </c>
      <c r="BU162" s="197">
        <f t="shared" si="49"/>
        <v>0.50478605818170041</v>
      </c>
      <c r="BV162" s="197">
        <f t="shared" si="50"/>
        <v>1.365994148018431</v>
      </c>
      <c r="BW162" s="194"/>
      <c r="BX162" s="194"/>
      <c r="BY162" s="194"/>
      <c r="BZ162" s="194"/>
      <c r="CA162" s="194"/>
      <c r="CB162" s="194"/>
      <c r="CC162" s="194"/>
      <c r="CD162" s="194"/>
      <c r="CE162" s="194"/>
      <c r="CF162" s="194"/>
      <c r="CG162" s="194"/>
      <c r="CH162" s="194"/>
      <c r="CI162" s="194"/>
      <c r="CJ162" s="194"/>
      <c r="CK162" s="194"/>
      <c r="CL162" s="194"/>
      <c r="CM162" s="194"/>
      <c r="CN162" s="194"/>
      <c r="CO162" s="194"/>
      <c r="CP162" s="194"/>
      <c r="CQ162" s="194"/>
      <c r="CR162" s="194"/>
      <c r="CS162" s="194"/>
      <c r="CT162" s="194"/>
      <c r="CU162" s="194"/>
      <c r="CV162" s="194"/>
      <c r="CW162" s="194"/>
      <c r="CX162" s="194"/>
      <c r="CY162" s="194"/>
      <c r="CZ162" s="194"/>
      <c r="DA162" s="194"/>
      <c r="DB162" s="194"/>
      <c r="DC162" s="194"/>
      <c r="DD162" s="194"/>
      <c r="DE162" s="194"/>
      <c r="DF162" s="194"/>
    </row>
    <row r="163" spans="2:110" s="192" customFormat="1" hidden="1" x14ac:dyDescent="0.35">
      <c r="B163" s="289"/>
      <c r="C163" s="289"/>
      <c r="Q163" s="193"/>
      <c r="R163" s="194">
        <f t="shared" si="51"/>
        <v>12.299999999999985</v>
      </c>
      <c r="S163" s="197">
        <f t="shared" si="19"/>
        <v>0.56910569105691133</v>
      </c>
      <c r="T163" s="194">
        <f t="shared" si="74"/>
        <v>0.69</v>
      </c>
      <c r="U163" s="194">
        <f t="shared" si="75"/>
        <v>1.4999999999999999E-4</v>
      </c>
      <c r="V163" s="197">
        <f t="shared" si="52"/>
        <v>0.56910569105691133</v>
      </c>
      <c r="W163" s="197">
        <f t="shared" si="20"/>
        <v>6.3739837398374081E-3</v>
      </c>
      <c r="X163" s="286">
        <f t="shared" si="21"/>
        <v>1</v>
      </c>
      <c r="Y163" s="286">
        <f t="shared" si="22"/>
        <v>0.43773054187229127</v>
      </c>
      <c r="Z163" s="286">
        <f t="shared" si="23"/>
        <v>0.64281913168107574</v>
      </c>
      <c r="AA163" s="286">
        <f t="shared" si="53"/>
        <v>0.43773054187229127</v>
      </c>
      <c r="AB163" s="197">
        <f t="shared" si="24"/>
        <v>0.53544112660987908</v>
      </c>
      <c r="AC163" s="287">
        <f t="shared" si="25"/>
        <v>1.1223860048007469E-6</v>
      </c>
      <c r="AD163" s="197">
        <f t="shared" si="54"/>
        <v>7.9540557491236861</v>
      </c>
      <c r="AE163" s="197">
        <f t="shared" si="55"/>
        <v>23.862167247371058</v>
      </c>
      <c r="AF163" s="197">
        <f t="shared" si="56"/>
        <v>8.5178571428571437E-2</v>
      </c>
      <c r="AG163" s="197">
        <f t="shared" si="57"/>
        <v>0.25553571428571431</v>
      </c>
      <c r="AH163" s="197">
        <f t="shared" si="26"/>
        <v>0.19910152961064201</v>
      </c>
      <c r="AI163" s="197">
        <f t="shared" si="58"/>
        <v>0.19910152961064201</v>
      </c>
      <c r="AJ163" s="218">
        <f t="shared" si="27"/>
        <v>390</v>
      </c>
      <c r="AK163" s="197">
        <f t="shared" si="59"/>
        <v>8.9579300481832769E-2</v>
      </c>
      <c r="AL163" s="197">
        <f t="shared" si="60"/>
        <v>0.14143727872713788</v>
      </c>
      <c r="AM163" s="197">
        <f t="shared" si="61"/>
        <v>5.9969406180306467E-3</v>
      </c>
      <c r="AN163" s="197">
        <f t="shared" si="28"/>
        <v>24.05</v>
      </c>
      <c r="AO163" s="197">
        <f t="shared" si="29"/>
        <v>21.69</v>
      </c>
      <c r="AP163" s="197">
        <f t="shared" si="62"/>
        <v>0.10893086832024035</v>
      </c>
      <c r="AQ163" s="197">
        <f t="shared" si="63"/>
        <v>0.63499189141520007</v>
      </c>
      <c r="AR163" s="197">
        <f t="shared" si="64"/>
        <v>0.43589036180455809</v>
      </c>
      <c r="AS163" s="258">
        <f t="shared" si="65"/>
        <v>0.35628940819628369</v>
      </c>
      <c r="AT163" s="197">
        <f t="shared" si="30"/>
        <v>1.4217519948000106E-3</v>
      </c>
      <c r="AU163" s="194">
        <f t="shared" si="66"/>
        <v>21.19</v>
      </c>
      <c r="AV163" s="197">
        <f t="shared" si="31"/>
        <v>1.8449999999999977E-2</v>
      </c>
      <c r="AW163" s="197">
        <f t="shared" si="32"/>
        <v>3.4259999999999998E-3</v>
      </c>
      <c r="AX163" s="197">
        <f t="shared" si="67"/>
        <v>4.2139799999999943E-2</v>
      </c>
      <c r="AY163" s="197">
        <f t="shared" si="33"/>
        <v>2.8867475999999996E-3</v>
      </c>
      <c r="AZ163" s="197">
        <f t="shared" si="34"/>
        <v>0</v>
      </c>
      <c r="BA163" s="197">
        <f t="shared" si="68"/>
        <v>7.2596939999999999E-2</v>
      </c>
      <c r="BB163" s="258">
        <f t="shared" si="35"/>
        <v>0.53851708576085555</v>
      </c>
      <c r="BC163" s="197">
        <f t="shared" si="36"/>
        <v>4.8517109022109803E-2</v>
      </c>
      <c r="BD163" s="197">
        <f t="shared" si="69"/>
        <v>9.7034218044219616E-3</v>
      </c>
      <c r="BE163" s="197">
        <f t="shared" si="70"/>
        <v>5.8220530826531766E-2</v>
      </c>
      <c r="BF163" s="197">
        <f t="shared" si="37"/>
        <v>0.20773291256157636</v>
      </c>
      <c r="BG163" s="197">
        <f t="shared" si="38"/>
        <v>1.3788512068977172E-3</v>
      </c>
      <c r="BH163" s="197">
        <f t="shared" si="39"/>
        <v>7.6603945720549141E-2</v>
      </c>
      <c r="BI163" s="197">
        <f t="shared" si="71"/>
        <v>0.54822254823059535</v>
      </c>
      <c r="BJ163" s="197">
        <f t="shared" si="40"/>
        <v>6.8705285827133542</v>
      </c>
      <c r="BK163" s="288">
        <f t="shared" si="41"/>
        <v>0.9202066417990088</v>
      </c>
      <c r="BL163" s="197">
        <f t="shared" si="42"/>
        <v>0.55857955957019212</v>
      </c>
      <c r="BM163" s="197">
        <f t="shared" si="43"/>
        <v>0.11035262031504035</v>
      </c>
      <c r="BN163" s="197">
        <f t="shared" si="44"/>
        <v>56.621157218902418</v>
      </c>
      <c r="BO163" s="197">
        <f t="shared" si="72"/>
        <v>0.20911176376847407</v>
      </c>
      <c r="BP163" s="197">
        <f t="shared" si="45"/>
        <v>65.683382282635563</v>
      </c>
      <c r="BQ163" s="197">
        <f t="shared" si="46"/>
        <v>9.1046939999999979E-2</v>
      </c>
      <c r="BR163" s="288">
        <f t="shared" si="47"/>
        <v>0.18592289582913082</v>
      </c>
      <c r="BS163" s="197">
        <f t="shared" si="48"/>
        <v>0.19910152961064201</v>
      </c>
      <c r="BT163" s="197">
        <f t="shared" si="73"/>
        <v>0.53544112660987908</v>
      </c>
      <c r="BU163" s="197">
        <f t="shared" si="49"/>
        <v>0.50259865769628542</v>
      </c>
      <c r="BV163" s="197">
        <f t="shared" si="50"/>
        <v>1.3516319640325249</v>
      </c>
      <c r="BW163" s="194"/>
      <c r="BX163" s="194"/>
      <c r="BY163" s="194"/>
      <c r="BZ163" s="194"/>
      <c r="CA163" s="194"/>
      <c r="CB163" s="194"/>
      <c r="CC163" s="194"/>
      <c r="CD163" s="194"/>
      <c r="CE163" s="194"/>
      <c r="CF163" s="194"/>
      <c r="CG163" s="194"/>
      <c r="CH163" s="194"/>
      <c r="CI163" s="194"/>
      <c r="CJ163" s="194"/>
      <c r="CK163" s="194"/>
      <c r="CL163" s="194"/>
      <c r="CM163" s="194"/>
      <c r="CN163" s="194"/>
      <c r="CO163" s="194"/>
      <c r="CP163" s="194"/>
      <c r="CQ163" s="194"/>
      <c r="CR163" s="194"/>
      <c r="CS163" s="194"/>
      <c r="CT163" s="194"/>
      <c r="CU163" s="194"/>
      <c r="CV163" s="194"/>
      <c r="CW163" s="194"/>
      <c r="CX163" s="194"/>
      <c r="CY163" s="194"/>
      <c r="CZ163" s="194"/>
      <c r="DA163" s="194"/>
      <c r="DB163" s="194"/>
      <c r="DC163" s="194"/>
      <c r="DD163" s="194"/>
      <c r="DE163" s="194"/>
      <c r="DF163" s="194"/>
    </row>
    <row r="164" spans="2:110" s="192" customFormat="1" hidden="1" x14ac:dyDescent="0.35">
      <c r="B164" s="289"/>
      <c r="C164" s="289"/>
      <c r="Q164" s="193"/>
      <c r="R164" s="194">
        <f t="shared" si="51"/>
        <v>12.399999999999984</v>
      </c>
      <c r="S164" s="197">
        <f t="shared" si="19"/>
        <v>0.56451612903225867</v>
      </c>
      <c r="T164" s="194">
        <f t="shared" si="74"/>
        <v>0.69</v>
      </c>
      <c r="U164" s="194">
        <f t="shared" si="75"/>
        <v>1.4999999999999999E-4</v>
      </c>
      <c r="V164" s="197">
        <f t="shared" si="52"/>
        <v>0.56451612903225867</v>
      </c>
      <c r="W164" s="197">
        <f t="shared" si="20"/>
        <v>6.322580645161298E-3</v>
      </c>
      <c r="X164" s="286">
        <f t="shared" si="21"/>
        <v>1</v>
      </c>
      <c r="Y164" s="286">
        <f t="shared" si="22"/>
        <v>0.43307995905943891</v>
      </c>
      <c r="Z164" s="286">
        <f t="shared" si="23"/>
        <v>0.6409081233095083</v>
      </c>
      <c r="AA164" s="286">
        <f t="shared" si="53"/>
        <v>0.43307995905943891</v>
      </c>
      <c r="AB164" s="197">
        <f t="shared" si="24"/>
        <v>0.53104877297818365</v>
      </c>
      <c r="AC164" s="287">
        <f t="shared" si="25"/>
        <v>1.1104614334857407E-6</v>
      </c>
      <c r="AD164" s="197">
        <f t="shared" si="54"/>
        <v>8.0198444815981809</v>
      </c>
      <c r="AE164" s="197">
        <f t="shared" si="55"/>
        <v>24.059533444794543</v>
      </c>
      <c r="AF164" s="197">
        <f t="shared" si="56"/>
        <v>8.5178571428571423E-2</v>
      </c>
      <c r="AG164" s="197">
        <f t="shared" si="57"/>
        <v>0.25553571428571425</v>
      </c>
      <c r="AH164" s="197">
        <f t="shared" si="26"/>
        <v>0.1986510325071485</v>
      </c>
      <c r="AI164" s="197">
        <f t="shared" si="58"/>
        <v>0.1986510325071485</v>
      </c>
      <c r="AJ164" s="218">
        <f t="shared" si="27"/>
        <v>390</v>
      </c>
      <c r="AK164" s="197">
        <f t="shared" si="59"/>
        <v>8.8844459719250132E-2</v>
      </c>
      <c r="AL164" s="197">
        <f t="shared" si="60"/>
        <v>0.14027703437159567</v>
      </c>
      <c r="AM164" s="197">
        <f t="shared" si="61"/>
        <v>5.9477462573556579E-3</v>
      </c>
      <c r="AN164" s="197">
        <f t="shared" si="28"/>
        <v>24.05</v>
      </c>
      <c r="AO164" s="197">
        <f t="shared" si="29"/>
        <v>21.69</v>
      </c>
      <c r="AP164" s="197">
        <f t="shared" si="62"/>
        <v>0.10803728194576907</v>
      </c>
      <c r="AQ164" s="197">
        <f t="shared" si="63"/>
        <v>0.63037428923175787</v>
      </c>
      <c r="AR164" s="197">
        <f t="shared" si="64"/>
        <v>0.43172325672460943</v>
      </c>
      <c r="AS164" s="258">
        <f t="shared" si="65"/>
        <v>0.35150858227249626</v>
      </c>
      <c r="AT164" s="197">
        <f t="shared" si="30"/>
        <v>1.3838527742056673E-3</v>
      </c>
      <c r="AU164" s="194">
        <f t="shared" si="66"/>
        <v>21.19</v>
      </c>
      <c r="AV164" s="197">
        <f t="shared" si="31"/>
        <v>1.8599999999999978E-2</v>
      </c>
      <c r="AW164" s="197">
        <f t="shared" si="32"/>
        <v>3.4259999999999998E-3</v>
      </c>
      <c r="AX164" s="197">
        <f t="shared" si="67"/>
        <v>4.2482399999999941E-2</v>
      </c>
      <c r="AY164" s="197">
        <f t="shared" si="33"/>
        <v>2.8867475999999996E-3</v>
      </c>
      <c r="AZ164" s="197">
        <f t="shared" si="34"/>
        <v>0</v>
      </c>
      <c r="BA164" s="197">
        <f t="shared" si="68"/>
        <v>7.2596939999999999E-2</v>
      </c>
      <c r="BB164" s="258">
        <f t="shared" si="35"/>
        <v>0.53413604884396959</v>
      </c>
      <c r="BC164" s="197">
        <f t="shared" si="36"/>
        <v>4.7730910614268526E-2</v>
      </c>
      <c r="BD164" s="197">
        <f t="shared" si="69"/>
        <v>9.5461821228537067E-3</v>
      </c>
      <c r="BE164" s="197">
        <f t="shared" si="70"/>
        <v>5.7277092737122233E-2</v>
      </c>
      <c r="BF164" s="197">
        <f t="shared" si="37"/>
        <v>0.20773291256157633</v>
      </c>
      <c r="BG164" s="197">
        <f t="shared" si="38"/>
        <v>1.3642018710372326E-3</v>
      </c>
      <c r="BH164" s="197">
        <f t="shared" si="39"/>
        <v>7.5362612480095556E-2</v>
      </c>
      <c r="BI164" s="197">
        <f t="shared" si="71"/>
        <v>0.54524164196980607</v>
      </c>
      <c r="BJ164" s="197">
        <f t="shared" si="40"/>
        <v>6.8675476764525651</v>
      </c>
      <c r="BK164" s="288">
        <f t="shared" si="41"/>
        <v>0.92060606381527865</v>
      </c>
      <c r="BL164" s="197">
        <f t="shared" si="42"/>
        <v>0.55383449003649787</v>
      </c>
      <c r="BM164" s="197">
        <f t="shared" si="43"/>
        <v>0.10942113471997474</v>
      </c>
      <c r="BN164" s="197">
        <f t="shared" si="44"/>
        <v>56.565268083198482</v>
      </c>
      <c r="BO164" s="197">
        <f t="shared" si="72"/>
        <v>0.20909711443261356</v>
      </c>
      <c r="BP164" s="197">
        <f t="shared" si="45"/>
        <v>65.682283582446018</v>
      </c>
      <c r="BQ164" s="197">
        <f t="shared" si="46"/>
        <v>9.1196939999999976E-2</v>
      </c>
      <c r="BR164" s="288">
        <f t="shared" si="47"/>
        <v>0.18703652339980964</v>
      </c>
      <c r="BS164" s="197">
        <f t="shared" si="48"/>
        <v>0.1986510325071485</v>
      </c>
      <c r="BT164" s="197">
        <f t="shared" si="73"/>
        <v>0.53104877297818365</v>
      </c>
      <c r="BU164" s="197">
        <f t="shared" si="49"/>
        <v>0.50023734175444901</v>
      </c>
      <c r="BV164" s="197">
        <f t="shared" si="50"/>
        <v>1.3372718137118615</v>
      </c>
      <c r="BW164" s="194"/>
      <c r="BX164" s="194"/>
      <c r="BY164" s="194"/>
      <c r="BZ164" s="194"/>
      <c r="CA164" s="194"/>
      <c r="CB164" s="194"/>
      <c r="CC164" s="194"/>
      <c r="CD164" s="194"/>
      <c r="CE164" s="194"/>
      <c r="CF164" s="194"/>
      <c r="CG164" s="194"/>
      <c r="CH164" s="194"/>
      <c r="CI164" s="194"/>
      <c r="CJ164" s="194"/>
      <c r="CK164" s="194"/>
      <c r="CL164" s="194"/>
      <c r="CM164" s="194"/>
      <c r="CN164" s="194"/>
      <c r="CO164" s="194"/>
      <c r="CP164" s="194"/>
      <c r="CQ164" s="194"/>
      <c r="CR164" s="194"/>
      <c r="CS164" s="194"/>
      <c r="CT164" s="194"/>
      <c r="CU164" s="194"/>
      <c r="CV164" s="194"/>
      <c r="CW164" s="194"/>
      <c r="CX164" s="194"/>
      <c r="CY164" s="194"/>
      <c r="CZ164" s="194"/>
      <c r="DA164" s="194"/>
      <c r="DB164" s="194"/>
      <c r="DC164" s="194"/>
      <c r="DD164" s="194"/>
      <c r="DE164" s="194"/>
      <c r="DF164" s="194"/>
    </row>
    <row r="165" spans="2:110" s="192" customFormat="1" hidden="1" x14ac:dyDescent="0.35">
      <c r="B165" s="289"/>
      <c r="C165" s="289"/>
      <c r="Q165" s="193"/>
      <c r="R165" s="194">
        <f t="shared" si="51"/>
        <v>12.499999999999984</v>
      </c>
      <c r="S165" s="197">
        <f t="shared" si="19"/>
        <v>0.56000000000000072</v>
      </c>
      <c r="T165" s="194">
        <f t="shared" si="74"/>
        <v>0.69</v>
      </c>
      <c r="U165" s="194">
        <f t="shared" si="75"/>
        <v>1.4999999999999999E-4</v>
      </c>
      <c r="V165" s="197">
        <f t="shared" si="52"/>
        <v>0.56000000000000072</v>
      </c>
      <c r="W165" s="197">
        <f t="shared" si="20"/>
        <v>6.2720000000000093E-3</v>
      </c>
      <c r="X165" s="286">
        <f t="shared" si="21"/>
        <v>1</v>
      </c>
      <c r="Y165" s="286">
        <f t="shared" si="22"/>
        <v>0.4284300190446963</v>
      </c>
      <c r="Z165" s="286">
        <f t="shared" si="23"/>
        <v>0.63900870031768087</v>
      </c>
      <c r="AA165" s="286">
        <f t="shared" si="53"/>
        <v>0.4284300190446963</v>
      </c>
      <c r="AB165" s="197">
        <f t="shared" si="24"/>
        <v>0.52672848846092468</v>
      </c>
      <c r="AC165" s="287">
        <f t="shared" si="25"/>
        <v>1.0985385103710162E-6</v>
      </c>
      <c r="AD165" s="197">
        <f t="shared" si="54"/>
        <v>8.0856241208311257</v>
      </c>
      <c r="AE165" s="197">
        <f t="shared" si="55"/>
        <v>24.256872362493379</v>
      </c>
      <c r="AF165" s="197">
        <f t="shared" si="56"/>
        <v>8.5178571428571437E-2</v>
      </c>
      <c r="AG165" s="197">
        <f t="shared" si="57"/>
        <v>0.25553571428571431</v>
      </c>
      <c r="AH165" s="197">
        <f t="shared" si="26"/>
        <v>0.19816456216174433</v>
      </c>
      <c r="AI165" s="197">
        <f t="shared" si="58"/>
        <v>0.19816456216174433</v>
      </c>
      <c r="AJ165" s="218">
        <f t="shared" si="27"/>
        <v>390</v>
      </c>
      <c r="AK165" s="197">
        <f t="shared" si="59"/>
        <v>8.8121676119512701E-2</v>
      </c>
      <c r="AL165" s="197">
        <f t="shared" si="60"/>
        <v>0.13913582714062162</v>
      </c>
      <c r="AM165" s="197">
        <f t="shared" si="61"/>
        <v>5.8993590707623576E-3</v>
      </c>
      <c r="AN165" s="197">
        <f t="shared" si="28"/>
        <v>24.05</v>
      </c>
      <c r="AO165" s="197">
        <f t="shared" si="29"/>
        <v>21.69</v>
      </c>
      <c r="AP165" s="197">
        <f t="shared" si="62"/>
        <v>0.1071583574095924</v>
      </c>
      <c r="AQ165" s="197">
        <f t="shared" si="63"/>
        <v>0.62581076954179682</v>
      </c>
      <c r="AR165" s="197">
        <f t="shared" si="64"/>
        <v>0.42764620738005255</v>
      </c>
      <c r="AS165" s="258">
        <f t="shared" si="65"/>
        <v>0.34679514935974143</v>
      </c>
      <c r="AT165" s="197">
        <f t="shared" si="30"/>
        <v>1.3469890069377883E-3</v>
      </c>
      <c r="AU165" s="194">
        <f t="shared" si="66"/>
        <v>21.19</v>
      </c>
      <c r="AV165" s="197">
        <f t="shared" si="31"/>
        <v>1.8749999999999975E-2</v>
      </c>
      <c r="AW165" s="197">
        <f t="shared" si="32"/>
        <v>3.4259999999999998E-3</v>
      </c>
      <c r="AX165" s="197">
        <f t="shared" si="67"/>
        <v>4.282499999999994E-2</v>
      </c>
      <c r="AY165" s="197">
        <f t="shared" si="33"/>
        <v>2.8867475999999996E-3</v>
      </c>
      <c r="AZ165" s="197">
        <f t="shared" si="34"/>
        <v>0</v>
      </c>
      <c r="BA165" s="197">
        <f t="shared" si="68"/>
        <v>7.2596939999999999E-2</v>
      </c>
      <c r="BB165" s="258">
        <f t="shared" si="35"/>
        <v>0.52982575755090788</v>
      </c>
      <c r="BC165" s="197">
        <f t="shared" si="36"/>
        <v>4.6963675271863022E-2</v>
      </c>
      <c r="BD165" s="197">
        <f t="shared" si="69"/>
        <v>9.3927350543726047E-3</v>
      </c>
      <c r="BE165" s="197">
        <f t="shared" si="70"/>
        <v>5.6356410326235624E-2</v>
      </c>
      <c r="BF165" s="197">
        <f t="shared" si="37"/>
        <v>0.20773291256157633</v>
      </c>
      <c r="BG165" s="197">
        <f t="shared" si="38"/>
        <v>1.3495545599907933E-3</v>
      </c>
      <c r="BH165" s="197">
        <f t="shared" si="39"/>
        <v>7.4151220133990711E-2</v>
      </c>
      <c r="BI165" s="197">
        <f t="shared" si="71"/>
        <v>0.54232913159832363</v>
      </c>
      <c r="BJ165" s="197">
        <f t="shared" si="40"/>
        <v>6.8646351660810829</v>
      </c>
      <c r="BK165" s="288">
        <f t="shared" si="41"/>
        <v>0.92099665627125649</v>
      </c>
      <c r="BL165" s="197">
        <f t="shared" si="42"/>
        <v>0.54917081328648731</v>
      </c>
      <c r="BM165" s="197">
        <f t="shared" si="43"/>
        <v>0.10850534641653019</v>
      </c>
      <c r="BN165" s="197">
        <f t="shared" si="44"/>
        <v>56.510320784991812</v>
      </c>
      <c r="BO165" s="197">
        <f t="shared" si="72"/>
        <v>0.20908246712156714</v>
      </c>
      <c r="BP165" s="197">
        <f t="shared" si="45"/>
        <v>65.681185034117533</v>
      </c>
      <c r="BQ165" s="197">
        <f t="shared" si="46"/>
        <v>9.1346939999999974E-2</v>
      </c>
      <c r="BR165" s="288">
        <f t="shared" si="47"/>
        <v>0.18810883263668882</v>
      </c>
      <c r="BS165" s="197">
        <f t="shared" si="48"/>
        <v>0.19816456216174433</v>
      </c>
      <c r="BT165" s="197">
        <f t="shared" si="73"/>
        <v>0.52672848846092468</v>
      </c>
      <c r="BU165" s="197">
        <f t="shared" si="49"/>
        <v>0.49770348409701631</v>
      </c>
      <c r="BV165" s="197">
        <f t="shared" si="50"/>
        <v>1.3229136482343573</v>
      </c>
      <c r="BW165" s="194"/>
      <c r="BX165" s="194"/>
      <c r="BY165" s="194"/>
      <c r="BZ165" s="194"/>
      <c r="CA165" s="194"/>
      <c r="CB165" s="194"/>
      <c r="CC165" s="194"/>
      <c r="CD165" s="194"/>
      <c r="CE165" s="194"/>
      <c r="CF165" s="194"/>
      <c r="CG165" s="194"/>
      <c r="CH165" s="194"/>
      <c r="CI165" s="194"/>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row>
    <row r="166" spans="2:110" s="192" customFormat="1" hidden="1" x14ac:dyDescent="0.35">
      <c r="B166" s="289"/>
      <c r="C166" s="289"/>
      <c r="Q166" s="193"/>
      <c r="R166" s="194">
        <f t="shared" si="51"/>
        <v>12.599999999999984</v>
      </c>
      <c r="S166" s="197">
        <f t="shared" si="19"/>
        <v>0.55555555555555614</v>
      </c>
      <c r="T166" s="194">
        <f t="shared" si="74"/>
        <v>0.69</v>
      </c>
      <c r="U166" s="194">
        <f t="shared" si="75"/>
        <v>1.4999999999999999E-4</v>
      </c>
      <c r="V166" s="197">
        <f t="shared" si="52"/>
        <v>0.55555555555555614</v>
      </c>
      <c r="W166" s="197">
        <f t="shared" si="20"/>
        <v>6.2222222222222297E-3</v>
      </c>
      <c r="X166" s="286">
        <f t="shared" si="21"/>
        <v>1</v>
      </c>
      <c r="Y166" s="286">
        <f t="shared" si="22"/>
        <v>0.423780706518955</v>
      </c>
      <c r="Z166" s="286">
        <f t="shared" si="23"/>
        <v>0.63712075167276416</v>
      </c>
      <c r="AA166" s="286">
        <f t="shared" si="53"/>
        <v>0.423780706518955</v>
      </c>
      <c r="AB166" s="197">
        <f t="shared" si="24"/>
        <v>0.52247849998124052</v>
      </c>
      <c r="AC166" s="287">
        <f t="shared" si="25"/>
        <v>1.0866171962024487E-6</v>
      </c>
      <c r="AD166" s="197">
        <f t="shared" si="54"/>
        <v>8.1513948833903935</v>
      </c>
      <c r="AE166" s="197">
        <f t="shared" si="55"/>
        <v>24.454184650171179</v>
      </c>
      <c r="AF166" s="197">
        <f t="shared" si="56"/>
        <v>8.5178571428571437E-2</v>
      </c>
      <c r="AG166" s="197">
        <f t="shared" si="57"/>
        <v>0.25553571428571431</v>
      </c>
      <c r="AH166" s="197">
        <f t="shared" si="26"/>
        <v>0.19764214817113757</v>
      </c>
      <c r="AI166" s="197">
        <f t="shared" si="58"/>
        <v>0.19764214817113757</v>
      </c>
      <c r="AJ166" s="218">
        <f t="shared" si="27"/>
        <v>390</v>
      </c>
      <c r="AK166" s="197">
        <f t="shared" si="59"/>
        <v>8.7410653046861547E-2</v>
      </c>
      <c r="AL166" s="197">
        <f t="shared" si="60"/>
        <v>0.13801318867428994</v>
      </c>
      <c r="AM166" s="197">
        <f t="shared" si="61"/>
        <v>5.8517591997898945E-3</v>
      </c>
      <c r="AN166" s="197">
        <f t="shared" si="28"/>
        <v>24.05</v>
      </c>
      <c r="AO166" s="197">
        <f t="shared" si="29"/>
        <v>21.69</v>
      </c>
      <c r="AP166" s="197">
        <f t="shared" si="62"/>
        <v>0.10629373399455105</v>
      </c>
      <c r="AQ166" s="197">
        <f t="shared" si="63"/>
        <v>0.62129957406680925</v>
      </c>
      <c r="AR166" s="197">
        <f t="shared" si="64"/>
        <v>0.42365742589567174</v>
      </c>
      <c r="AS166" s="258">
        <f t="shared" si="65"/>
        <v>0.34214726656966638</v>
      </c>
      <c r="AT166" s="197">
        <f t="shared" si="30"/>
        <v>1.3111252226362569E-3</v>
      </c>
      <c r="AU166" s="194">
        <f t="shared" si="66"/>
        <v>21.19</v>
      </c>
      <c r="AV166" s="197">
        <f t="shared" si="31"/>
        <v>1.8899999999999976E-2</v>
      </c>
      <c r="AW166" s="197">
        <f t="shared" si="32"/>
        <v>3.4259999999999998E-3</v>
      </c>
      <c r="AX166" s="197">
        <f t="shared" si="67"/>
        <v>4.3167599999999938E-2</v>
      </c>
      <c r="AY166" s="197">
        <f t="shared" si="33"/>
        <v>2.8867475999999996E-3</v>
      </c>
      <c r="AZ166" s="197">
        <f t="shared" si="34"/>
        <v>0</v>
      </c>
      <c r="BA166" s="197">
        <f t="shared" si="68"/>
        <v>7.2596939999999999E-2</v>
      </c>
      <c r="BB166" s="258">
        <f t="shared" si="35"/>
        <v>0.52558442186178711</v>
      </c>
      <c r="BC166" s="197">
        <f t="shared" si="36"/>
        <v>4.62147821074839E-2</v>
      </c>
      <c r="BD166" s="197">
        <f t="shared" si="69"/>
        <v>9.2429564214967803E-3</v>
      </c>
      <c r="BE166" s="197">
        <f t="shared" si="70"/>
        <v>5.5457738528980678E-2</v>
      </c>
      <c r="BF166" s="197">
        <f t="shared" si="37"/>
        <v>0.20773291256157633</v>
      </c>
      <c r="BG166" s="197">
        <f t="shared" si="38"/>
        <v>1.3349092255347079E-3</v>
      </c>
      <c r="BH166" s="197">
        <f t="shared" si="39"/>
        <v>7.2968788359491429E-2</v>
      </c>
      <c r="BI166" s="197">
        <f t="shared" si="71"/>
        <v>0.5394828954927704</v>
      </c>
      <c r="BJ166" s="197">
        <f t="shared" si="40"/>
        <v>6.8617889299755292</v>
      </c>
      <c r="BK166" s="288">
        <f t="shared" si="41"/>
        <v>0.92137868112846566</v>
      </c>
      <c r="BL166" s="197">
        <f t="shared" si="42"/>
        <v>0.54458642301393156</v>
      </c>
      <c r="BM166" s="197">
        <f t="shared" si="43"/>
        <v>0.10760485921718731</v>
      </c>
      <c r="BN166" s="197">
        <f t="shared" si="44"/>
        <v>56.456291553031235</v>
      </c>
      <c r="BO166" s="197">
        <f t="shared" si="72"/>
        <v>0.20906782178711103</v>
      </c>
      <c r="BP166" s="197">
        <f t="shared" si="45"/>
        <v>65.68008663403333</v>
      </c>
      <c r="BQ166" s="197">
        <f t="shared" si="46"/>
        <v>9.1496939999999971E-2</v>
      </c>
      <c r="BR166" s="288">
        <f t="shared" si="47"/>
        <v>0.18913902502996188</v>
      </c>
      <c r="BS166" s="197">
        <f t="shared" si="48"/>
        <v>0.19764214817113757</v>
      </c>
      <c r="BT166" s="197">
        <f t="shared" si="73"/>
        <v>0.52247849998124052</v>
      </c>
      <c r="BU166" s="197">
        <f t="shared" si="49"/>
        <v>0.49499854935322635</v>
      </c>
      <c r="BV166" s="197">
        <f t="shared" si="50"/>
        <v>1.3085574203282815</v>
      </c>
      <c r="BW166" s="194"/>
      <c r="BX166" s="194"/>
      <c r="BY166" s="194"/>
      <c r="BZ166" s="194"/>
      <c r="CA166" s="194"/>
      <c r="CB166" s="194"/>
      <c r="CC166" s="194"/>
      <c r="CD166" s="194"/>
      <c r="CE166" s="194"/>
      <c r="CF166" s="194"/>
      <c r="CG166" s="194"/>
      <c r="CH166" s="194"/>
      <c r="CI166" s="194"/>
      <c r="CJ166" s="194"/>
      <c r="CK166" s="194"/>
      <c r="CL166" s="194"/>
      <c r="CM166" s="194"/>
      <c r="CN166" s="194"/>
      <c r="CO166" s="194"/>
      <c r="CP166" s="194"/>
      <c r="CQ166" s="194"/>
      <c r="CR166" s="194"/>
      <c r="CS166" s="194"/>
      <c r="CT166" s="194"/>
      <c r="CU166" s="194"/>
      <c r="CV166" s="194"/>
      <c r="CW166" s="194"/>
      <c r="CX166" s="194"/>
      <c r="CY166" s="194"/>
      <c r="CZ166" s="194"/>
      <c r="DA166" s="194"/>
      <c r="DB166" s="194"/>
      <c r="DC166" s="194"/>
      <c r="DD166" s="194"/>
      <c r="DE166" s="194"/>
      <c r="DF166" s="194"/>
    </row>
    <row r="167" spans="2:110" s="192" customFormat="1" hidden="1" x14ac:dyDescent="0.35">
      <c r="B167" s="289"/>
      <c r="C167" s="289"/>
      <c r="Q167" s="193"/>
      <c r="R167" s="194">
        <f t="shared" si="51"/>
        <v>12.699999999999983</v>
      </c>
      <c r="S167" s="197">
        <f t="shared" si="19"/>
        <v>0.55118110236220541</v>
      </c>
      <c r="T167" s="194">
        <f t="shared" si="74"/>
        <v>0.69</v>
      </c>
      <c r="U167" s="194">
        <f t="shared" si="75"/>
        <v>1.4999999999999999E-4</v>
      </c>
      <c r="V167" s="197">
        <f t="shared" si="52"/>
        <v>0.55118110236220541</v>
      </c>
      <c r="W167" s="197">
        <f t="shared" si="20"/>
        <v>6.1732283464567012E-3</v>
      </c>
      <c r="X167" s="286">
        <f t="shared" si="21"/>
        <v>1</v>
      </c>
      <c r="Y167" s="286">
        <f t="shared" si="22"/>
        <v>0.41913200665542011</v>
      </c>
      <c r="Z167" s="286">
        <f t="shared" si="23"/>
        <v>0.63524416793745864</v>
      </c>
      <c r="AA167" s="286">
        <f t="shared" si="53"/>
        <v>0.41913200665542011</v>
      </c>
      <c r="AB167" s="197">
        <f t="shared" si="24"/>
        <v>0.51829709257130963</v>
      </c>
      <c r="AC167" s="287">
        <f t="shared" si="25"/>
        <v>1.0746974529626156E-6</v>
      </c>
      <c r="AD167" s="197">
        <f t="shared" si="54"/>
        <v>8.2171569790208867</v>
      </c>
      <c r="AE167" s="197">
        <f t="shared" si="55"/>
        <v>24.651470937062662</v>
      </c>
      <c r="AF167" s="197">
        <f t="shared" si="56"/>
        <v>8.5178571428571437E-2</v>
      </c>
      <c r="AG167" s="197">
        <f t="shared" si="57"/>
        <v>0.25553571428571431</v>
      </c>
      <c r="AH167" s="197">
        <f t="shared" si="26"/>
        <v>0.19708381916290979</v>
      </c>
      <c r="AI167" s="197">
        <f t="shared" si="58"/>
        <v>0.19708381916290979</v>
      </c>
      <c r="AJ167" s="218">
        <f t="shared" si="27"/>
        <v>390</v>
      </c>
      <c r="AK167" s="197">
        <f t="shared" si="59"/>
        <v>8.6711103587180108E-2</v>
      </c>
      <c r="AL167" s="197">
        <f t="shared" si="60"/>
        <v>0.13690866596223272</v>
      </c>
      <c r="AM167" s="197">
        <f t="shared" si="61"/>
        <v>5.8049274367986689E-3</v>
      </c>
      <c r="AN167" s="197">
        <f t="shared" si="28"/>
        <v>24.05</v>
      </c>
      <c r="AO167" s="197">
        <f t="shared" si="29"/>
        <v>21.69</v>
      </c>
      <c r="AP167" s="197">
        <f t="shared" si="62"/>
        <v>0.10544306280526768</v>
      </c>
      <c r="AQ167" s="197">
        <f t="shared" si="63"/>
        <v>0.61683900215276455</v>
      </c>
      <c r="AR167" s="197">
        <f t="shared" si="64"/>
        <v>0.4197551829898547</v>
      </c>
      <c r="AS167" s="258">
        <f t="shared" si="65"/>
        <v>0.33756314797370263</v>
      </c>
      <c r="AT167" s="197">
        <f t="shared" si="30"/>
        <v>1.2762274433430578E-3</v>
      </c>
      <c r="AU167" s="194">
        <f t="shared" si="66"/>
        <v>21.19</v>
      </c>
      <c r="AV167" s="197">
        <f t="shared" si="31"/>
        <v>1.9049999999999977E-2</v>
      </c>
      <c r="AW167" s="197">
        <f t="shared" si="32"/>
        <v>3.4259999999999998E-3</v>
      </c>
      <c r="AX167" s="197">
        <f t="shared" si="67"/>
        <v>4.3510199999999943E-2</v>
      </c>
      <c r="AY167" s="197">
        <f t="shared" si="33"/>
        <v>2.8867475999999996E-3</v>
      </c>
      <c r="AZ167" s="197">
        <f t="shared" si="34"/>
        <v>0</v>
      </c>
      <c r="BA167" s="197">
        <f t="shared" si="68"/>
        <v>7.2596939999999999E-2</v>
      </c>
      <c r="BB167" s="258">
        <f t="shared" si="35"/>
        <v>0.52141031074307742</v>
      </c>
      <c r="BC167" s="197">
        <f t="shared" si="36"/>
        <v>4.5483635542559915E-2</v>
      </c>
      <c r="BD167" s="197">
        <f t="shared" si="69"/>
        <v>9.096727108511983E-3</v>
      </c>
      <c r="BE167" s="197">
        <f t="shared" si="70"/>
        <v>5.4580362651071898E-2</v>
      </c>
      <c r="BF167" s="197">
        <f t="shared" si="37"/>
        <v>0.20773291256157633</v>
      </c>
      <c r="BG167" s="197">
        <f t="shared" si="38"/>
        <v>1.3202658209645734E-3</v>
      </c>
      <c r="BH167" s="197">
        <f t="shared" si="39"/>
        <v>7.1814376794126333E-2</v>
      </c>
      <c r="BI167" s="197">
        <f t="shared" si="71"/>
        <v>0.53670089567634982</v>
      </c>
      <c r="BJ167" s="197">
        <f t="shared" si="40"/>
        <v>6.8590069301591088</v>
      </c>
      <c r="BK167" s="288">
        <f t="shared" si="41"/>
        <v>0.92175239052223845</v>
      </c>
      <c r="BL167" s="197">
        <f t="shared" si="42"/>
        <v>0.54007928583930065</v>
      </c>
      <c r="BM167" s="197">
        <f t="shared" si="43"/>
        <v>0.10671929024861074</v>
      </c>
      <c r="BN167" s="197">
        <f t="shared" si="44"/>
        <v>56.403157414916642</v>
      </c>
      <c r="BO167" s="197">
        <f t="shared" si="72"/>
        <v>0.20905317838254089</v>
      </c>
      <c r="BP167" s="197">
        <f t="shared" si="45"/>
        <v>65.678988378690562</v>
      </c>
      <c r="BQ167" s="197">
        <f t="shared" si="46"/>
        <v>9.1646939999999982E-2</v>
      </c>
      <c r="BR167" s="288">
        <f t="shared" si="47"/>
        <v>0.19012630206467357</v>
      </c>
      <c r="BS167" s="197">
        <f t="shared" si="48"/>
        <v>0.19708381916290979</v>
      </c>
      <c r="BT167" s="197">
        <f t="shared" si="73"/>
        <v>0.51829709257130963</v>
      </c>
      <c r="BU167" s="197">
        <f t="shared" si="49"/>
        <v>0.49212409304354127</v>
      </c>
      <c r="BV167" s="197">
        <f t="shared" si="50"/>
        <v>1.2942030842111989</v>
      </c>
      <c r="BW167" s="194"/>
      <c r="BX167" s="194"/>
      <c r="BY167" s="194"/>
      <c r="BZ167" s="194"/>
      <c r="CA167" s="194"/>
      <c r="CB167" s="194"/>
      <c r="CC167" s="194"/>
      <c r="CD167" s="194"/>
      <c r="CE167" s="194"/>
      <c r="CF167" s="194"/>
      <c r="CG167" s="194"/>
      <c r="CH167" s="194"/>
      <c r="CI167" s="194"/>
      <c r="CJ167" s="194"/>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row>
    <row r="168" spans="2:110" s="192" customFormat="1" hidden="1" x14ac:dyDescent="0.35">
      <c r="B168" s="289"/>
      <c r="C168" s="289"/>
      <c r="Q168" s="193"/>
      <c r="R168" s="194">
        <f t="shared" si="51"/>
        <v>12.799999999999983</v>
      </c>
      <c r="S168" s="197">
        <f t="shared" si="19"/>
        <v>0.54687500000000078</v>
      </c>
      <c r="T168" s="194">
        <f t="shared" si="74"/>
        <v>0.69</v>
      </c>
      <c r="U168" s="194">
        <f t="shared" si="75"/>
        <v>1.4999999999999999E-4</v>
      </c>
      <c r="V168" s="197">
        <f t="shared" si="52"/>
        <v>0.54687500000000078</v>
      </c>
      <c r="W168" s="197">
        <f t="shared" si="20"/>
        <v>6.1250000000000098E-3</v>
      </c>
      <c r="X168" s="286">
        <f t="shared" si="21"/>
        <v>1</v>
      </c>
      <c r="Y168" s="286">
        <f t="shared" si="22"/>
        <v>0.41448390509076527</v>
      </c>
      <c r="Z168" s="286">
        <f t="shared" si="23"/>
        <v>0.63337884123501542</v>
      </c>
      <c r="AA168" s="286">
        <f t="shared" si="53"/>
        <v>0.41448390509076527</v>
      </c>
      <c r="AB168" s="197">
        <f t="shared" si="24"/>
        <v>0.5141826069954516</v>
      </c>
      <c r="AC168" s="287">
        <f t="shared" si="25"/>
        <v>1.0627792438224751E-6</v>
      </c>
      <c r="AD168" s="197">
        <f t="shared" si="54"/>
        <v>8.2829106109111255</v>
      </c>
      <c r="AE168" s="197">
        <f t="shared" si="55"/>
        <v>24.848731832733378</v>
      </c>
      <c r="AF168" s="197">
        <f t="shared" si="56"/>
        <v>8.5178571428571423E-2</v>
      </c>
      <c r="AG168" s="197">
        <f t="shared" si="57"/>
        <v>0.25553571428571431</v>
      </c>
      <c r="AH168" s="197">
        <f t="shared" si="26"/>
        <v>0.19648960283511818</v>
      </c>
      <c r="AI168" s="197">
        <f t="shared" si="58"/>
        <v>0.19648960283511818</v>
      </c>
      <c r="AJ168" s="218">
        <f t="shared" si="27"/>
        <v>390</v>
      </c>
      <c r="AK168" s="197">
        <f t="shared" si="59"/>
        <v>8.6022750150339056E-2</v>
      </c>
      <c r="AL168" s="197">
        <f t="shared" si="60"/>
        <v>0.13582182071577967</v>
      </c>
      <c r="AM168" s="197">
        <f t="shared" si="61"/>
        <v>5.7588451983490588E-3</v>
      </c>
      <c r="AN168" s="197">
        <f t="shared" si="28"/>
        <v>24.05</v>
      </c>
      <c r="AO168" s="197">
        <f t="shared" si="29"/>
        <v>21.69</v>
      </c>
      <c r="AP168" s="197">
        <f t="shared" si="62"/>
        <v>0.10460600628458715</v>
      </c>
      <c r="AQ168" s="197">
        <f t="shared" si="63"/>
        <v>0.61242740841301069</v>
      </c>
      <c r="AR168" s="197">
        <f t="shared" si="64"/>
        <v>0.41593780557789251</v>
      </c>
      <c r="AS168" s="258">
        <f t="shared" si="65"/>
        <v>0.33304106214532492</v>
      </c>
      <c r="AT168" s="197">
        <f t="shared" si="30"/>
        <v>1.2422631096387254E-3</v>
      </c>
      <c r="AU168" s="194">
        <f t="shared" si="66"/>
        <v>21.19</v>
      </c>
      <c r="AV168" s="197">
        <f t="shared" si="31"/>
        <v>1.9199999999999974E-2</v>
      </c>
      <c r="AW168" s="197">
        <f t="shared" si="32"/>
        <v>3.4259999999999998E-3</v>
      </c>
      <c r="AX168" s="197">
        <f t="shared" si="67"/>
        <v>4.3852799999999942E-2</v>
      </c>
      <c r="AY168" s="197">
        <f t="shared" si="33"/>
        <v>2.8867475999999996E-3</v>
      </c>
      <c r="AZ168" s="197">
        <f t="shared" si="34"/>
        <v>0</v>
      </c>
      <c r="BA168" s="197">
        <f t="shared" si="68"/>
        <v>7.2596939999999999E-2</v>
      </c>
      <c r="BB168" s="258">
        <f t="shared" si="35"/>
        <v>0.51730174979261145</v>
      </c>
      <c r="BC168" s="197">
        <f t="shared" si="36"/>
        <v>4.4769664086630648E-2</v>
      </c>
      <c r="BD168" s="197">
        <f t="shared" si="69"/>
        <v>8.9539328173261299E-3</v>
      </c>
      <c r="BE168" s="197">
        <f t="shared" si="70"/>
        <v>5.3723596903956776E-2</v>
      </c>
      <c r="BF168" s="197">
        <f t="shared" si="37"/>
        <v>0.20773291256157633</v>
      </c>
      <c r="BG168" s="197">
        <f t="shared" si="38"/>
        <v>1.3056243010359104E-3</v>
      </c>
      <c r="BH168" s="197">
        <f t="shared" si="39"/>
        <v>7.0687083108282381E-2</v>
      </c>
      <c r="BI168" s="197">
        <f t="shared" si="71"/>
        <v>0.53398117386907729</v>
      </c>
      <c r="BJ168" s="197">
        <f t="shared" si="40"/>
        <v>6.8562872083518362</v>
      </c>
      <c r="BK168" s="288">
        <f t="shared" si="41"/>
        <v>0.92211802720011204</v>
      </c>
      <c r="BL168" s="197">
        <f t="shared" si="42"/>
        <v>0.53564743815248794</v>
      </c>
      <c r="BM168" s="197">
        <f t="shared" si="43"/>
        <v>0.10584826939422587</v>
      </c>
      <c r="BN168" s="197">
        <f t="shared" si="44"/>
        <v>56.350896163653552</v>
      </c>
      <c r="BO168" s="197">
        <f t="shared" si="72"/>
        <v>0.20903853686261226</v>
      </c>
      <c r="BP168" s="197">
        <f t="shared" si="45"/>
        <v>65.677890264695918</v>
      </c>
      <c r="BQ168" s="197">
        <f t="shared" si="46"/>
        <v>9.1796939999999966E-2</v>
      </c>
      <c r="BR168" s="288">
        <f t="shared" si="47"/>
        <v>0.19106986522091393</v>
      </c>
      <c r="BS168" s="197">
        <f t="shared" si="48"/>
        <v>0.19648960283511818</v>
      </c>
      <c r="BT168" s="197">
        <f t="shared" si="73"/>
        <v>0.5141826069954516</v>
      </c>
      <c r="BU168" s="197">
        <f t="shared" si="49"/>
        <v>0.48908176158232808</v>
      </c>
      <c r="BV168" s="197">
        <f t="shared" si="50"/>
        <v>1.279850595531782</v>
      </c>
      <c r="BW168" s="194"/>
      <c r="BX168" s="194"/>
      <c r="BY168" s="194"/>
      <c r="BZ168" s="194"/>
      <c r="CA168" s="194"/>
      <c r="CB168" s="194"/>
      <c r="CC168" s="194"/>
      <c r="CD168" s="194"/>
      <c r="CE168" s="194"/>
      <c r="CF168" s="194"/>
      <c r="CG168" s="194"/>
      <c r="CH168" s="194"/>
      <c r="CI168" s="194"/>
      <c r="CJ168" s="194"/>
      <c r="CK168" s="194"/>
      <c r="CL168" s="194"/>
      <c r="CM168" s="194"/>
      <c r="CN168" s="194"/>
      <c r="CO168" s="194"/>
      <c r="CP168" s="194"/>
      <c r="CQ168" s="194"/>
      <c r="CR168" s="194"/>
      <c r="CS168" s="194"/>
      <c r="CT168" s="194"/>
      <c r="CU168" s="194"/>
      <c r="CV168" s="194"/>
      <c r="CW168" s="194"/>
      <c r="CX168" s="194"/>
      <c r="CY168" s="194"/>
      <c r="CZ168" s="194"/>
      <c r="DA168" s="194"/>
      <c r="DB168" s="194"/>
      <c r="DC168" s="194"/>
      <c r="DD168" s="194"/>
      <c r="DE168" s="194"/>
      <c r="DF168" s="194"/>
    </row>
    <row r="169" spans="2:110" s="192" customFormat="1" hidden="1" x14ac:dyDescent="0.35">
      <c r="B169" s="289"/>
      <c r="C169" s="289"/>
      <c r="Q169" s="193"/>
      <c r="R169" s="194">
        <f t="shared" si="51"/>
        <v>12.899999999999983</v>
      </c>
      <c r="S169" s="197">
        <f t="shared" si="19"/>
        <v>0.54263565891472942</v>
      </c>
      <c r="T169" s="194">
        <f t="shared" si="74"/>
        <v>0.69</v>
      </c>
      <c r="U169" s="194">
        <f t="shared" si="75"/>
        <v>1.4999999999999999E-4</v>
      </c>
      <c r="V169" s="197">
        <f t="shared" si="52"/>
        <v>0.54263565891472942</v>
      </c>
      <c r="W169" s="197">
        <f t="shared" si="20"/>
        <v>6.0775193798449706E-3</v>
      </c>
      <c r="X169" s="286">
        <f t="shared" si="21"/>
        <v>1</v>
      </c>
      <c r="Y169" s="286">
        <f t="shared" si="22"/>
        <v>0.40983638790716304</v>
      </c>
      <c r="Z169" s="286">
        <f t="shared" si="23"/>
        <v>0.63152466521541173</v>
      </c>
      <c r="AA169" s="286">
        <f t="shared" si="53"/>
        <v>0.40983638790716304</v>
      </c>
      <c r="AB169" s="197">
        <f t="shared" si="24"/>
        <v>0.51013343748964879</v>
      </c>
      <c r="AC169" s="287">
        <f t="shared" si="25"/>
        <v>1.0508625330952898E-6</v>
      </c>
      <c r="AD169" s="197">
        <f t="shared" si="54"/>
        <v>8.3486559759474499</v>
      </c>
      <c r="AE169" s="197">
        <f t="shared" si="55"/>
        <v>25.045967927842348</v>
      </c>
      <c r="AF169" s="197">
        <f t="shared" si="56"/>
        <v>8.5178571428571423E-2</v>
      </c>
      <c r="AG169" s="197">
        <f t="shared" si="57"/>
        <v>0.25553571428571425</v>
      </c>
      <c r="AH169" s="197">
        <f t="shared" si="26"/>
        <v>0.19585952599395931</v>
      </c>
      <c r="AI169" s="197">
        <f t="shared" si="58"/>
        <v>0.19585952599395931</v>
      </c>
      <c r="AJ169" s="218">
        <f t="shared" si="27"/>
        <v>390</v>
      </c>
      <c r="AK169" s="197">
        <f t="shared" si="59"/>
        <v>8.534532409201824E-2</v>
      </c>
      <c r="AL169" s="197">
        <f t="shared" si="60"/>
        <v>0.13475222877085063</v>
      </c>
      <c r="AM169" s="197">
        <f t="shared" si="61"/>
        <v>5.7134944998840677E-3</v>
      </c>
      <c r="AN169" s="197">
        <f t="shared" si="28"/>
        <v>24.05</v>
      </c>
      <c r="AO169" s="197">
        <f t="shared" si="29"/>
        <v>21.69</v>
      </c>
      <c r="AP169" s="197">
        <f t="shared" si="62"/>
        <v>0.10378223775370196</v>
      </c>
      <c r="AQ169" s="197">
        <f t="shared" si="63"/>
        <v>0.60806320048662843</v>
      </c>
      <c r="AR169" s="197">
        <f t="shared" si="64"/>
        <v>0.41220367449266915</v>
      </c>
      <c r="AS169" s="258">
        <f t="shared" si="65"/>
        <v>0.32857932981385785</v>
      </c>
      <c r="AT169" s="197">
        <f t="shared" si="30"/>
        <v>1.2092010109863486E-3</v>
      </c>
      <c r="AU169" s="194">
        <f t="shared" si="66"/>
        <v>21.19</v>
      </c>
      <c r="AV169" s="197">
        <f t="shared" si="31"/>
        <v>1.9349999999999975E-2</v>
      </c>
      <c r="AW169" s="197">
        <f t="shared" si="32"/>
        <v>3.4259999999999998E-3</v>
      </c>
      <c r="AX169" s="197">
        <f t="shared" si="67"/>
        <v>4.419539999999994E-2</v>
      </c>
      <c r="AY169" s="197">
        <f t="shared" si="33"/>
        <v>2.8867475999999996E-3</v>
      </c>
      <c r="AZ169" s="197">
        <f t="shared" si="34"/>
        <v>0</v>
      </c>
      <c r="BA169" s="197">
        <f t="shared" si="68"/>
        <v>7.2596939999999999E-2</v>
      </c>
      <c r="BB169" s="258">
        <f t="shared" si="35"/>
        <v>0.51325711900101323</v>
      </c>
      <c r="BC169" s="197">
        <f t="shared" si="36"/>
        <v>4.4072319185333352E-2</v>
      </c>
      <c r="BD169" s="197">
        <f t="shared" si="69"/>
        <v>8.814463837066671E-3</v>
      </c>
      <c r="BE169" s="197">
        <f t="shared" si="70"/>
        <v>5.2886783022400019E-2</v>
      </c>
      <c r="BF169" s="197">
        <f t="shared" si="37"/>
        <v>0.20773291256157633</v>
      </c>
      <c r="BG169" s="197">
        <f t="shared" si="38"/>
        <v>1.2909846219075634E-3</v>
      </c>
      <c r="BH169" s="197">
        <f t="shared" si="39"/>
        <v>6.95860411862846E-2</v>
      </c>
      <c r="BI169" s="197">
        <f t="shared" si="71"/>
        <v>0.53132184775685687</v>
      </c>
      <c r="BJ169" s="197">
        <f t="shared" si="40"/>
        <v>6.8536278822396159</v>
      </c>
      <c r="BK169" s="288">
        <f t="shared" si="41"/>
        <v>0.92247582493737135</v>
      </c>
      <c r="BL169" s="197">
        <f t="shared" si="42"/>
        <v>0.5312889831193508</v>
      </c>
      <c r="BM169" s="197">
        <f t="shared" si="43"/>
        <v>0.10499143876468831</v>
      </c>
      <c r="BN169" s="197">
        <f t="shared" si="44"/>
        <v>56.299486325881297</v>
      </c>
      <c r="BO169" s="197">
        <f t="shared" si="72"/>
        <v>0.20902389718348391</v>
      </c>
      <c r="BP169" s="197">
        <f t="shared" si="45"/>
        <v>65.676792288761291</v>
      </c>
      <c r="BQ169" s="197">
        <f t="shared" si="46"/>
        <v>9.1946939999999977E-2</v>
      </c>
      <c r="BR169" s="288">
        <f t="shared" si="47"/>
        <v>0.19196891597400292</v>
      </c>
      <c r="BS169" s="197">
        <f t="shared" si="48"/>
        <v>0.19585952599395931</v>
      </c>
      <c r="BT169" s="197">
        <f t="shared" si="73"/>
        <v>0.51013343748964879</v>
      </c>
      <c r="BU169" s="197">
        <f t="shared" si="49"/>
        <v>0.48587329228041426</v>
      </c>
      <c r="BV169" s="197">
        <f t="shared" si="50"/>
        <v>1.2654999113143215</v>
      </c>
      <c r="BW169" s="194"/>
      <c r="BX169" s="194"/>
      <c r="BY169" s="194"/>
      <c r="BZ169" s="194"/>
      <c r="CA169" s="194"/>
      <c r="CB169" s="194"/>
      <c r="CC169" s="194"/>
      <c r="CD169" s="194"/>
      <c r="CE169" s="194"/>
      <c r="CF169" s="194"/>
      <c r="CG169" s="194"/>
      <c r="CH169" s="194"/>
      <c r="CI169" s="194"/>
      <c r="CJ169" s="194"/>
      <c r="CK169" s="194"/>
      <c r="CL169" s="194"/>
      <c r="CM169" s="194"/>
      <c r="CN169" s="194"/>
      <c r="CO169" s="194"/>
      <c r="CP169" s="194"/>
      <c r="CQ169" s="194"/>
      <c r="CR169" s="194"/>
      <c r="CS169" s="194"/>
      <c r="CT169" s="194"/>
      <c r="CU169" s="194"/>
      <c r="CV169" s="194"/>
      <c r="CW169" s="194"/>
      <c r="CX169" s="194"/>
      <c r="CY169" s="194"/>
      <c r="CZ169" s="194"/>
      <c r="DA169" s="194"/>
      <c r="DB169" s="194"/>
      <c r="DC169" s="194"/>
      <c r="DD169" s="194"/>
      <c r="DE169" s="194"/>
      <c r="DF169" s="194"/>
    </row>
    <row r="170" spans="2:110" s="192" customFormat="1" hidden="1" x14ac:dyDescent="0.35">
      <c r="B170" s="289"/>
      <c r="C170" s="289"/>
      <c r="Q170" s="193"/>
      <c r="R170" s="194">
        <f t="shared" si="51"/>
        <v>12.999999999999982</v>
      </c>
      <c r="S170" s="197">
        <f t="shared" si="19"/>
        <v>0.53846153846153921</v>
      </c>
      <c r="T170" s="194">
        <f t="shared" si="74"/>
        <v>0.69</v>
      </c>
      <c r="U170" s="194">
        <f t="shared" si="75"/>
        <v>1.4999999999999999E-4</v>
      </c>
      <c r="V170" s="197">
        <f t="shared" si="52"/>
        <v>0.53846153846153921</v>
      </c>
      <c r="W170" s="197">
        <f t="shared" si="20"/>
        <v>6.0307692307692397E-3</v>
      </c>
      <c r="X170" s="286">
        <f t="shared" si="21"/>
        <v>1</v>
      </c>
      <c r="Y170" s="286">
        <f t="shared" si="22"/>
        <v>0.40518944161514642</v>
      </c>
      <c r="Z170" s="286">
        <f t="shared" si="23"/>
        <v>0.6296815350226318</v>
      </c>
      <c r="AA170" s="286">
        <f t="shared" si="53"/>
        <v>0.40518944161514642</v>
      </c>
      <c r="AB170" s="197">
        <f t="shared" si="24"/>
        <v>0.50614802961085592</v>
      </c>
      <c r="AC170" s="287">
        <f t="shared" si="25"/>
        <v>1.0389472861926832E-6</v>
      </c>
      <c r="AD170" s="197">
        <f t="shared" si="54"/>
        <v>8.4143932649564661</v>
      </c>
      <c r="AE170" s="197">
        <f t="shared" si="55"/>
        <v>25.243179794869395</v>
      </c>
      <c r="AF170" s="197">
        <f t="shared" si="56"/>
        <v>8.5178571428571437E-2</v>
      </c>
      <c r="AG170" s="197">
        <f t="shared" si="57"/>
        <v>0.25553571428571431</v>
      </c>
      <c r="AH170" s="197">
        <f t="shared" si="26"/>
        <v>0.19519361458960677</v>
      </c>
      <c r="AI170" s="197">
        <f t="shared" si="58"/>
        <v>0.19519361458960677</v>
      </c>
      <c r="AJ170" s="218">
        <f t="shared" si="27"/>
        <v>390</v>
      </c>
      <c r="AK170" s="197">
        <f t="shared" si="59"/>
        <v>8.4678565353896201E-2</v>
      </c>
      <c r="AL170" s="197">
        <f t="shared" si="60"/>
        <v>0.13369947951984873</v>
      </c>
      <c r="AM170" s="197">
        <f t="shared" si="61"/>
        <v>5.668857931641587E-3</v>
      </c>
      <c r="AN170" s="197">
        <f t="shared" si="28"/>
        <v>24.05</v>
      </c>
      <c r="AO170" s="197">
        <f t="shared" si="29"/>
        <v>21.69</v>
      </c>
      <c r="AP170" s="197">
        <f t="shared" si="62"/>
        <v>0.10297144097461265</v>
      </c>
      <c r="AQ170" s="197">
        <f t="shared" si="63"/>
        <v>0.60374483690565928</v>
      </c>
      <c r="AR170" s="197">
        <f t="shared" si="64"/>
        <v>0.40855122231605256</v>
      </c>
      <c r="AS170" s="258">
        <f t="shared" si="65"/>
        <v>0.32417632162291177</v>
      </c>
      <c r="AT170" s="197">
        <f t="shared" si="30"/>
        <v>1.1770112200107693E-3</v>
      </c>
      <c r="AU170" s="194">
        <f t="shared" si="66"/>
        <v>21.19</v>
      </c>
      <c r="AV170" s="197">
        <f t="shared" si="31"/>
        <v>1.9499999999999972E-2</v>
      </c>
      <c r="AW170" s="197">
        <f t="shared" si="32"/>
        <v>3.4259999999999998E-3</v>
      </c>
      <c r="AX170" s="197">
        <f t="shared" si="67"/>
        <v>4.4537999999999939E-2</v>
      </c>
      <c r="AY170" s="197">
        <f t="shared" si="33"/>
        <v>2.8867475999999996E-3</v>
      </c>
      <c r="AZ170" s="197">
        <f t="shared" si="34"/>
        <v>0</v>
      </c>
      <c r="BA170" s="197">
        <f t="shared" si="68"/>
        <v>7.2596939999999999E-2</v>
      </c>
      <c r="BB170" s="258">
        <f t="shared" si="35"/>
        <v>0.50927485062292077</v>
      </c>
      <c r="BC170" s="197">
        <f t="shared" si="36"/>
        <v>4.339107413270181E-2</v>
      </c>
      <c r="BD170" s="197">
        <f t="shared" si="69"/>
        <v>8.6782148265403623E-3</v>
      </c>
      <c r="BE170" s="197">
        <f t="shared" si="70"/>
        <v>5.206928895924217E-2</v>
      </c>
      <c r="BF170" s="197">
        <f t="shared" si="37"/>
        <v>0.20773291256157633</v>
      </c>
      <c r="BG170" s="197">
        <f t="shared" si="38"/>
        <v>1.2763467410877112E-3</v>
      </c>
      <c r="BH170" s="197">
        <f t="shared" si="39"/>
        <v>6.8510419409018405E-2</v>
      </c>
      <c r="BI170" s="197">
        <f t="shared" si="71"/>
        <v>0.52872110746554801</v>
      </c>
      <c r="BJ170" s="197">
        <f t="shared" si="40"/>
        <v>6.8510271419483075</v>
      </c>
      <c r="BK170" s="288">
        <f t="shared" si="41"/>
        <v>0.92282600893109445</v>
      </c>
      <c r="BL170" s="197">
        <f t="shared" si="42"/>
        <v>0.52700208784217817</v>
      </c>
      <c r="BM170" s="197">
        <f t="shared" si="43"/>
        <v>0.10414845219462342</v>
      </c>
      <c r="BN170" s="197">
        <f t="shared" si="44"/>
        <v>56.248907131677406</v>
      </c>
      <c r="BO170" s="197">
        <f t="shared" si="72"/>
        <v>0.20900925930266404</v>
      </c>
      <c r="BP170" s="197">
        <f t="shared" si="45"/>
        <v>65.675694447699797</v>
      </c>
      <c r="BQ170" s="197">
        <f t="shared" si="46"/>
        <v>9.2096939999999974E-2</v>
      </c>
      <c r="BR170" s="288">
        <f t="shared" si="47"/>
        <v>0.19282265579466779</v>
      </c>
      <c r="BS170" s="197">
        <f t="shared" si="48"/>
        <v>0.19519361458960677</v>
      </c>
      <c r="BT170" s="197">
        <f t="shared" si="73"/>
        <v>0.50614802961085592</v>
      </c>
      <c r="BU170" s="197">
        <f t="shared" si="49"/>
        <v>0.48250051334753052</v>
      </c>
      <c r="BV170" s="197">
        <f t="shared" si="50"/>
        <v>1.2511509899058069</v>
      </c>
      <c r="BW170" s="194"/>
      <c r="BX170" s="194"/>
      <c r="BY170" s="194"/>
      <c r="BZ170" s="194"/>
      <c r="CA170" s="194"/>
      <c r="CB170" s="194"/>
      <c r="CC170" s="194"/>
      <c r="CD170" s="194"/>
      <c r="CE170" s="194"/>
      <c r="CF170" s="194"/>
      <c r="CG170" s="194"/>
      <c r="CH170" s="194"/>
      <c r="CI170" s="194"/>
      <c r="CJ170" s="194"/>
      <c r="CK170" s="194"/>
      <c r="CL170" s="194"/>
      <c r="CM170" s="194"/>
      <c r="CN170" s="194"/>
      <c r="CO170" s="194"/>
      <c r="CP170" s="194"/>
      <c r="CQ170" s="194"/>
      <c r="CR170" s="194"/>
      <c r="CS170" s="194"/>
      <c r="CT170" s="194"/>
      <c r="CU170" s="194"/>
      <c r="CV170" s="194"/>
      <c r="CW170" s="194"/>
      <c r="CX170" s="194"/>
      <c r="CY170" s="194"/>
      <c r="CZ170" s="194"/>
      <c r="DA170" s="194"/>
      <c r="DB170" s="194"/>
      <c r="DC170" s="194"/>
      <c r="DD170" s="194"/>
      <c r="DE170" s="194"/>
      <c r="DF170" s="194"/>
    </row>
    <row r="171" spans="2:110" s="192" customFormat="1" hidden="1" x14ac:dyDescent="0.35">
      <c r="B171" s="289"/>
      <c r="C171" s="289"/>
      <c r="Q171" s="193"/>
      <c r="R171" s="194">
        <f t="shared" si="51"/>
        <v>13.099999999999982</v>
      </c>
      <c r="S171" s="197">
        <f t="shared" si="19"/>
        <v>0.53435114503816861</v>
      </c>
      <c r="T171" s="194">
        <f t="shared" si="74"/>
        <v>0.69</v>
      </c>
      <c r="U171" s="194">
        <f t="shared" si="75"/>
        <v>1.4999999999999999E-4</v>
      </c>
      <c r="V171" s="197">
        <f t="shared" si="52"/>
        <v>0.53435114503816861</v>
      </c>
      <c r="W171" s="197">
        <f t="shared" si="20"/>
        <v>5.9847328244274894E-3</v>
      </c>
      <c r="X171" s="286">
        <f t="shared" si="21"/>
        <v>1</v>
      </c>
      <c r="Y171" s="286">
        <f t="shared" si="22"/>
        <v>0.40054305313725386</v>
      </c>
      <c r="Z171" s="286">
        <f t="shared" si="23"/>
        <v>0.62784934726300068</v>
      </c>
      <c r="AA171" s="286">
        <f t="shared" si="53"/>
        <v>0.40054305313725386</v>
      </c>
      <c r="AB171" s="197">
        <f t="shared" si="24"/>
        <v>0.50222487818989092</v>
      </c>
      <c r="AC171" s="287">
        <f t="shared" si="25"/>
        <v>1.0270334695827022E-6</v>
      </c>
      <c r="AD171" s="197">
        <f t="shared" si="54"/>
        <v>8.4801226629364113</v>
      </c>
      <c r="AE171" s="197">
        <f t="shared" si="55"/>
        <v>25.440367988809228</v>
      </c>
      <c r="AF171" s="197">
        <f t="shared" si="56"/>
        <v>8.5178571428571451E-2</v>
      </c>
      <c r="AG171" s="197">
        <f t="shared" si="57"/>
        <v>0.25553571428571425</v>
      </c>
      <c r="AH171" s="197">
        <f t="shared" si="26"/>
        <v>0.19449189375032327</v>
      </c>
      <c r="AI171" s="197">
        <f t="shared" si="58"/>
        <v>0.19449189375032327</v>
      </c>
      <c r="AJ171" s="218">
        <f t="shared" si="27"/>
        <v>390</v>
      </c>
      <c r="AK171" s="197">
        <f t="shared" si="59"/>
        <v>8.4022222121168749E-2</v>
      </c>
      <c r="AL171" s="197">
        <f t="shared" si="60"/>
        <v>0.13266317537091457</v>
      </c>
      <c r="AM171" s="197">
        <f t="shared" si="61"/>
        <v>5.624918635726779E-3</v>
      </c>
      <c r="AN171" s="197">
        <f t="shared" si="28"/>
        <v>24.05</v>
      </c>
      <c r="AO171" s="197">
        <f t="shared" si="29"/>
        <v>21.69</v>
      </c>
      <c r="AP171" s="197">
        <f t="shared" si="62"/>
        <v>0.10217330973366137</v>
      </c>
      <c r="AQ171" s="197">
        <f t="shared" si="63"/>
        <v>0.59947082506505256</v>
      </c>
      <c r="AR171" s="197">
        <f t="shared" si="64"/>
        <v>0.40497893131472928</v>
      </c>
      <c r="AS171" s="258">
        <f t="shared" si="65"/>
        <v>0.31983045598693177</v>
      </c>
      <c r="AT171" s="197">
        <f t="shared" si="30"/>
        <v>1.1456650304602575E-3</v>
      </c>
      <c r="AU171" s="194">
        <f t="shared" si="66"/>
        <v>21.19</v>
      </c>
      <c r="AV171" s="197">
        <f t="shared" si="31"/>
        <v>1.9649999999999973E-2</v>
      </c>
      <c r="AW171" s="197">
        <f t="shared" si="32"/>
        <v>3.4259999999999998E-3</v>
      </c>
      <c r="AX171" s="197">
        <f t="shared" si="67"/>
        <v>4.4880599999999937E-2</v>
      </c>
      <c r="AY171" s="197">
        <f t="shared" si="33"/>
        <v>2.8867475999999996E-3</v>
      </c>
      <c r="AZ171" s="197">
        <f t="shared" si="34"/>
        <v>0</v>
      </c>
      <c r="BA171" s="197">
        <f t="shared" si="68"/>
        <v>7.2596939999999999E-2</v>
      </c>
      <c r="BB171" s="258">
        <f t="shared" si="35"/>
        <v>0.50535342715179676</v>
      </c>
      <c r="BC171" s="197">
        <f t="shared" si="36"/>
        <v>4.2725423043689301E-2</v>
      </c>
      <c r="BD171" s="197">
        <f t="shared" si="69"/>
        <v>8.5450846087378601E-3</v>
      </c>
      <c r="BE171" s="197">
        <f t="shared" si="70"/>
        <v>5.1270507652427161E-2</v>
      </c>
      <c r="BF171" s="197">
        <f t="shared" si="37"/>
        <v>0.20773291256157633</v>
      </c>
      <c r="BG171" s="197">
        <f t="shared" si="38"/>
        <v>1.2617106173823495E-3</v>
      </c>
      <c r="BH171" s="197">
        <f t="shared" si="39"/>
        <v>6.7459419031640169E-2</v>
      </c>
      <c r="BI171" s="197">
        <f t="shared" si="71"/>
        <v>0.52617721222714764</v>
      </c>
      <c r="BJ171" s="197">
        <f t="shared" si="40"/>
        <v>6.8484832467099066</v>
      </c>
      <c r="BK171" s="288">
        <f t="shared" si="41"/>
        <v>0.92316879617396608</v>
      </c>
      <c r="BL171" s="197">
        <f t="shared" si="42"/>
        <v>0.52278498066487911</v>
      </c>
      <c r="BM171" s="197">
        <f t="shared" si="43"/>
        <v>0.10331897476412163</v>
      </c>
      <c r="BN171" s="197">
        <f t="shared" si="44"/>
        <v>56.1991384858473</v>
      </c>
      <c r="BO171" s="197">
        <f t="shared" si="72"/>
        <v>0.20899462317895867</v>
      </c>
      <c r="BP171" s="197">
        <f t="shared" si="45"/>
        <v>65.674596738421897</v>
      </c>
      <c r="BQ171" s="197">
        <f t="shared" si="46"/>
        <v>9.2246939999999972E-2</v>
      </c>
      <c r="BR171" s="288">
        <f t="shared" si="47"/>
        <v>0.19363028614921182</v>
      </c>
      <c r="BS171" s="197">
        <f t="shared" si="48"/>
        <v>0.19449189375032327</v>
      </c>
      <c r="BT171" s="197">
        <f t="shared" si="73"/>
        <v>0.50222487818989092</v>
      </c>
      <c r="BU171" s="197">
        <f t="shared" si="49"/>
        <v>0.47896534389464013</v>
      </c>
      <c r="BV171" s="197">
        <f t="shared" si="50"/>
        <v>1.2368037909254253</v>
      </c>
      <c r="BW171" s="194"/>
      <c r="BX171" s="194"/>
      <c r="BY171" s="194"/>
      <c r="BZ171" s="194"/>
      <c r="CA171" s="194"/>
      <c r="CB171" s="194"/>
      <c r="CC171" s="194"/>
      <c r="CD171" s="194"/>
      <c r="CE171" s="194"/>
      <c r="CF171" s="194"/>
      <c r="CG171" s="194"/>
      <c r="CH171" s="194"/>
      <c r="CI171" s="194"/>
      <c r="CJ171" s="194"/>
      <c r="CK171" s="194"/>
      <c r="CL171" s="194"/>
      <c r="CM171" s="194"/>
      <c r="CN171" s="194"/>
      <c r="CO171" s="194"/>
      <c r="CP171" s="194"/>
      <c r="CQ171" s="194"/>
      <c r="CR171" s="194"/>
      <c r="CS171" s="194"/>
      <c r="CT171" s="194"/>
      <c r="CU171" s="194"/>
      <c r="CV171" s="194"/>
      <c r="CW171" s="194"/>
      <c r="CX171" s="194"/>
      <c r="CY171" s="194"/>
      <c r="CZ171" s="194"/>
      <c r="DA171" s="194"/>
      <c r="DB171" s="194"/>
      <c r="DC171" s="194"/>
      <c r="DD171" s="194"/>
      <c r="DE171" s="194"/>
      <c r="DF171" s="194"/>
    </row>
    <row r="172" spans="2:110" s="192" customFormat="1" hidden="1" x14ac:dyDescent="0.35">
      <c r="B172" s="289"/>
      <c r="C172" s="289"/>
      <c r="Q172" s="193"/>
      <c r="R172" s="194">
        <f t="shared" si="51"/>
        <v>13.199999999999982</v>
      </c>
      <c r="S172" s="197">
        <f t="shared" si="19"/>
        <v>0.53030303030303094</v>
      </c>
      <c r="T172" s="194">
        <f t="shared" si="74"/>
        <v>0.69</v>
      </c>
      <c r="U172" s="194">
        <f t="shared" si="75"/>
        <v>1.4999999999999999E-4</v>
      </c>
      <c r="V172" s="197">
        <f t="shared" si="52"/>
        <v>0.53030303030303094</v>
      </c>
      <c r="W172" s="197">
        <f t="shared" si="20"/>
        <v>5.9393939393939475E-3</v>
      </c>
      <c r="X172" s="286">
        <f t="shared" si="21"/>
        <v>1</v>
      </c>
      <c r="Y172" s="286">
        <f t="shared" si="22"/>
        <v>0.39589720979241921</v>
      </c>
      <c r="Z172" s="286">
        <f t="shared" si="23"/>
        <v>0.62602799997452407</v>
      </c>
      <c r="AA172" s="286">
        <f t="shared" si="53"/>
        <v>0.39589720979241921</v>
      </c>
      <c r="AB172" s="197">
        <f t="shared" si="24"/>
        <v>0.49836252538210607</v>
      </c>
      <c r="AC172" s="287">
        <f t="shared" si="25"/>
        <v>1.0151210507497929E-6</v>
      </c>
      <c r="AD172" s="197">
        <f t="shared" si="54"/>
        <v>8.5458443492779725</v>
      </c>
      <c r="AE172" s="197">
        <f t="shared" si="55"/>
        <v>25.637533047833919</v>
      </c>
      <c r="AF172" s="197">
        <f t="shared" si="56"/>
        <v>8.5178571428571423E-2</v>
      </c>
      <c r="AG172" s="197">
        <f t="shared" si="57"/>
        <v>0.25553571428571431</v>
      </c>
      <c r="AH172" s="197">
        <f t="shared" si="26"/>
        <v>0.19375438781494611</v>
      </c>
      <c r="AI172" s="197">
        <f t="shared" si="58"/>
        <v>0.19375438781494611</v>
      </c>
      <c r="AJ172" s="218">
        <f t="shared" si="27"/>
        <v>390</v>
      </c>
      <c r="AK172" s="197">
        <f t="shared" si="59"/>
        <v>8.3376050496426352E-2</v>
      </c>
      <c r="AL172" s="197">
        <f t="shared" si="60"/>
        <v>0.13164293123300916</v>
      </c>
      <c r="AM172" s="197">
        <f t="shared" si="61"/>
        <v>5.581660284279589E-3</v>
      </c>
      <c r="AN172" s="197">
        <f t="shared" si="28"/>
        <v>24.05</v>
      </c>
      <c r="AO172" s="197">
        <f t="shared" si="29"/>
        <v>21.69</v>
      </c>
      <c r="AP172" s="197">
        <f t="shared" si="62"/>
        <v>0.10138754744495755</v>
      </c>
      <c r="AQ172" s="197">
        <f t="shared" si="63"/>
        <v>0.59523971928957908</v>
      </c>
      <c r="AR172" s="197">
        <f t="shared" si="64"/>
        <v>0.401485331474633</v>
      </c>
      <c r="AS172" s="258">
        <f t="shared" si="65"/>
        <v>0.31554019703972797</v>
      </c>
      <c r="AT172" s="197">
        <f t="shared" si="30"/>
        <v>1.1151348986161481E-3</v>
      </c>
      <c r="AU172" s="194">
        <f t="shared" si="66"/>
        <v>21.19</v>
      </c>
      <c r="AV172" s="197">
        <f t="shared" si="31"/>
        <v>1.9799999999999974E-2</v>
      </c>
      <c r="AW172" s="197">
        <f t="shared" si="32"/>
        <v>3.4259999999999998E-3</v>
      </c>
      <c r="AX172" s="197">
        <f t="shared" si="67"/>
        <v>4.5223199999999936E-2</v>
      </c>
      <c r="AY172" s="197">
        <f t="shared" si="33"/>
        <v>2.8867475999999996E-3</v>
      </c>
      <c r="AZ172" s="197">
        <f t="shared" si="34"/>
        <v>0</v>
      </c>
      <c r="BA172" s="197">
        <f t="shared" si="68"/>
        <v>7.2596939999999999E-2</v>
      </c>
      <c r="BB172" s="258">
        <f t="shared" si="35"/>
        <v>0.50149137939253308</v>
      </c>
      <c r="BC172" s="197">
        <f t="shared" si="36"/>
        <v>4.2074879883120773E-2</v>
      </c>
      <c r="BD172" s="197">
        <f t="shared" si="69"/>
        <v>8.4149759766241547E-3</v>
      </c>
      <c r="BE172" s="197">
        <f t="shared" si="70"/>
        <v>5.0489855859744928E-2</v>
      </c>
      <c r="BF172" s="197">
        <f t="shared" si="37"/>
        <v>0.20773291256157633</v>
      </c>
      <c r="BG172" s="197">
        <f t="shared" si="38"/>
        <v>1.2470762108461205E-3</v>
      </c>
      <c r="BH172" s="197">
        <f t="shared" si="39"/>
        <v>6.6432272650384108E-2</v>
      </c>
      <c r="BI172" s="197">
        <f t="shared" si="71"/>
        <v>0.52368848722612515</v>
      </c>
      <c r="BJ172" s="197">
        <f t="shared" si="40"/>
        <v>6.8459945217088842</v>
      </c>
      <c r="BK172" s="288">
        <f t="shared" si="41"/>
        <v>0.92350439580903976</v>
      </c>
      <c r="BL172" s="197">
        <f t="shared" si="42"/>
        <v>0.51863594861431017</v>
      </c>
      <c r="BM172" s="197">
        <f t="shared" si="43"/>
        <v>0.1025026823435737</v>
      </c>
      <c r="BN172" s="197">
        <f t="shared" si="44"/>
        <v>56.15016094061442</v>
      </c>
      <c r="BO172" s="197">
        <f t="shared" si="72"/>
        <v>0.20897998877242246</v>
      </c>
      <c r="BP172" s="197">
        <f t="shared" si="45"/>
        <v>65.673499157931687</v>
      </c>
      <c r="BQ172" s="197">
        <f t="shared" si="46"/>
        <v>9.2396939999999969E-2</v>
      </c>
      <c r="BR172" s="288">
        <f t="shared" si="47"/>
        <v>0.19439100849967617</v>
      </c>
      <c r="BS172" s="197">
        <f t="shared" si="48"/>
        <v>0.19375438781494611</v>
      </c>
      <c r="BT172" s="197">
        <f t="shared" si="73"/>
        <v>0.49836252538210607</v>
      </c>
      <c r="BU172" s="197">
        <f t="shared" si="49"/>
        <v>0.47526979393616603</v>
      </c>
      <c r="BV172" s="197">
        <f t="shared" si="50"/>
        <v>1.2224582752163609</v>
      </c>
      <c r="BW172" s="194"/>
      <c r="BX172" s="194"/>
      <c r="BY172" s="194"/>
      <c r="BZ172" s="194"/>
      <c r="CA172" s="194"/>
      <c r="CB172" s="194"/>
      <c r="CC172" s="194"/>
      <c r="CD172" s="194"/>
      <c r="CE172" s="194"/>
      <c r="CF172" s="194"/>
      <c r="CG172" s="194"/>
      <c r="CH172" s="194"/>
      <c r="CI172" s="194"/>
      <c r="CJ172" s="194"/>
      <c r="CK172" s="194"/>
      <c r="CL172" s="194"/>
      <c r="CM172" s="194"/>
      <c r="CN172" s="194"/>
      <c r="CO172" s="194"/>
      <c r="CP172" s="194"/>
      <c r="CQ172" s="194"/>
      <c r="CR172" s="194"/>
      <c r="CS172" s="194"/>
      <c r="CT172" s="194"/>
      <c r="CU172" s="194"/>
      <c r="CV172" s="194"/>
      <c r="CW172" s="194"/>
      <c r="CX172" s="194"/>
      <c r="CY172" s="194"/>
      <c r="CZ172" s="194"/>
      <c r="DA172" s="194"/>
      <c r="DB172" s="194"/>
      <c r="DC172" s="194"/>
      <c r="DD172" s="194"/>
      <c r="DE172" s="194"/>
      <c r="DF172" s="194"/>
    </row>
    <row r="173" spans="2:110" s="192" customFormat="1" hidden="1" x14ac:dyDescent="0.35">
      <c r="B173" s="289"/>
      <c r="C173" s="289"/>
      <c r="Q173" s="193"/>
      <c r="R173" s="194">
        <f t="shared" si="51"/>
        <v>13.299999999999981</v>
      </c>
      <c r="S173" s="197">
        <f t="shared" si="19"/>
        <v>0.52631578947368496</v>
      </c>
      <c r="T173" s="194">
        <f t="shared" si="74"/>
        <v>0.69</v>
      </c>
      <c r="U173" s="194">
        <f t="shared" si="75"/>
        <v>1.4999999999999999E-4</v>
      </c>
      <c r="V173" s="197">
        <f t="shared" si="52"/>
        <v>0.52631578947368496</v>
      </c>
      <c r="W173" s="197">
        <f t="shared" si="20"/>
        <v>5.894736842105272E-3</v>
      </c>
      <c r="X173" s="286">
        <f t="shared" si="21"/>
        <v>1</v>
      </c>
      <c r="Y173" s="286">
        <f t="shared" si="22"/>
        <v>0.39125189928106524</v>
      </c>
      <c r="Z173" s="286">
        <f t="shared" si="23"/>
        <v>0.62421739259719333</v>
      </c>
      <c r="AA173" s="286">
        <f t="shared" si="53"/>
        <v>0.39125189928106524</v>
      </c>
      <c r="AB173" s="197">
        <f t="shared" si="24"/>
        <v>0.49455955881040209</v>
      </c>
      <c r="AC173" s="287">
        <f t="shared" si="25"/>
        <v>1.0032099981565775E-6</v>
      </c>
      <c r="AD173" s="197">
        <f t="shared" si="54"/>
        <v>8.6115584979751763</v>
      </c>
      <c r="AE173" s="197">
        <f t="shared" si="55"/>
        <v>25.834675493925531</v>
      </c>
      <c r="AF173" s="197">
        <f t="shared" si="56"/>
        <v>8.5178571428571437E-2</v>
      </c>
      <c r="AG173" s="197">
        <f t="shared" si="57"/>
        <v>0.25553571428571431</v>
      </c>
      <c r="AH173" s="197">
        <f t="shared" si="26"/>
        <v>0.19298112036383483</v>
      </c>
      <c r="AI173" s="197">
        <f t="shared" si="58"/>
        <v>0.19298112036383483</v>
      </c>
      <c r="AJ173" s="218">
        <f t="shared" si="27"/>
        <v>390.00000000000006</v>
      </c>
      <c r="AK173" s="197">
        <f t="shared" si="59"/>
        <v>8.2739814188980271E-2</v>
      </c>
      <c r="AL173" s="197">
        <f t="shared" si="60"/>
        <v>0.13063837402538922</v>
      </c>
      <c r="AM173" s="197">
        <f t="shared" si="61"/>
        <v>5.5390670586765046E-3</v>
      </c>
      <c r="AN173" s="197">
        <f t="shared" si="28"/>
        <v>24.05</v>
      </c>
      <c r="AO173" s="197">
        <f t="shared" si="29"/>
        <v>21.69</v>
      </c>
      <c r="AP173" s="197">
        <f t="shared" si="62"/>
        <v>0.10061386677259042</v>
      </c>
      <c r="AQ173" s="197">
        <f t="shared" si="63"/>
        <v>0.59105011899231952</v>
      </c>
      <c r="AR173" s="197">
        <f t="shared" si="64"/>
        <v>0.39806899862848466</v>
      </c>
      <c r="AS173" s="258">
        <f t="shared" si="65"/>
        <v>0.31130405266919342</v>
      </c>
      <c r="AT173" s="197">
        <f t="shared" si="30"/>
        <v>1.0853943879325565E-3</v>
      </c>
      <c r="AU173" s="194">
        <f t="shared" si="66"/>
        <v>21.19</v>
      </c>
      <c r="AV173" s="197">
        <f t="shared" si="31"/>
        <v>1.9949999999999971E-2</v>
      </c>
      <c r="AW173" s="197">
        <f t="shared" si="32"/>
        <v>3.4260000000000002E-3</v>
      </c>
      <c r="AX173" s="197">
        <f t="shared" si="67"/>
        <v>4.5565799999999941E-2</v>
      </c>
      <c r="AY173" s="197">
        <f t="shared" si="33"/>
        <v>2.8867476000000005E-3</v>
      </c>
      <c r="AZ173" s="197">
        <f t="shared" si="34"/>
        <v>0</v>
      </c>
      <c r="BA173" s="197">
        <f t="shared" si="68"/>
        <v>7.2596940000000013E-2</v>
      </c>
      <c r="BB173" s="258">
        <f t="shared" si="35"/>
        <v>0.49768728462641376</v>
      </c>
      <c r="BC173" s="197">
        <f t="shared" si="36"/>
        <v>4.1438977547545414E-2</v>
      </c>
      <c r="BD173" s="197">
        <f t="shared" si="69"/>
        <v>8.2877955095090831E-3</v>
      </c>
      <c r="BE173" s="197">
        <f t="shared" si="70"/>
        <v>4.9726773057054495E-2</v>
      </c>
      <c r="BF173" s="197">
        <f t="shared" si="37"/>
        <v>0.20773291256157633</v>
      </c>
      <c r="BG173" s="197">
        <f t="shared" si="38"/>
        <v>1.2324434827353553E-3</v>
      </c>
      <c r="BH173" s="197">
        <f t="shared" si="39"/>
        <v>6.5428242752893995E-2</v>
      </c>
      <c r="BI173" s="197">
        <f t="shared" si="71"/>
        <v>0.52125332061478313</v>
      </c>
      <c r="BJ173" s="197">
        <f t="shared" si="40"/>
        <v>6.8435593550975424</v>
      </c>
      <c r="BK173" s="288">
        <f t="shared" si="41"/>
        <v>0.923833009466555</v>
      </c>
      <c r="BL173" s="197">
        <f t="shared" si="42"/>
        <v>0.51455333496974076</v>
      </c>
      <c r="BM173" s="197">
        <f t="shared" si="43"/>
        <v>0.10169926116052297</v>
      </c>
      <c r="BN173" s="197">
        <f t="shared" si="44"/>
        <v>56.10195566963138</v>
      </c>
      <c r="BO173" s="197">
        <f t="shared" si="72"/>
        <v>0.20896535604431168</v>
      </c>
      <c r="BP173" s="197">
        <f t="shared" si="45"/>
        <v>65.672401703323374</v>
      </c>
      <c r="BQ173" s="197">
        <f t="shared" si="46"/>
        <v>9.254693999999998E-2</v>
      </c>
      <c r="BR173" s="288">
        <f t="shared" si="47"/>
        <v>0.19510402430399434</v>
      </c>
      <c r="BS173" s="197">
        <f t="shared" si="48"/>
        <v>0.19298112036383483</v>
      </c>
      <c r="BT173" s="197">
        <f t="shared" si="73"/>
        <v>0.49455955881040209</v>
      </c>
      <c r="BU173" s="197">
        <f t="shared" si="49"/>
        <v>0.47141596439211814</v>
      </c>
      <c r="BV173" s="197">
        <f t="shared" si="50"/>
        <v>1.208114404799765</v>
      </c>
      <c r="BW173" s="194"/>
      <c r="BX173" s="194"/>
      <c r="BY173" s="194"/>
      <c r="BZ173" s="194"/>
      <c r="CA173" s="194"/>
      <c r="CB173" s="194"/>
      <c r="CC173" s="194"/>
      <c r="CD173" s="194"/>
      <c r="CE173" s="194"/>
      <c r="CF173" s="194"/>
      <c r="CG173" s="194"/>
      <c r="CH173" s="194"/>
      <c r="CI173" s="194"/>
      <c r="CJ173" s="194"/>
      <c r="CK173" s="194"/>
      <c r="CL173" s="194"/>
      <c r="CM173" s="194"/>
      <c r="CN173" s="194"/>
      <c r="CO173" s="194"/>
      <c r="CP173" s="194"/>
      <c r="CQ173" s="194"/>
      <c r="CR173" s="194"/>
      <c r="CS173" s="194"/>
      <c r="CT173" s="194"/>
      <c r="CU173" s="194"/>
      <c r="CV173" s="194"/>
      <c r="CW173" s="194"/>
      <c r="CX173" s="194"/>
      <c r="CY173" s="194"/>
      <c r="CZ173" s="194"/>
      <c r="DA173" s="194"/>
      <c r="DB173" s="194"/>
      <c r="DC173" s="194"/>
      <c r="DD173" s="194"/>
      <c r="DE173" s="194"/>
      <c r="DF173" s="194"/>
    </row>
    <row r="174" spans="2:110" s="192" customFormat="1" hidden="1" x14ac:dyDescent="0.35">
      <c r="B174" s="289"/>
      <c r="C174" s="289"/>
      <c r="Q174" s="193"/>
      <c r="R174" s="194">
        <f t="shared" si="51"/>
        <v>13.399999999999981</v>
      </c>
      <c r="S174" s="197">
        <f t="shared" si="19"/>
        <v>0.52238805970149327</v>
      </c>
      <c r="T174" s="194">
        <f t="shared" si="74"/>
        <v>0.69</v>
      </c>
      <c r="U174" s="194">
        <f t="shared" si="75"/>
        <v>1.4999999999999999E-4</v>
      </c>
      <c r="V174" s="197">
        <f t="shared" si="52"/>
        <v>0.52238805970149327</v>
      </c>
      <c r="W174" s="197">
        <f t="shared" si="20"/>
        <v>5.8507462686567258E-3</v>
      </c>
      <c r="X174" s="286">
        <f t="shared" si="21"/>
        <v>1</v>
      </c>
      <c r="Y174" s="286">
        <f t="shared" si="22"/>
        <v>0.38660710967086576</v>
      </c>
      <c r="Z174" s="286">
        <f t="shared" si="23"/>
        <v>0.62241742594420713</v>
      </c>
      <c r="AA174" s="286">
        <f t="shared" si="53"/>
        <v>0.38660710967086576</v>
      </c>
      <c r="AB174" s="197">
        <f t="shared" si="24"/>
        <v>0.49081460979549779</v>
      </c>
      <c r="AC174" s="287">
        <f t="shared" si="25"/>
        <v>9.9130028120734816E-7</v>
      </c>
      <c r="AD174" s="197">
        <f t="shared" si="54"/>
        <v>8.6772652778267769</v>
      </c>
      <c r="AE174" s="197">
        <f t="shared" si="55"/>
        <v>26.031795833480334</v>
      </c>
      <c r="AF174" s="197">
        <f t="shared" si="56"/>
        <v>8.5178571428571437E-2</v>
      </c>
      <c r="AG174" s="197">
        <f t="shared" si="57"/>
        <v>0.25553571428571431</v>
      </c>
      <c r="AH174" s="197">
        <f t="shared" si="26"/>
        <v>0.19217211424836642</v>
      </c>
      <c r="AI174" s="197">
        <f t="shared" si="58"/>
        <v>0.19217211424836642</v>
      </c>
      <c r="AJ174" s="218">
        <f t="shared" si="27"/>
        <v>390.00000000000006</v>
      </c>
      <c r="AK174" s="197">
        <f t="shared" si="59"/>
        <v>8.2113284218786789E-2</v>
      </c>
      <c r="AL174" s="197">
        <f t="shared" si="60"/>
        <v>0.12964914221013149</v>
      </c>
      <c r="AM174" s="197">
        <f t="shared" si="61"/>
        <v>5.4971236297095757E-3</v>
      </c>
      <c r="AN174" s="197">
        <f t="shared" si="28"/>
        <v>24.05</v>
      </c>
      <c r="AO174" s="197">
        <f t="shared" si="29"/>
        <v>21.69</v>
      </c>
      <c r="AP174" s="197">
        <f t="shared" si="62"/>
        <v>9.985198927059237E-2</v>
      </c>
      <c r="AQ174" s="197">
        <f t="shared" si="63"/>
        <v>0.58690066691968101</v>
      </c>
      <c r="AR174" s="197">
        <f t="shared" si="64"/>
        <v>0.39472855267131457</v>
      </c>
      <c r="AS174" s="258">
        <f t="shared" si="65"/>
        <v>0.30712057263273668</v>
      </c>
      <c r="AT174" s="197">
        <f t="shared" si="30"/>
        <v>1.056418116703713E-3</v>
      </c>
      <c r="AU174" s="194">
        <f t="shared" si="66"/>
        <v>21.19</v>
      </c>
      <c r="AV174" s="197">
        <f t="shared" si="31"/>
        <v>2.0099999999999972E-2</v>
      </c>
      <c r="AW174" s="197">
        <f t="shared" si="32"/>
        <v>3.4260000000000002E-3</v>
      </c>
      <c r="AX174" s="197">
        <f t="shared" si="67"/>
        <v>4.590839999999994E-2</v>
      </c>
      <c r="AY174" s="197">
        <f t="shared" si="33"/>
        <v>2.8867476000000005E-3</v>
      </c>
      <c r="AZ174" s="197">
        <f t="shared" si="34"/>
        <v>0</v>
      </c>
      <c r="BA174" s="197">
        <f t="shared" si="68"/>
        <v>7.2596940000000013E-2</v>
      </c>
      <c r="BB174" s="258">
        <f t="shared" si="35"/>
        <v>0.49393976486335261</v>
      </c>
      <c r="BC174" s="197">
        <f t="shared" si="36"/>
        <v>4.0817266996709081E-2</v>
      </c>
      <c r="BD174" s="197">
        <f t="shared" si="69"/>
        <v>8.1634533993418159E-3</v>
      </c>
      <c r="BE174" s="197">
        <f t="shared" si="70"/>
        <v>4.8980720396050899E-2</v>
      </c>
      <c r="BF174" s="197">
        <f t="shared" si="37"/>
        <v>0.20773291256157631</v>
      </c>
      <c r="BG174" s="197">
        <f t="shared" si="38"/>
        <v>1.217812395463227E-3</v>
      </c>
      <c r="BH174" s="197">
        <f t="shared" si="39"/>
        <v>6.4446620346899949E-2</v>
      </c>
      <c r="BI174" s="197">
        <f t="shared" si="71"/>
        <v>0.51887016068728642</v>
      </c>
      <c r="BJ174" s="197">
        <f t="shared" si="40"/>
        <v>6.8411761951700454</v>
      </c>
      <c r="BK174" s="288">
        <f t="shared" si="41"/>
        <v>0.92415483158384149</v>
      </c>
      <c r="BL174" s="197">
        <f t="shared" si="42"/>
        <v>0.51053553695298914</v>
      </c>
      <c r="BM174" s="197">
        <f t="shared" si="43"/>
        <v>0.10090840738729609</v>
      </c>
      <c r="BN174" s="197">
        <f t="shared" si="44"/>
        <v>56.054504443237768</v>
      </c>
      <c r="BO174" s="197">
        <f t="shared" si="72"/>
        <v>0.20895072495703954</v>
      </c>
      <c r="BP174" s="197">
        <f t="shared" si="45"/>
        <v>65.671304371777964</v>
      </c>
      <c r="BQ174" s="197">
        <f t="shared" si="46"/>
        <v>9.2696939999999978E-2</v>
      </c>
      <c r="BR174" s="288">
        <f t="shared" si="47"/>
        <v>0.19576853501614042</v>
      </c>
      <c r="BS174" s="197">
        <f t="shared" si="48"/>
        <v>0.19217211424836642</v>
      </c>
      <c r="BT174" s="197">
        <f t="shared" si="73"/>
        <v>0.49081460979549779</v>
      </c>
      <c r="BU174" s="197">
        <f t="shared" si="49"/>
        <v>0.46740604709012679</v>
      </c>
      <c r="BV174" s="197">
        <f t="shared" si="50"/>
        <v>1.1937721428307946</v>
      </c>
      <c r="BW174" s="194"/>
      <c r="BX174" s="194"/>
      <c r="BY174" s="194"/>
      <c r="BZ174" s="194"/>
      <c r="CA174" s="194"/>
      <c r="CB174" s="194"/>
      <c r="CC174" s="194"/>
      <c r="CD174" s="194"/>
      <c r="CE174" s="194"/>
      <c r="CF174" s="194"/>
      <c r="CG174" s="194"/>
      <c r="CH174" s="194"/>
      <c r="CI174" s="194"/>
      <c r="CJ174" s="194"/>
      <c r="CK174" s="194"/>
      <c r="CL174" s="194"/>
      <c r="CM174" s="194"/>
      <c r="CN174" s="194"/>
      <c r="CO174" s="194"/>
      <c r="CP174" s="194"/>
      <c r="CQ174" s="194"/>
      <c r="CR174" s="194"/>
      <c r="CS174" s="194"/>
      <c r="CT174" s="194"/>
      <c r="CU174" s="194"/>
      <c r="CV174" s="194"/>
      <c r="CW174" s="194"/>
      <c r="CX174" s="194"/>
      <c r="CY174" s="194"/>
      <c r="CZ174" s="194"/>
      <c r="DA174" s="194"/>
      <c r="DB174" s="194"/>
      <c r="DC174" s="194"/>
      <c r="DD174" s="194"/>
      <c r="DE174" s="194"/>
      <c r="DF174" s="194"/>
    </row>
    <row r="175" spans="2:110" s="192" customFormat="1" hidden="1" x14ac:dyDescent="0.35">
      <c r="B175" s="289"/>
      <c r="C175" s="289"/>
      <c r="Q175" s="193"/>
      <c r="R175" s="194">
        <f t="shared" si="51"/>
        <v>13.49999999999998</v>
      </c>
      <c r="S175" s="197">
        <f t="shared" si="19"/>
        <v>0.51851851851851927</v>
      </c>
      <c r="T175" s="194">
        <f t="shared" si="74"/>
        <v>0.69</v>
      </c>
      <c r="U175" s="194">
        <f t="shared" si="75"/>
        <v>1.4999999999999999E-4</v>
      </c>
      <c r="V175" s="197">
        <f t="shared" si="52"/>
        <v>0.51851851851851927</v>
      </c>
      <c r="W175" s="197">
        <f t="shared" si="20"/>
        <v>5.8074074074074165E-3</v>
      </c>
      <c r="X175" s="286">
        <f t="shared" si="21"/>
        <v>1</v>
      </c>
      <c r="Y175" s="286">
        <f t="shared" si="22"/>
        <v>0.38196282938313914</v>
      </c>
      <c r="Z175" s="286">
        <f t="shared" si="23"/>
        <v>0.62062800217407632</v>
      </c>
      <c r="AA175" s="286">
        <f t="shared" si="53"/>
        <v>0.38196282938313914</v>
      </c>
      <c r="AB175" s="197">
        <f t="shared" si="24"/>
        <v>0.48712635166868273</v>
      </c>
      <c r="AC175" s="287">
        <f t="shared" si="25"/>
        <v>9.7939187021317727E-7</v>
      </c>
      <c r="AD175" s="197">
        <f t="shared" si="54"/>
        <v>8.7429648526287629</v>
      </c>
      <c r="AE175" s="197">
        <f t="shared" si="55"/>
        <v>26.228894557886289</v>
      </c>
      <c r="AF175" s="197">
        <f t="shared" si="56"/>
        <v>8.5178571428571423E-2</v>
      </c>
      <c r="AG175" s="197">
        <f t="shared" si="57"/>
        <v>0.25553571428571431</v>
      </c>
      <c r="AH175" s="197">
        <f t="shared" si="26"/>
        <v>0.19132739161905679</v>
      </c>
      <c r="AI175" s="197">
        <f t="shared" si="58"/>
        <v>0.19132739161905679</v>
      </c>
      <c r="AJ175" s="218">
        <f t="shared" si="27"/>
        <v>390.00000000000006</v>
      </c>
      <c r="AK175" s="197">
        <f t="shared" si="59"/>
        <v>8.1496238634170617E-2</v>
      </c>
      <c r="AL175" s="197">
        <f t="shared" si="60"/>
        <v>0.1286748853464445</v>
      </c>
      <c r="AM175" s="197">
        <f t="shared" si="61"/>
        <v>5.4558151386892477E-3</v>
      </c>
      <c r="AN175" s="197">
        <f t="shared" si="28"/>
        <v>24.05</v>
      </c>
      <c r="AO175" s="197">
        <f t="shared" si="29"/>
        <v>21.69</v>
      </c>
      <c r="AP175" s="197">
        <f t="shared" si="62"/>
        <v>9.9101645039683342E-2</v>
      </c>
      <c r="AQ175" s="197">
        <f t="shared" si="63"/>
        <v>0.58279004747821117</v>
      </c>
      <c r="AR175" s="197">
        <f t="shared" si="64"/>
        <v>0.39146265585915435</v>
      </c>
      <c r="AS175" s="258">
        <f t="shared" si="65"/>
        <v>0.30298834674824338</v>
      </c>
      <c r="AT175" s="197">
        <f t="shared" si="30"/>
        <v>1.0281817085706184E-3</v>
      </c>
      <c r="AU175" s="194">
        <f t="shared" si="66"/>
        <v>21.19</v>
      </c>
      <c r="AV175" s="197">
        <f t="shared" si="31"/>
        <v>2.0249999999999969E-2</v>
      </c>
      <c r="AW175" s="197">
        <f t="shared" si="32"/>
        <v>3.4260000000000002E-3</v>
      </c>
      <c r="AX175" s="197">
        <f t="shared" si="67"/>
        <v>4.6250999999999938E-2</v>
      </c>
      <c r="AY175" s="197">
        <f t="shared" si="33"/>
        <v>2.8867476000000005E-3</v>
      </c>
      <c r="AZ175" s="197">
        <f t="shared" si="34"/>
        <v>0</v>
      </c>
      <c r="BA175" s="197">
        <f t="shared" si="68"/>
        <v>7.2596940000000013E-2</v>
      </c>
      <c r="BB175" s="258">
        <f t="shared" si="35"/>
        <v>0.49024748517664068</v>
      </c>
      <c r="BC175" s="197">
        <f t="shared" si="36"/>
        <v>4.0209316431594033E-2</v>
      </c>
      <c r="BD175" s="197">
        <f t="shared" si="69"/>
        <v>8.041863286318807E-3</v>
      </c>
      <c r="BE175" s="197">
        <f t="shared" si="70"/>
        <v>4.8251179717912838E-2</v>
      </c>
      <c r="BF175" s="197">
        <f t="shared" si="37"/>
        <v>0.20773291256157636</v>
      </c>
      <c r="BG175" s="197">
        <f t="shared" si="38"/>
        <v>1.2031829125568883E-3</v>
      </c>
      <c r="BH175" s="197">
        <f t="shared" si="39"/>
        <v>6.3486723662420516E-2</v>
      </c>
      <c r="BI175" s="197">
        <f t="shared" si="71"/>
        <v>0.51653751320272057</v>
      </c>
      <c r="BJ175" s="197">
        <f t="shared" si="40"/>
        <v>6.8388435476854799</v>
      </c>
      <c r="BK175" s="288">
        <f t="shared" si="41"/>
        <v>0.92447004970927626</v>
      </c>
      <c r="BL175" s="197">
        <f t="shared" si="42"/>
        <v>0.50658100353225854</v>
      </c>
      <c r="BM175" s="197">
        <f t="shared" si="43"/>
        <v>0.10012982674825396</v>
      </c>
      <c r="BN175" s="197">
        <f t="shared" si="44"/>
        <v>56.007789604895237</v>
      </c>
      <c r="BO175" s="197">
        <f t="shared" si="72"/>
        <v>0.20893609547413325</v>
      </c>
      <c r="BP175" s="197">
        <f t="shared" si="45"/>
        <v>65.670207160559997</v>
      </c>
      <c r="BQ175" s="197">
        <f t="shared" si="46"/>
        <v>9.2846939999999989E-2</v>
      </c>
      <c r="BR175" s="288">
        <f t="shared" si="47"/>
        <v>0.1963837420862703</v>
      </c>
      <c r="BS175" s="197">
        <f t="shared" si="48"/>
        <v>0.19132739161905679</v>
      </c>
      <c r="BT175" s="197">
        <f t="shared" si="73"/>
        <v>0.48712635166868273</v>
      </c>
      <c r="BU175" s="197">
        <f t="shared" si="49"/>
        <v>0.46324232476738653</v>
      </c>
      <c r="BV175" s="197">
        <f t="shared" si="50"/>
        <v>1.1794314535565953</v>
      </c>
      <c r="BW175" s="194"/>
      <c r="BX175" s="194"/>
      <c r="BY175" s="194"/>
      <c r="BZ175" s="194"/>
      <c r="CA175" s="194"/>
      <c r="CB175" s="194"/>
      <c r="CC175" s="194"/>
      <c r="CD175" s="194"/>
      <c r="CE175" s="194"/>
      <c r="CF175" s="194"/>
      <c r="CG175" s="194"/>
      <c r="CH175" s="194"/>
      <c r="CI175" s="194"/>
      <c r="CJ175" s="194"/>
      <c r="CK175" s="194"/>
      <c r="CL175" s="194"/>
      <c r="CM175" s="194"/>
      <c r="CN175" s="194"/>
      <c r="CO175" s="194"/>
      <c r="CP175" s="194"/>
      <c r="CQ175" s="194"/>
      <c r="CR175" s="194"/>
      <c r="CS175" s="194"/>
      <c r="CT175" s="194"/>
      <c r="CU175" s="194"/>
      <c r="CV175" s="194"/>
      <c r="CW175" s="194"/>
      <c r="CX175" s="194"/>
      <c r="CY175" s="194"/>
      <c r="CZ175" s="194"/>
      <c r="DA175" s="194"/>
      <c r="DB175" s="194"/>
      <c r="DC175" s="194"/>
      <c r="DD175" s="194"/>
      <c r="DE175" s="194"/>
      <c r="DF175" s="194"/>
    </row>
    <row r="176" spans="2:110" s="192" customFormat="1" hidden="1" x14ac:dyDescent="0.35">
      <c r="B176" s="289"/>
      <c r="C176" s="289"/>
      <c r="Q176" s="193"/>
      <c r="R176" s="194">
        <f t="shared" si="51"/>
        <v>13.59999999999998</v>
      </c>
      <c r="S176" s="197">
        <f t="shared" si="19"/>
        <v>0.5147058823529419</v>
      </c>
      <c r="T176" s="194">
        <f t="shared" si="74"/>
        <v>0.69</v>
      </c>
      <c r="U176" s="194">
        <f t="shared" si="75"/>
        <v>1.4999999999999999E-4</v>
      </c>
      <c r="V176" s="197">
        <f t="shared" si="52"/>
        <v>0.5147058823529419</v>
      </c>
      <c r="W176" s="197">
        <f t="shared" si="20"/>
        <v>5.7647058823529504E-3</v>
      </c>
      <c r="X176" s="286">
        <f t="shared" si="21"/>
        <v>1</v>
      </c>
      <c r="Y176" s="286">
        <f t="shared" si="22"/>
        <v>0.37731904717984416</v>
      </c>
      <c r="Z176" s="286">
        <f t="shared" si="23"/>
        <v>0.61884902476357229</v>
      </c>
      <c r="AA176" s="286">
        <f t="shared" si="53"/>
        <v>0.37731904717984416</v>
      </c>
      <c r="AB176" s="197">
        <f t="shared" si="24"/>
        <v>0.48349349816258169</v>
      </c>
      <c r="AC176" s="287">
        <f t="shared" si="25"/>
        <v>9.6748473635857483E-7</v>
      </c>
      <c r="AD176" s="197">
        <f t="shared" si="54"/>
        <v>8.8086573813583016</v>
      </c>
      <c r="AE176" s="197">
        <f t="shared" si="55"/>
        <v>26.425972144074905</v>
      </c>
      <c r="AF176" s="197">
        <f t="shared" si="56"/>
        <v>8.5178571428571437E-2</v>
      </c>
      <c r="AG176" s="197">
        <f t="shared" si="57"/>
        <v>0.25553571428571431</v>
      </c>
      <c r="AH176" s="197">
        <f t="shared" si="26"/>
        <v>0.19044697395238422</v>
      </c>
      <c r="AI176" s="197">
        <f t="shared" si="58"/>
        <v>0.19044697395238422</v>
      </c>
      <c r="AJ176" s="218">
        <f t="shared" si="27"/>
        <v>390</v>
      </c>
      <c r="AK176" s="197">
        <f t="shared" si="59"/>
        <v>8.0888462242599921E-2</v>
      </c>
      <c r="AL176" s="197">
        <f t="shared" si="60"/>
        <v>0.12771526366558761</v>
      </c>
      <c r="AM176" s="197">
        <f t="shared" si="61"/>
        <v>5.4151271794209161E-3</v>
      </c>
      <c r="AN176" s="197">
        <f t="shared" si="28"/>
        <v>24.05</v>
      </c>
      <c r="AO176" s="197">
        <f t="shared" si="29"/>
        <v>21.69</v>
      </c>
      <c r="AP176" s="197">
        <f t="shared" si="62"/>
        <v>9.8362572399885634E-2</v>
      </c>
      <c r="AQ176" s="197">
        <f t="shared" si="63"/>
        <v>0.57871698513877379</v>
      </c>
      <c r="AR176" s="197">
        <f t="shared" si="64"/>
        <v>0.3882700111863896</v>
      </c>
      <c r="AS176" s="258">
        <f t="shared" si="65"/>
        <v>0.29890600315564747</v>
      </c>
      <c r="AT176" s="197">
        <f t="shared" si="30"/>
        <v>1.0006617456918203E-3</v>
      </c>
      <c r="AU176" s="194">
        <f t="shared" si="66"/>
        <v>21.19</v>
      </c>
      <c r="AV176" s="197">
        <f t="shared" si="31"/>
        <v>2.039999999999997E-2</v>
      </c>
      <c r="AW176" s="197">
        <f t="shared" si="32"/>
        <v>3.4259999999999998E-3</v>
      </c>
      <c r="AX176" s="197">
        <f t="shared" si="67"/>
        <v>4.659359999999993E-2</v>
      </c>
      <c r="AY176" s="197">
        <f t="shared" si="33"/>
        <v>2.8867475999999996E-3</v>
      </c>
      <c r="AZ176" s="197">
        <f t="shared" si="34"/>
        <v>0</v>
      </c>
      <c r="BA176" s="197">
        <f t="shared" si="68"/>
        <v>7.2596939999999999E-2</v>
      </c>
      <c r="BB176" s="258">
        <f t="shared" si="35"/>
        <v>0.48660915211573247</v>
      </c>
      <c r="BC176" s="197">
        <f t="shared" si="36"/>
        <v>3.9614710516183115E-2</v>
      </c>
      <c r="BD176" s="197">
        <f t="shared" si="69"/>
        <v>7.9229421032366229E-3</v>
      </c>
      <c r="BE176" s="197">
        <f t="shared" si="70"/>
        <v>4.7537652619419737E-2</v>
      </c>
      <c r="BF176" s="197">
        <f t="shared" si="37"/>
        <v>0.20773291256157636</v>
      </c>
      <c r="BG176" s="197">
        <f t="shared" si="38"/>
        <v>1.188554998616509E-3</v>
      </c>
      <c r="BH176" s="197">
        <f t="shared" si="39"/>
        <v>6.2547896923001681E-2</v>
      </c>
      <c r="BI176" s="197">
        <f t="shared" si="71"/>
        <v>0.51425393884819182</v>
      </c>
      <c r="BJ176" s="197">
        <f t="shared" si="40"/>
        <v>6.8365599733309512</v>
      </c>
      <c r="BK176" s="288">
        <f t="shared" si="41"/>
        <v>0.92477884479120076</v>
      </c>
      <c r="BL176" s="197">
        <f t="shared" si="42"/>
        <v>0.50268823333315893</v>
      </c>
      <c r="BM176" s="197">
        <f t="shared" si="43"/>
        <v>9.9363234145577448E-2</v>
      </c>
      <c r="BN176" s="197">
        <f t="shared" si="44"/>
        <v>55.961794048734646</v>
      </c>
      <c r="BO176" s="197">
        <f t="shared" si="72"/>
        <v>0.20892146756019286</v>
      </c>
      <c r="BP176" s="197">
        <f t="shared" si="45"/>
        <v>65.669110067014458</v>
      </c>
      <c r="BQ176" s="197">
        <f t="shared" si="46"/>
        <v>9.2996939999999972E-2</v>
      </c>
      <c r="BR176" s="288">
        <f t="shared" si="47"/>
        <v>0.19694884696085785</v>
      </c>
      <c r="BS176" s="197">
        <f t="shared" si="48"/>
        <v>0.19044697395238422</v>
      </c>
      <c r="BT176" s="197">
        <f t="shared" si="73"/>
        <v>0.48349349816258169</v>
      </c>
      <c r="BU176" s="197">
        <f t="shared" si="49"/>
        <v>0.45892717107251729</v>
      </c>
      <c r="BV176" s="197">
        <f t="shared" si="50"/>
        <v>1.1650923022761484</v>
      </c>
      <c r="BW176" s="194"/>
      <c r="BX176" s="194"/>
      <c r="BY176" s="194"/>
      <c r="BZ176" s="194"/>
      <c r="CA176" s="194"/>
      <c r="CB176" s="194"/>
      <c r="CC176" s="194"/>
      <c r="CD176" s="194"/>
      <c r="CE176" s="194"/>
      <c r="CF176" s="194"/>
      <c r="CG176" s="194"/>
      <c r="CH176" s="194"/>
      <c r="CI176" s="194"/>
      <c r="CJ176" s="194"/>
      <c r="CK176" s="194"/>
      <c r="CL176" s="194"/>
      <c r="CM176" s="194"/>
      <c r="CN176" s="194"/>
      <c r="CO176" s="194"/>
      <c r="CP176" s="194"/>
      <c r="CQ176" s="194"/>
      <c r="CR176" s="194"/>
      <c r="CS176" s="194"/>
      <c r="CT176" s="194"/>
      <c r="CU176" s="194"/>
      <c r="CV176" s="194"/>
      <c r="CW176" s="194"/>
      <c r="CX176" s="194"/>
      <c r="CY176" s="194"/>
      <c r="CZ176" s="194"/>
      <c r="DA176" s="194"/>
      <c r="DB176" s="194"/>
      <c r="DC176" s="194"/>
      <c r="DD176" s="194"/>
      <c r="DE176" s="194"/>
      <c r="DF176" s="194"/>
    </row>
    <row r="177" spans="2:110" s="192" customFormat="1" hidden="1" x14ac:dyDescent="0.35">
      <c r="B177" s="289"/>
      <c r="C177" s="289"/>
      <c r="Q177" s="193"/>
      <c r="R177" s="194">
        <f t="shared" si="51"/>
        <v>13.69999999999998</v>
      </c>
      <c r="S177" s="197">
        <f t="shared" si="19"/>
        <v>0.51094890510948976</v>
      </c>
      <c r="T177" s="194">
        <f t="shared" si="74"/>
        <v>0.69</v>
      </c>
      <c r="U177" s="194">
        <f t="shared" si="75"/>
        <v>1.4999999999999999E-4</v>
      </c>
      <c r="V177" s="197">
        <f t="shared" si="52"/>
        <v>0.51094890510948976</v>
      </c>
      <c r="W177" s="197">
        <f t="shared" si="20"/>
        <v>5.7226277372262862E-3</v>
      </c>
      <c r="X177" s="286">
        <f t="shared" si="21"/>
        <v>1</v>
      </c>
      <c r="Y177" s="286">
        <f t="shared" si="22"/>
        <v>0.37267575215114407</v>
      </c>
      <c r="Z177" s="286">
        <f t="shared" si="23"/>
        <v>0.61708039848148089</v>
      </c>
      <c r="AA177" s="286">
        <f t="shared" si="53"/>
        <v>0.37267575215114407</v>
      </c>
      <c r="AB177" s="197">
        <f t="shared" si="24"/>
        <v>0.47991480187573254</v>
      </c>
      <c r="AC177" s="287">
        <f t="shared" si="25"/>
        <v>9.5557885166960014E-7</v>
      </c>
      <c r="AD177" s="197">
        <f t="shared" si="54"/>
        <v>8.8743430183496681</v>
      </c>
      <c r="AE177" s="197">
        <f t="shared" si="55"/>
        <v>26.623029055049006</v>
      </c>
      <c r="AF177" s="197">
        <f t="shared" si="56"/>
        <v>8.5178571428571423E-2</v>
      </c>
      <c r="AG177" s="197">
        <f t="shared" si="57"/>
        <v>0.25553571428571431</v>
      </c>
      <c r="AH177" s="197">
        <f t="shared" si="26"/>
        <v>0.18953088207638238</v>
      </c>
      <c r="AI177" s="197">
        <f t="shared" si="58"/>
        <v>0.18953088207638238</v>
      </c>
      <c r="AJ177" s="218">
        <f t="shared" si="27"/>
        <v>390.00000000000006</v>
      </c>
      <c r="AK177" s="197">
        <f t="shared" si="59"/>
        <v>8.028974635381006E-2</v>
      </c>
      <c r="AL177" s="197">
        <f t="shared" si="60"/>
        <v>0.12676994766528785</v>
      </c>
      <c r="AM177" s="197">
        <f t="shared" si="61"/>
        <v>5.3750457810082053E-3</v>
      </c>
      <c r="AN177" s="197">
        <f t="shared" si="28"/>
        <v>24.05</v>
      </c>
      <c r="AO177" s="197">
        <f t="shared" si="29"/>
        <v>21.69</v>
      </c>
      <c r="AP177" s="197">
        <f t="shared" si="62"/>
        <v>9.7634517578155583E-2</v>
      </c>
      <c r="AQ177" s="197">
        <f t="shared" si="63"/>
        <v>0.57468024291392372</v>
      </c>
      <c r="AR177" s="197">
        <f t="shared" si="64"/>
        <v>0.38514936083754137</v>
      </c>
      <c r="AS177" s="258">
        <f t="shared" si="65"/>
        <v>0.2948722066444317</v>
      </c>
      <c r="AT177" s="197">
        <f t="shared" si="30"/>
        <v>9.7383572441519216E-4</v>
      </c>
      <c r="AU177" s="194">
        <f t="shared" si="66"/>
        <v>21.19</v>
      </c>
      <c r="AV177" s="197">
        <f t="shared" si="31"/>
        <v>2.0549999999999971E-2</v>
      </c>
      <c r="AW177" s="197">
        <f t="shared" si="32"/>
        <v>3.4260000000000002E-3</v>
      </c>
      <c r="AX177" s="197">
        <f t="shared" si="67"/>
        <v>4.6936199999999935E-2</v>
      </c>
      <c r="AY177" s="197">
        <f t="shared" si="33"/>
        <v>2.8867476000000005E-3</v>
      </c>
      <c r="AZ177" s="197">
        <f t="shared" si="34"/>
        <v>0</v>
      </c>
      <c r="BA177" s="197">
        <f t="shared" si="68"/>
        <v>7.2596940000000013E-2</v>
      </c>
      <c r="BB177" s="258">
        <f t="shared" si="35"/>
        <v>0.48302351219287926</v>
      </c>
      <c r="BC177" s="197">
        <f t="shared" si="36"/>
        <v>3.9033049640300493E-2</v>
      </c>
      <c r="BD177" s="197">
        <f t="shared" si="69"/>
        <v>7.8066099280600992E-3</v>
      </c>
      <c r="BE177" s="197">
        <f t="shared" si="70"/>
        <v>4.6839659568360593E-2</v>
      </c>
      <c r="BF177" s="197">
        <f t="shared" si="37"/>
        <v>0.20773291256157636</v>
      </c>
      <c r="BG177" s="197">
        <f t="shared" si="38"/>
        <v>1.1739286192761038E-3</v>
      </c>
      <c r="BH177" s="197">
        <f t="shared" si="39"/>
        <v>6.162950918181178E-2</v>
      </c>
      <c r="BI177" s="197">
        <f t="shared" si="71"/>
        <v>0.51201805083359564</v>
      </c>
      <c r="BJ177" s="197">
        <f t="shared" si="40"/>
        <v>6.8343240853163545</v>
      </c>
      <c r="BK177" s="288">
        <f t="shared" si="41"/>
        <v>0.92508139145264212</v>
      </c>
      <c r="BL177" s="197">
        <f t="shared" si="42"/>
        <v>0.49885577265082953</v>
      </c>
      <c r="BM177" s="197">
        <f t="shared" si="43"/>
        <v>9.860835330257077E-2</v>
      </c>
      <c r="BN177" s="197">
        <f t="shared" si="44"/>
        <v>55.916501198154243</v>
      </c>
      <c r="BO177" s="197">
        <f t="shared" si="72"/>
        <v>0.20890684118085245</v>
      </c>
      <c r="BP177" s="197">
        <f t="shared" si="45"/>
        <v>65.668013088563939</v>
      </c>
      <c r="BQ177" s="197">
        <f t="shared" si="46"/>
        <v>9.3146939999999984E-2</v>
      </c>
      <c r="BR177" s="288">
        <f t="shared" si="47"/>
        <v>0.19746305108282411</v>
      </c>
      <c r="BS177" s="197">
        <f t="shared" si="48"/>
        <v>0.18953088207638238</v>
      </c>
      <c r="BT177" s="197">
        <f t="shared" si="73"/>
        <v>0.47991480187573254</v>
      </c>
      <c r="BU177" s="197">
        <f t="shared" si="49"/>
        <v>0.45446305056734165</v>
      </c>
      <c r="BV177" s="197">
        <f t="shared" si="50"/>
        <v>1.1507546553018699</v>
      </c>
      <c r="BW177" s="194"/>
      <c r="BX177" s="194"/>
      <c r="BY177" s="194"/>
      <c r="BZ177" s="194"/>
      <c r="CA177" s="194"/>
      <c r="CB177" s="194"/>
      <c r="CC177" s="194"/>
      <c r="CD177" s="194"/>
      <c r="CE177" s="194"/>
      <c r="CF177" s="194"/>
      <c r="CG177" s="194"/>
      <c r="CH177" s="194"/>
      <c r="CI177" s="194"/>
      <c r="CJ177" s="194"/>
      <c r="CK177" s="194"/>
      <c r="CL177" s="194"/>
      <c r="CM177" s="194"/>
      <c r="CN177" s="194"/>
      <c r="CO177" s="194"/>
      <c r="CP177" s="194"/>
      <c r="CQ177" s="194"/>
      <c r="CR177" s="194"/>
      <c r="CS177" s="194"/>
      <c r="CT177" s="194"/>
      <c r="CU177" s="194"/>
      <c r="CV177" s="194"/>
      <c r="CW177" s="194"/>
      <c r="CX177" s="194"/>
      <c r="CY177" s="194"/>
      <c r="CZ177" s="194"/>
      <c r="DA177" s="194"/>
      <c r="DB177" s="194"/>
      <c r="DC177" s="194"/>
      <c r="DD177" s="194"/>
      <c r="DE177" s="194"/>
      <c r="DF177" s="194"/>
    </row>
    <row r="178" spans="2:110" s="192" customFormat="1" hidden="1" x14ac:dyDescent="0.35">
      <c r="B178" s="289"/>
      <c r="C178" s="289"/>
      <c r="Q178" s="193"/>
      <c r="R178" s="194">
        <f t="shared" si="51"/>
        <v>13.799999999999979</v>
      </c>
      <c r="S178" s="197">
        <f t="shared" si="19"/>
        <v>0.50724637681159501</v>
      </c>
      <c r="T178" s="194">
        <f t="shared" si="74"/>
        <v>0.69</v>
      </c>
      <c r="U178" s="194">
        <f t="shared" si="75"/>
        <v>1.4999999999999999E-4</v>
      </c>
      <c r="V178" s="197">
        <f t="shared" si="52"/>
        <v>0.50724637681159501</v>
      </c>
      <c r="W178" s="197">
        <f t="shared" si="20"/>
        <v>5.6811594202898653E-3</v>
      </c>
      <c r="X178" s="286">
        <f t="shared" si="21"/>
        <v>1</v>
      </c>
      <c r="Y178" s="286">
        <f t="shared" si="22"/>
        <v>0.36803293370351203</v>
      </c>
      <c r="Z178" s="286">
        <f t="shared" si="23"/>
        <v>0.61532202936313363</v>
      </c>
      <c r="AA178" s="286">
        <f t="shared" si="53"/>
        <v>0.36803293370351203</v>
      </c>
      <c r="AB178" s="197">
        <f t="shared" si="24"/>
        <v>0.47638905280703814</v>
      </c>
      <c r="AC178" s="287">
        <f t="shared" si="25"/>
        <v>9.436741889833642E-7</v>
      </c>
      <c r="AD178" s="197">
        <f t="shared" si="54"/>
        <v>8.9400219134625125</v>
      </c>
      <c r="AE178" s="197">
        <f t="shared" si="55"/>
        <v>26.820065740387541</v>
      </c>
      <c r="AF178" s="197">
        <f t="shared" si="56"/>
        <v>8.5178571428571409E-2</v>
      </c>
      <c r="AG178" s="197">
        <f t="shared" si="57"/>
        <v>0.25553571428571425</v>
      </c>
      <c r="AH178" s="197">
        <f t="shared" si="26"/>
        <v>0.18857913619507111</v>
      </c>
      <c r="AI178" s="197">
        <f t="shared" si="58"/>
        <v>0.18857913619507111</v>
      </c>
      <c r="AJ178" s="218">
        <f t="shared" si="27"/>
        <v>390</v>
      </c>
      <c r="AK178" s="197">
        <f t="shared" si="59"/>
        <v>7.9699888534617486E-2</v>
      </c>
      <c r="AL178" s="197">
        <f t="shared" si="60"/>
        <v>0.12583861772261384</v>
      </c>
      <c r="AM178" s="197">
        <f t="shared" si="61"/>
        <v>5.3355573914388279E-3</v>
      </c>
      <c r="AN178" s="197">
        <f t="shared" si="28"/>
        <v>24.05</v>
      </c>
      <c r="AO178" s="197">
        <f t="shared" si="29"/>
        <v>21.69</v>
      </c>
      <c r="AP178" s="197">
        <f t="shared" si="62"/>
        <v>9.6917234410230396E-2</v>
      </c>
      <c r="AQ178" s="197">
        <f t="shared" si="63"/>
        <v>0.57067862090457366</v>
      </c>
      <c r="AR178" s="197">
        <f t="shared" si="64"/>
        <v>0.38209948470950261</v>
      </c>
      <c r="AS178" s="258">
        <f t="shared" si="65"/>
        <v>0.29088565704259339</v>
      </c>
      <c r="AT178" s="197">
        <f t="shared" si="30"/>
        <v>9.4768201329873433E-4</v>
      </c>
      <c r="AU178" s="194">
        <f t="shared" si="66"/>
        <v>21.19</v>
      </c>
      <c r="AV178" s="197">
        <f t="shared" si="31"/>
        <v>2.0699999999999968E-2</v>
      </c>
      <c r="AW178" s="197">
        <f t="shared" si="32"/>
        <v>3.4259999999999998E-3</v>
      </c>
      <c r="AX178" s="197">
        <f t="shared" si="67"/>
        <v>4.7278799999999926E-2</v>
      </c>
      <c r="AY178" s="197">
        <f t="shared" si="33"/>
        <v>2.8867475999999996E-3</v>
      </c>
      <c r="AZ178" s="197">
        <f t="shared" si="34"/>
        <v>0</v>
      </c>
      <c r="BA178" s="197">
        <f t="shared" si="68"/>
        <v>7.2596939999999999E-2</v>
      </c>
      <c r="BB178" s="258">
        <f t="shared" si="35"/>
        <v>0.47948935043967367</v>
      </c>
      <c r="BC178" s="197">
        <f t="shared" si="36"/>
        <v>3.846394922106057E-2</v>
      </c>
      <c r="BD178" s="197">
        <f t="shared" si="69"/>
        <v>7.6927898442121145E-3</v>
      </c>
      <c r="BE178" s="197">
        <f t="shared" si="70"/>
        <v>4.6156739065272685E-2</v>
      </c>
      <c r="BF178" s="197">
        <f t="shared" si="37"/>
        <v>0.20773291256157636</v>
      </c>
      <c r="BG178" s="197">
        <f t="shared" si="38"/>
        <v>1.1593037411660628E-3</v>
      </c>
      <c r="BH178" s="197">
        <f t="shared" si="39"/>
        <v>6.0730953218695143E-2</v>
      </c>
      <c r="BI178" s="197">
        <f t="shared" si="71"/>
        <v>0.50982851261023931</v>
      </c>
      <c r="BJ178" s="197">
        <f t="shared" si="40"/>
        <v>6.8321345470929984</v>
      </c>
      <c r="BK178" s="288">
        <f t="shared" si="41"/>
        <v>0.92537785825263552</v>
      </c>
      <c r="BL178" s="197">
        <f t="shared" si="42"/>
        <v>0.4950822135574644</v>
      </c>
      <c r="BM178" s="197">
        <f t="shared" si="43"/>
        <v>9.7864916423529125E-2</v>
      </c>
      <c r="BN178" s="197">
        <f t="shared" si="44"/>
        <v>55.87189498541175</v>
      </c>
      <c r="BO178" s="197">
        <f t="shared" si="72"/>
        <v>0.20889221630274243</v>
      </c>
      <c r="BP178" s="197">
        <f t="shared" si="45"/>
        <v>65.66691622270568</v>
      </c>
      <c r="BQ178" s="197">
        <f t="shared" si="46"/>
        <v>9.3296939999999967E-2</v>
      </c>
      <c r="BR178" s="288">
        <f t="shared" si="47"/>
        <v>0.19792555589166244</v>
      </c>
      <c r="BS178" s="197">
        <f t="shared" si="48"/>
        <v>0.18857913619507111</v>
      </c>
      <c r="BT178" s="197">
        <f t="shared" si="73"/>
        <v>0.47638905280703814</v>
      </c>
      <c r="BU178" s="197">
        <f t="shared" si="49"/>
        <v>0.44985251872859006</v>
      </c>
      <c r="BV178" s="197">
        <f t="shared" si="50"/>
        <v>1.1364184799228851</v>
      </c>
      <c r="BW178" s="194"/>
      <c r="BX178" s="194"/>
      <c r="BY178" s="194"/>
      <c r="BZ178" s="194"/>
      <c r="CA178" s="194"/>
      <c r="CB178" s="194"/>
      <c r="CC178" s="194"/>
      <c r="CD178" s="194"/>
      <c r="CE178" s="194"/>
      <c r="CF178" s="194"/>
      <c r="CG178" s="194"/>
      <c r="CH178" s="194"/>
      <c r="CI178" s="194"/>
      <c r="CJ178" s="194"/>
      <c r="CK178" s="194"/>
      <c r="CL178" s="194"/>
      <c r="CM178" s="194"/>
      <c r="CN178" s="194"/>
      <c r="CO178" s="194"/>
      <c r="CP178" s="194"/>
      <c r="CQ178" s="194"/>
      <c r="CR178" s="194"/>
      <c r="CS178" s="194"/>
      <c r="CT178" s="194"/>
      <c r="CU178" s="194"/>
      <c r="CV178" s="194"/>
      <c r="CW178" s="194"/>
      <c r="CX178" s="194"/>
      <c r="CY178" s="194"/>
      <c r="CZ178" s="194"/>
      <c r="DA178" s="194"/>
      <c r="DB178" s="194"/>
      <c r="DC178" s="194"/>
      <c r="DD178" s="194"/>
      <c r="DE178" s="194"/>
      <c r="DF178" s="194"/>
    </row>
    <row r="179" spans="2:110" s="192" customFormat="1" hidden="1" x14ac:dyDescent="0.35">
      <c r="B179" s="289"/>
      <c r="C179" s="289"/>
      <c r="Q179" s="193"/>
      <c r="R179" s="194">
        <f t="shared" si="51"/>
        <v>13.899999999999979</v>
      </c>
      <c r="S179" s="197">
        <f t="shared" si="19"/>
        <v>0.50359712230215903</v>
      </c>
      <c r="T179" s="194">
        <f t="shared" si="74"/>
        <v>0.69</v>
      </c>
      <c r="U179" s="194">
        <f t="shared" si="75"/>
        <v>1.4999999999999999E-4</v>
      </c>
      <c r="V179" s="197">
        <f t="shared" si="52"/>
        <v>0.50359712230215903</v>
      </c>
      <c r="W179" s="197">
        <f t="shared" si="20"/>
        <v>5.6402877697841816E-3</v>
      </c>
      <c r="X179" s="286">
        <f t="shared" si="21"/>
        <v>1</v>
      </c>
      <c r="Y179" s="286">
        <f t="shared" si="22"/>
        <v>0.36339058154835024</v>
      </c>
      <c r="Z179" s="286">
        <f t="shared" si="23"/>
        <v>0.61357382468567834</v>
      </c>
      <c r="AA179" s="286">
        <f t="shared" si="53"/>
        <v>0.36339058154835024</v>
      </c>
      <c r="AB179" s="197">
        <f t="shared" si="24"/>
        <v>0.47291507695639312</v>
      </c>
      <c r="AC179" s="287">
        <f t="shared" si="25"/>
        <v>9.3177072191884674E-7</v>
      </c>
      <c r="AD179" s="197">
        <f t="shared" si="54"/>
        <v>9.0056942122428509</v>
      </c>
      <c r="AE179" s="197">
        <f t="shared" si="55"/>
        <v>27.017082636728549</v>
      </c>
      <c r="AF179" s="197">
        <f t="shared" si="56"/>
        <v>8.5178571428571437E-2</v>
      </c>
      <c r="AG179" s="197">
        <f t="shared" si="57"/>
        <v>0.25553571428571431</v>
      </c>
      <c r="AH179" s="197">
        <f t="shared" si="26"/>
        <v>0.1875917559117839</v>
      </c>
      <c r="AI179" s="197">
        <f t="shared" si="58"/>
        <v>0.1875917559117839</v>
      </c>
      <c r="AJ179" s="218">
        <f t="shared" si="27"/>
        <v>390</v>
      </c>
      <c r="AK179" s="197">
        <f t="shared" si="59"/>
        <v>7.9118692374804567E-2</v>
      </c>
      <c r="AL179" s="197">
        <f t="shared" si="60"/>
        <v>0.12492096372433026</v>
      </c>
      <c r="AM179" s="197">
        <f t="shared" si="61"/>
        <v>5.2966488619116039E-3</v>
      </c>
      <c r="AN179" s="197">
        <f t="shared" si="28"/>
        <v>24.05</v>
      </c>
      <c r="AO179" s="197">
        <f t="shared" si="29"/>
        <v>21.69</v>
      </c>
      <c r="AP179" s="197">
        <f t="shared" si="62"/>
        <v>9.6210484055937906E-2</v>
      </c>
      <c r="AQ179" s="197">
        <f t="shared" si="63"/>
        <v>0.56671095491228507</v>
      </c>
      <c r="AR179" s="197">
        <f t="shared" si="64"/>
        <v>0.37911919900050117</v>
      </c>
      <c r="AS179" s="258">
        <f t="shared" si="65"/>
        <v>0.28694508766281368</v>
      </c>
      <c r="AT179" s="197">
        <f t="shared" si="30"/>
        <v>9.2217981333878214E-4</v>
      </c>
      <c r="AU179" s="194">
        <f t="shared" si="66"/>
        <v>21.19</v>
      </c>
      <c r="AV179" s="197">
        <f t="shared" si="31"/>
        <v>2.0849999999999969E-2</v>
      </c>
      <c r="AW179" s="197">
        <f t="shared" si="32"/>
        <v>3.4259999999999998E-3</v>
      </c>
      <c r="AX179" s="197">
        <f t="shared" si="67"/>
        <v>4.7621399999999925E-2</v>
      </c>
      <c r="AY179" s="197">
        <f t="shared" si="33"/>
        <v>2.8867475999999996E-3</v>
      </c>
      <c r="AZ179" s="197">
        <f t="shared" si="34"/>
        <v>0</v>
      </c>
      <c r="BA179" s="197">
        <f t="shared" si="68"/>
        <v>7.2596939999999999E-2</v>
      </c>
      <c r="BB179" s="258">
        <f t="shared" si="35"/>
        <v>0.47600548902981155</v>
      </c>
      <c r="BC179" s="197">
        <f t="shared" si="36"/>
        <v>3.7907039040623126E-2</v>
      </c>
      <c r="BD179" s="197">
        <f t="shared" si="69"/>
        <v>7.5814078081246255E-3</v>
      </c>
      <c r="BE179" s="197">
        <f t="shared" si="70"/>
        <v>4.5488446848747754E-2</v>
      </c>
      <c r="BF179" s="197">
        <f t="shared" si="37"/>
        <v>0.20773291256157636</v>
      </c>
      <c r="BG179" s="197">
        <f t="shared" si="38"/>
        <v>1.1446803318773031E-3</v>
      </c>
      <c r="BH179" s="197">
        <f t="shared" si="39"/>
        <v>5.985164449454982E-2</v>
      </c>
      <c r="BI179" s="197">
        <f t="shared" si="71"/>
        <v>0.50768403570602794</v>
      </c>
      <c r="BJ179" s="197">
        <f t="shared" si="40"/>
        <v>6.8299900701887868</v>
      </c>
      <c r="BK179" s="288">
        <f t="shared" si="41"/>
        <v>0.92566840793488958</v>
      </c>
      <c r="BL179" s="197">
        <f t="shared" si="42"/>
        <v>0.49136619209991345</v>
      </c>
      <c r="BM179" s="197">
        <f t="shared" si="43"/>
        <v>9.7132663869276686E-2</v>
      </c>
      <c r="BN179" s="197">
        <f t="shared" si="44"/>
        <v>55.827959832156601</v>
      </c>
      <c r="BO179" s="197">
        <f t="shared" si="72"/>
        <v>0.20887759289345367</v>
      </c>
      <c r="BP179" s="197">
        <f t="shared" si="45"/>
        <v>65.66581946700903</v>
      </c>
      <c r="BQ179" s="197">
        <f t="shared" si="46"/>
        <v>9.3446939999999964E-2</v>
      </c>
      <c r="BR179" s="288">
        <f t="shared" si="47"/>
        <v>0.19833556282355688</v>
      </c>
      <c r="BS179" s="197">
        <f t="shared" si="48"/>
        <v>0.1875917559117839</v>
      </c>
      <c r="BT179" s="197">
        <f t="shared" si="73"/>
        <v>0.47291507695639312</v>
      </c>
      <c r="BU179" s="197">
        <f t="shared" si="49"/>
        <v>0.44509822194952942</v>
      </c>
      <c r="BV179" s="197">
        <f t="shared" si="50"/>
        <v>1.1220837443698821</v>
      </c>
      <c r="BW179" s="194"/>
      <c r="BX179" s="194"/>
      <c r="BY179" s="194"/>
      <c r="BZ179" s="194"/>
      <c r="CA179" s="194"/>
      <c r="CB179" s="194"/>
      <c r="CC179" s="194"/>
      <c r="CD179" s="194"/>
      <c r="CE179" s="194"/>
      <c r="CF179" s="194"/>
      <c r="CG179" s="194"/>
      <c r="CH179" s="194"/>
      <c r="CI179" s="194"/>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row>
    <row r="180" spans="2:110" s="192" customFormat="1" hidden="1" x14ac:dyDescent="0.35">
      <c r="B180" s="289"/>
      <c r="C180" s="289"/>
      <c r="Q180" s="193"/>
      <c r="R180" s="194">
        <f t="shared" si="51"/>
        <v>13.999999999999979</v>
      </c>
      <c r="S180" s="197">
        <f t="shared" si="19"/>
        <v>0.50000000000000067</v>
      </c>
      <c r="T180" s="194">
        <f t="shared" si="74"/>
        <v>0.69</v>
      </c>
      <c r="U180" s="194">
        <f t="shared" si="75"/>
        <v>1.4999999999999999E-4</v>
      </c>
      <c r="V180" s="197">
        <f t="shared" si="52"/>
        <v>0.50000000000000067</v>
      </c>
      <c r="W180" s="197">
        <f t="shared" si="20"/>
        <v>5.6000000000000086E-3</v>
      </c>
      <c r="X180" s="286">
        <f t="shared" si="21"/>
        <v>1</v>
      </c>
      <c r="Y180" s="286">
        <f t="shared" si="22"/>
        <v>0.35874868569109686</v>
      </c>
      <c r="Z180" s="286">
        <f t="shared" si="23"/>
        <v>0.61183569294406293</v>
      </c>
      <c r="AA180" s="286">
        <f t="shared" si="53"/>
        <v>0.35874868569109686</v>
      </c>
      <c r="AB180" s="197">
        <f t="shared" si="24"/>
        <v>0.46949173498800678</v>
      </c>
      <c r="AC180" s="287">
        <f t="shared" si="25"/>
        <v>9.1986842484896629E-7</v>
      </c>
      <c r="AD180" s="197">
        <f t="shared" si="54"/>
        <v>9.0713600560771663</v>
      </c>
      <c r="AE180" s="197">
        <f t="shared" si="55"/>
        <v>27.214080168231501</v>
      </c>
      <c r="AF180" s="197">
        <f t="shared" si="56"/>
        <v>8.5178571428571423E-2</v>
      </c>
      <c r="AG180" s="197">
        <f t="shared" si="57"/>
        <v>0.25553571428571431</v>
      </c>
      <c r="AH180" s="197">
        <f t="shared" si="26"/>
        <v>0.18656876025145236</v>
      </c>
      <c r="AI180" s="197">
        <f t="shared" si="58"/>
        <v>0.18656876025145236</v>
      </c>
      <c r="AJ180" s="218">
        <f t="shared" si="27"/>
        <v>390</v>
      </c>
      <c r="AK180" s="197">
        <f t="shared" si="59"/>
        <v>7.8545967263493541E-2</v>
      </c>
      <c r="AL180" s="197">
        <f t="shared" si="60"/>
        <v>0.12401668471381311</v>
      </c>
      <c r="AM180" s="197">
        <f t="shared" si="61"/>
        <v>5.2583074318656763E-3</v>
      </c>
      <c r="AN180" s="197">
        <f t="shared" si="28"/>
        <v>24.05</v>
      </c>
      <c r="AO180" s="197">
        <f t="shared" si="29"/>
        <v>21.69</v>
      </c>
      <c r="AP180" s="197">
        <f t="shared" si="62"/>
        <v>9.5514034727261013E-2</v>
      </c>
      <c r="AQ180" s="197">
        <f t="shared" si="63"/>
        <v>0.56277611511373293</v>
      </c>
      <c r="AR180" s="197">
        <f t="shared" si="64"/>
        <v>0.37620735486228063</v>
      </c>
      <c r="AS180" s="258">
        <f t="shared" si="65"/>
        <v>0.28304926380173667</v>
      </c>
      <c r="AT180" s="197">
        <f t="shared" si="30"/>
        <v>8.9730912027349754E-4</v>
      </c>
      <c r="AU180" s="194">
        <f t="shared" si="66"/>
        <v>21.19</v>
      </c>
      <c r="AV180" s="197">
        <f t="shared" si="31"/>
        <v>2.099999999999997E-2</v>
      </c>
      <c r="AW180" s="197">
        <f t="shared" si="32"/>
        <v>3.4259999999999998E-3</v>
      </c>
      <c r="AX180" s="197">
        <f t="shared" si="67"/>
        <v>4.7963999999999923E-2</v>
      </c>
      <c r="AY180" s="197">
        <f t="shared" si="33"/>
        <v>2.8867475999999996E-3</v>
      </c>
      <c r="AZ180" s="197">
        <f t="shared" si="34"/>
        <v>0</v>
      </c>
      <c r="BA180" s="197">
        <f t="shared" si="68"/>
        <v>7.2596939999999999E-2</v>
      </c>
      <c r="BB180" s="258">
        <f t="shared" si="35"/>
        <v>0.47257078596459579</v>
      </c>
      <c r="BC180" s="197">
        <f t="shared" si="36"/>
        <v>3.7361962618105857E-2</v>
      </c>
      <c r="BD180" s="197">
        <f t="shared" si="69"/>
        <v>7.472392523621172E-3</v>
      </c>
      <c r="BE180" s="197">
        <f t="shared" si="70"/>
        <v>4.4834355141727025E-2</v>
      </c>
      <c r="BF180" s="197">
        <f t="shared" si="37"/>
        <v>0.20773291256157633</v>
      </c>
      <c r="BG180" s="197">
        <f t="shared" si="38"/>
        <v>1.130058359926955E-3</v>
      </c>
      <c r="BH180" s="197">
        <f t="shared" si="39"/>
        <v>5.8991020159636628E-2</v>
      </c>
      <c r="BI180" s="197">
        <f t="shared" si="71"/>
        <v>0.5055833776704014</v>
      </c>
      <c r="BJ180" s="197">
        <f t="shared" si="40"/>
        <v>6.8278894121531604</v>
      </c>
      <c r="BK180" s="288">
        <f t="shared" si="41"/>
        <v>0.92595319766449369</v>
      </c>
      <c r="BL180" s="197">
        <f t="shared" si="42"/>
        <v>0.48770638658236937</v>
      </c>
      <c r="BM180" s="197">
        <f t="shared" si="43"/>
        <v>9.6411343847534511E-2</v>
      </c>
      <c r="BN180" s="197">
        <f t="shared" si="44"/>
        <v>55.784680630852073</v>
      </c>
      <c r="BO180" s="197">
        <f t="shared" si="72"/>
        <v>0.2088629709215033</v>
      </c>
      <c r="BP180" s="197">
        <f t="shared" si="45"/>
        <v>65.66472281911274</v>
      </c>
      <c r="BQ180" s="197">
        <f t="shared" si="46"/>
        <v>9.3596939999999962E-2</v>
      </c>
      <c r="BR180" s="288">
        <f t="shared" si="47"/>
        <v>0.19869227331149747</v>
      </c>
      <c r="BS180" s="197">
        <f t="shared" si="48"/>
        <v>0.18656876025145236</v>
      </c>
      <c r="BT180" s="197">
        <f t="shared" si="73"/>
        <v>0.46949173498800678</v>
      </c>
      <c r="BU180" s="197">
        <f t="shared" si="49"/>
        <v>0.44020289754152664</v>
      </c>
      <c r="BV180" s="197">
        <f t="shared" si="50"/>
        <v>1.1077504177814801</v>
      </c>
      <c r="BW180" s="194"/>
      <c r="BX180" s="194"/>
      <c r="BY180" s="194"/>
      <c r="BZ180" s="194"/>
      <c r="CA180" s="194"/>
      <c r="CB180" s="194"/>
      <c r="CC180" s="194"/>
      <c r="CD180" s="194"/>
      <c r="CE180" s="194"/>
      <c r="CF180" s="194"/>
      <c r="CG180" s="194"/>
      <c r="CH180" s="194"/>
      <c r="CI180" s="194"/>
      <c r="CJ180" s="194"/>
      <c r="CK180" s="194"/>
      <c r="CL180" s="194"/>
      <c r="CM180" s="194"/>
      <c r="CN180" s="194"/>
      <c r="CO180" s="194"/>
      <c r="CP180" s="194"/>
      <c r="CQ180" s="194"/>
      <c r="CR180" s="194"/>
      <c r="CS180" s="194"/>
      <c r="CT180" s="194"/>
      <c r="CU180" s="194"/>
      <c r="CV180" s="194"/>
      <c r="CW180" s="194"/>
      <c r="CX180" s="194"/>
      <c r="CY180" s="194"/>
      <c r="CZ180" s="194"/>
      <c r="DA180" s="194"/>
      <c r="DB180" s="194"/>
      <c r="DC180" s="194"/>
      <c r="DD180" s="194"/>
      <c r="DE180" s="194"/>
      <c r="DF180" s="194"/>
    </row>
    <row r="181" spans="2:110" s="192" customFormat="1" hidden="1" x14ac:dyDescent="0.35">
      <c r="B181" s="289"/>
      <c r="C181" s="289"/>
      <c r="Q181" s="193"/>
      <c r="R181" s="194">
        <f t="shared" si="51"/>
        <v>14.099999999999978</v>
      </c>
      <c r="S181" s="197">
        <f t="shared" si="19"/>
        <v>0.49645390070922063</v>
      </c>
      <c r="T181" s="194">
        <f t="shared" si="74"/>
        <v>0.69</v>
      </c>
      <c r="U181" s="194">
        <f t="shared" si="75"/>
        <v>1.4999999999999999E-4</v>
      </c>
      <c r="V181" s="197">
        <f t="shared" si="52"/>
        <v>0.49645390070922063</v>
      </c>
      <c r="W181" s="197">
        <f t="shared" si="20"/>
        <v>5.5602836879432719E-3</v>
      </c>
      <c r="X181" s="286">
        <f t="shared" si="21"/>
        <v>1</v>
      </c>
      <c r="Y181" s="286">
        <f t="shared" si="22"/>
        <v>0.35410723642079617</v>
      </c>
      <c r="Z181" s="286">
        <f t="shared" si="23"/>
        <v>0.61010754382770471</v>
      </c>
      <c r="AA181" s="286">
        <f t="shared" si="53"/>
        <v>0.35410723642079617</v>
      </c>
      <c r="AB181" s="197">
        <f t="shared" si="24"/>
        <v>0.46611792095315574</v>
      </c>
      <c r="AC181" s="287">
        <f t="shared" si="25"/>
        <v>9.0796727287383635E-7</v>
      </c>
      <c r="AD181" s="197">
        <f t="shared" si="54"/>
        <v>9.1370195823399563</v>
      </c>
      <c r="AE181" s="197">
        <f t="shared" si="55"/>
        <v>27.411058747019869</v>
      </c>
      <c r="AF181" s="197">
        <f t="shared" si="56"/>
        <v>8.5178571428571437E-2</v>
      </c>
      <c r="AG181" s="197">
        <f t="shared" si="57"/>
        <v>0.25553571428571431</v>
      </c>
      <c r="AH181" s="197">
        <f t="shared" si="26"/>
        <v>0.18551016768189982</v>
      </c>
      <c r="AI181" s="197">
        <f t="shared" si="58"/>
        <v>0.18551016768189982</v>
      </c>
      <c r="AJ181" s="218">
        <f t="shared" si="27"/>
        <v>390</v>
      </c>
      <c r="AK181" s="197">
        <f t="shared" si="59"/>
        <v>7.7981528175462958E-2</v>
      </c>
      <c r="AL181" s="197">
        <f t="shared" si="60"/>
        <v>0.12312548855366377</v>
      </c>
      <c r="AM181" s="197">
        <f t="shared" si="61"/>
        <v>5.2205207146753451E-3</v>
      </c>
      <c r="AN181" s="197">
        <f t="shared" si="28"/>
        <v>24.05</v>
      </c>
      <c r="AO181" s="197">
        <f t="shared" si="29"/>
        <v>21.69</v>
      </c>
      <c r="AP181" s="197">
        <f t="shared" si="62"/>
        <v>9.4827661428492901E-2</v>
      </c>
      <c r="AQ181" s="197">
        <f t="shared" si="63"/>
        <v>0.55887300479410562</v>
      </c>
      <c r="AR181" s="197">
        <f t="shared" si="64"/>
        <v>0.37336283711220586</v>
      </c>
      <c r="AS181" s="258">
        <f t="shared" si="65"/>
        <v>0.27919698128842801</v>
      </c>
      <c r="AT181" s="197">
        <f t="shared" si="30"/>
        <v>8.7305068883839333E-4</v>
      </c>
      <c r="AU181" s="194">
        <f t="shared" si="66"/>
        <v>21.19</v>
      </c>
      <c r="AV181" s="197">
        <f t="shared" si="31"/>
        <v>2.1149999999999967E-2</v>
      </c>
      <c r="AW181" s="197">
        <f t="shared" si="32"/>
        <v>3.4259999999999998E-3</v>
      </c>
      <c r="AX181" s="197">
        <f t="shared" si="67"/>
        <v>4.8306599999999922E-2</v>
      </c>
      <c r="AY181" s="197">
        <f t="shared" si="33"/>
        <v>2.8867475999999996E-3</v>
      </c>
      <c r="AZ181" s="197">
        <f t="shared" si="34"/>
        <v>0</v>
      </c>
      <c r="BA181" s="197">
        <f t="shared" si="68"/>
        <v>7.2596939999999999E-2</v>
      </c>
      <c r="BB181" s="258">
        <f t="shared" si="35"/>
        <v>0.46918413381792107</v>
      </c>
      <c r="BC181" s="197">
        <f t="shared" si="36"/>
        <v>3.6828376613648912E-2</v>
      </c>
      <c r="BD181" s="197">
        <f t="shared" si="69"/>
        <v>7.3656753227297825E-3</v>
      </c>
      <c r="BE181" s="197">
        <f t="shared" si="70"/>
        <v>4.4194051936378695E-2</v>
      </c>
      <c r="BF181" s="197">
        <f t="shared" si="37"/>
        <v>0.20773291256157636</v>
      </c>
      <c r="BG181" s="197">
        <f t="shared" si="38"/>
        <v>1.1154377947255078E-3</v>
      </c>
      <c r="BH181" s="197">
        <f t="shared" si="39"/>
        <v>5.8148538112653213E-2</v>
      </c>
      <c r="BI181" s="197">
        <f t="shared" si="71"/>
        <v>0.50352534012266503</v>
      </c>
      <c r="BJ181" s="197">
        <f t="shared" si="40"/>
        <v>6.825831374605424</v>
      </c>
      <c r="BK181" s="288">
        <f t="shared" si="41"/>
        <v>0.92623237925332258</v>
      </c>
      <c r="BL181" s="197">
        <f t="shared" si="42"/>
        <v>0.48410151592946343</v>
      </c>
      <c r="BM181" s="197">
        <f t="shared" si="43"/>
        <v>9.5700712117331291E-2</v>
      </c>
      <c r="BN181" s="197">
        <f t="shared" si="44"/>
        <v>55.74204272703988</v>
      </c>
      <c r="BO181" s="197">
        <f t="shared" si="72"/>
        <v>0.20884835035630187</v>
      </c>
      <c r="BP181" s="197">
        <f t="shared" si="45"/>
        <v>65.663626276722638</v>
      </c>
      <c r="BQ181" s="197">
        <f t="shared" si="46"/>
        <v>9.3746939999999973E-2</v>
      </c>
      <c r="BR181" s="288">
        <f t="shared" si="47"/>
        <v>0.19899488878538887</v>
      </c>
      <c r="BS181" s="197">
        <f t="shared" si="48"/>
        <v>0.18551016768189982</v>
      </c>
      <c r="BT181" s="197">
        <f t="shared" si="73"/>
        <v>0.46611792095315574</v>
      </c>
      <c r="BU181" s="197">
        <f t="shared" si="49"/>
        <v>0.4351693737355426</v>
      </c>
      <c r="BV181" s="197">
        <f t="shared" si="50"/>
        <v>1.0934184701720209</v>
      </c>
      <c r="BW181" s="194"/>
      <c r="BX181" s="194"/>
      <c r="BY181" s="194"/>
      <c r="BZ181" s="194"/>
      <c r="CA181" s="194"/>
      <c r="CB181" s="194"/>
      <c r="CC181" s="194"/>
      <c r="CD181" s="194"/>
      <c r="CE181" s="194"/>
      <c r="CF181" s="194"/>
      <c r="CG181" s="194"/>
      <c r="CH181" s="194"/>
      <c r="CI181" s="194"/>
      <c r="CJ181" s="194"/>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row>
    <row r="182" spans="2:110" s="192" customFormat="1" hidden="1" x14ac:dyDescent="0.35">
      <c r="B182" s="289"/>
      <c r="C182" s="289"/>
      <c r="Q182" s="193"/>
      <c r="R182" s="194">
        <f t="shared" si="51"/>
        <v>14.199999999999978</v>
      </c>
      <c r="S182" s="197">
        <f t="shared" si="19"/>
        <v>0.49295774647887397</v>
      </c>
      <c r="T182" s="194">
        <f t="shared" si="74"/>
        <v>0.69</v>
      </c>
      <c r="U182" s="194">
        <f t="shared" si="75"/>
        <v>1.4999999999999999E-4</v>
      </c>
      <c r="V182" s="197">
        <f t="shared" si="52"/>
        <v>0.49295774647887397</v>
      </c>
      <c r="W182" s="197">
        <f t="shared" si="20"/>
        <v>5.5211267605633895E-3</v>
      </c>
      <c r="X182" s="286">
        <f t="shared" si="21"/>
        <v>1</v>
      </c>
      <c r="Y182" s="286">
        <f t="shared" si="22"/>
        <v>0.34946622430011048</v>
      </c>
      <c r="Z182" s="286">
        <f t="shared" si="23"/>
        <v>0.60838928819781302</v>
      </c>
      <c r="AA182" s="286">
        <f t="shared" si="53"/>
        <v>0.34946622430011048</v>
      </c>
      <c r="AB182" s="197">
        <f t="shared" si="24"/>
        <v>0.46279256106928957</v>
      </c>
      <c r="AC182" s="287">
        <f t="shared" si="25"/>
        <v>8.9606724179515509E-7</v>
      </c>
      <c r="AD182" s="197">
        <f t="shared" si="54"/>
        <v>9.2026729245350225</v>
      </c>
      <c r="AE182" s="197">
        <f t="shared" si="55"/>
        <v>27.608018773605068</v>
      </c>
      <c r="AF182" s="197">
        <f t="shared" si="56"/>
        <v>8.5178571428571437E-2</v>
      </c>
      <c r="AG182" s="197">
        <f t="shared" si="57"/>
        <v>0.25553571428571437</v>
      </c>
      <c r="AH182" s="197">
        <f t="shared" si="26"/>
        <v>0.18441599613419718</v>
      </c>
      <c r="AI182" s="197">
        <f t="shared" si="58"/>
        <v>0.18441599613419718</v>
      </c>
      <c r="AJ182" s="218">
        <f t="shared" si="27"/>
        <v>390</v>
      </c>
      <c r="AK182" s="197">
        <f t="shared" si="59"/>
        <v>7.7425195466892152E-2</v>
      </c>
      <c r="AL182" s="197">
        <f t="shared" si="60"/>
        <v>0.12224709160320857</v>
      </c>
      <c r="AM182" s="197">
        <f t="shared" si="61"/>
        <v>5.1832766839760439E-3</v>
      </c>
      <c r="AN182" s="197">
        <f t="shared" si="28"/>
        <v>24.05</v>
      </c>
      <c r="AO182" s="197">
        <f t="shared" si="29"/>
        <v>21.69</v>
      </c>
      <c r="AP182" s="197">
        <f t="shared" si="62"/>
        <v>9.4151145707856515E-2</v>
      </c>
      <c r="AQ182" s="197">
        <f t="shared" si="63"/>
        <v>0.55500055913638813</v>
      </c>
      <c r="AR182" s="197">
        <f t="shared" si="64"/>
        <v>0.370584563002191</v>
      </c>
      <c r="AS182" s="258">
        <f t="shared" si="65"/>
        <v>0.27538706507821548</v>
      </c>
      <c r="AT182" s="197">
        <f t="shared" si="30"/>
        <v>8.4938599885880494E-4</v>
      </c>
      <c r="AU182" s="194">
        <f t="shared" si="66"/>
        <v>21.19</v>
      </c>
      <c r="AV182" s="197">
        <f t="shared" si="31"/>
        <v>2.1299999999999968E-2</v>
      </c>
      <c r="AW182" s="197">
        <f t="shared" si="32"/>
        <v>3.4259999999999998E-3</v>
      </c>
      <c r="AX182" s="197">
        <f t="shared" si="67"/>
        <v>4.864919999999992E-2</v>
      </c>
      <c r="AY182" s="197">
        <f t="shared" si="33"/>
        <v>2.8867475999999996E-3</v>
      </c>
      <c r="AZ182" s="197">
        <f t="shared" si="34"/>
        <v>0</v>
      </c>
      <c r="BA182" s="197">
        <f t="shared" si="68"/>
        <v>7.2596939999999999E-2</v>
      </c>
      <c r="BB182" s="258">
        <f t="shared" si="35"/>
        <v>0.4658444585376677</v>
      </c>
      <c r="BC182" s="197">
        <f t="shared" si="36"/>
        <v>3.6305950262757292E-2</v>
      </c>
      <c r="BD182" s="197">
        <f t="shared" si="69"/>
        <v>7.2611900525514587E-3</v>
      </c>
      <c r="BE182" s="197">
        <f t="shared" si="70"/>
        <v>4.3567140315308749E-2</v>
      </c>
      <c r="BF182" s="197">
        <f t="shared" si="37"/>
        <v>0.20773291256157636</v>
      </c>
      <c r="BG182" s="197">
        <f t="shared" si="38"/>
        <v>1.100818606545348E-3</v>
      </c>
      <c r="BH182" s="197">
        <f t="shared" si="39"/>
        <v>5.7323676107613943E-2</v>
      </c>
      <c r="BI182" s="197">
        <f t="shared" si="71"/>
        <v>0.50150876689775969</v>
      </c>
      <c r="BJ182" s="197">
        <f t="shared" si="40"/>
        <v>6.8238148013805189</v>
      </c>
      <c r="BK182" s="288">
        <f t="shared" si="41"/>
        <v>0.92650609937475148</v>
      </c>
      <c r="BL182" s="197">
        <f t="shared" si="42"/>
        <v>0.48055033812538939</v>
      </c>
      <c r="BM182" s="197">
        <f t="shared" si="43"/>
        <v>9.5000531706715324E-2</v>
      </c>
      <c r="BN182" s="197">
        <f t="shared" si="44"/>
        <v>55.70003190240292</v>
      </c>
      <c r="BO182" s="197">
        <f t="shared" si="72"/>
        <v>0.20883373116812171</v>
      </c>
      <c r="BP182" s="197">
        <f t="shared" si="45"/>
        <v>65.662529837609128</v>
      </c>
      <c r="BQ182" s="197">
        <f t="shared" si="46"/>
        <v>9.389693999999997E-2</v>
      </c>
      <c r="BR182" s="288">
        <f t="shared" si="47"/>
        <v>0.19924261067215632</v>
      </c>
      <c r="BS182" s="197">
        <f t="shared" si="48"/>
        <v>0.18441599613419718</v>
      </c>
      <c r="BT182" s="197">
        <f t="shared" si="73"/>
        <v>0.46279256106928957</v>
      </c>
      <c r="BU182" s="197">
        <f t="shared" si="49"/>
        <v>0.43000056968356809</v>
      </c>
      <c r="BV182" s="197">
        <f t="shared" si="50"/>
        <v>1.0790878724007296</v>
      </c>
      <c r="BW182" s="194"/>
      <c r="BX182" s="194"/>
      <c r="BY182" s="194"/>
      <c r="BZ182" s="194"/>
      <c r="CA182" s="194"/>
      <c r="CB182" s="194"/>
      <c r="CC182" s="194"/>
      <c r="CD182" s="194"/>
      <c r="CE182" s="194"/>
      <c r="CF182" s="194"/>
      <c r="CG182" s="194"/>
      <c r="CH182" s="194"/>
      <c r="CI182" s="194"/>
      <c r="CJ182" s="194"/>
      <c r="CK182" s="194"/>
      <c r="CL182" s="194"/>
      <c r="CM182" s="194"/>
      <c r="CN182" s="194"/>
      <c r="CO182" s="194"/>
      <c r="CP182" s="194"/>
      <c r="CQ182" s="194"/>
      <c r="CR182" s="194"/>
      <c r="CS182" s="194"/>
      <c r="CT182" s="194"/>
      <c r="CU182" s="194"/>
      <c r="CV182" s="194"/>
      <c r="CW182" s="194"/>
      <c r="CX182" s="194"/>
      <c r="CY182" s="194"/>
      <c r="CZ182" s="194"/>
      <c r="DA182" s="194"/>
      <c r="DB182" s="194"/>
      <c r="DC182" s="194"/>
      <c r="DD182" s="194"/>
      <c r="DE182" s="194"/>
      <c r="DF182" s="194"/>
    </row>
    <row r="183" spans="2:110" s="192" customFormat="1" hidden="1" x14ac:dyDescent="0.35">
      <c r="B183" s="289"/>
      <c r="C183" s="289"/>
      <c r="Q183" s="193"/>
      <c r="R183" s="194">
        <f t="shared" si="51"/>
        <v>14.299999999999978</v>
      </c>
      <c r="S183" s="197">
        <f t="shared" si="19"/>
        <v>0.48951048951049025</v>
      </c>
      <c r="T183" s="194">
        <f t="shared" si="74"/>
        <v>0.69</v>
      </c>
      <c r="U183" s="194">
        <f t="shared" si="75"/>
        <v>1.4999999999999999E-4</v>
      </c>
      <c r="V183" s="197">
        <f t="shared" si="52"/>
        <v>0.48951048951049025</v>
      </c>
      <c r="W183" s="197">
        <f t="shared" si="20"/>
        <v>5.4825174825174914E-3</v>
      </c>
      <c r="X183" s="286">
        <f t="shared" si="21"/>
        <v>1</v>
      </c>
      <c r="Y183" s="286">
        <f t="shared" si="22"/>
        <v>0.34482564015575001</v>
      </c>
      <c r="Z183" s="286">
        <f t="shared" si="23"/>
        <v>0.60668083806534445</v>
      </c>
      <c r="AA183" s="286">
        <f t="shared" si="53"/>
        <v>0.34482564015575001</v>
      </c>
      <c r="AB183" s="197">
        <f t="shared" si="24"/>
        <v>0.45951461255259746</v>
      </c>
      <c r="AC183" s="287">
        <f t="shared" si="25"/>
        <v>8.8416830809166671E-7</v>
      </c>
      <c r="AD183" s="197">
        <f t="shared" si="54"/>
        <v>9.2683202124308544</v>
      </c>
      <c r="AE183" s="197">
        <f t="shared" si="55"/>
        <v>27.804960637292563</v>
      </c>
      <c r="AF183" s="197">
        <f t="shared" si="56"/>
        <v>8.5178571428571437E-2</v>
      </c>
      <c r="AG183" s="197">
        <f t="shared" si="57"/>
        <v>0.25553571428571431</v>
      </c>
      <c r="AH183" s="197">
        <f t="shared" si="26"/>
        <v>0.18328626302212739</v>
      </c>
      <c r="AI183" s="197">
        <f t="shared" si="58"/>
        <v>0.18328626302212739</v>
      </c>
      <c r="AJ183" s="218">
        <f t="shared" si="27"/>
        <v>390</v>
      </c>
      <c r="AK183" s="197">
        <f t="shared" si="59"/>
        <v>7.6876794680049557E-2</v>
      </c>
      <c r="AL183" s="197">
        <f t="shared" si="60"/>
        <v>0.12138121841012008</v>
      </c>
      <c r="AM183" s="197">
        <f t="shared" si="61"/>
        <v>5.1465636605890919E-3</v>
      </c>
      <c r="AN183" s="197">
        <f t="shared" si="28"/>
        <v>24.05</v>
      </c>
      <c r="AO183" s="197">
        <f t="shared" si="29"/>
        <v>21.69</v>
      </c>
      <c r="AP183" s="197">
        <f t="shared" si="62"/>
        <v>9.3484275420000443E-2</v>
      </c>
      <c r="AQ183" s="197">
        <f t="shared" si="63"/>
        <v>0.55115774406366114</v>
      </c>
      <c r="AR183" s="197">
        <f t="shared" si="64"/>
        <v>0.36787148104153378</v>
      </c>
      <c r="AS183" s="258">
        <f t="shared" si="65"/>
        <v>0.2716183678882344</v>
      </c>
      <c r="AT183" s="197">
        <f t="shared" si="30"/>
        <v>8.2629722307180455E-4</v>
      </c>
      <c r="AU183" s="194">
        <f t="shared" si="66"/>
        <v>21.19</v>
      </c>
      <c r="AV183" s="197">
        <f t="shared" si="31"/>
        <v>2.1449999999999966E-2</v>
      </c>
      <c r="AW183" s="197">
        <f t="shared" si="32"/>
        <v>3.4259999999999998E-3</v>
      </c>
      <c r="AX183" s="197">
        <f t="shared" si="67"/>
        <v>4.8991799999999919E-2</v>
      </c>
      <c r="AY183" s="197">
        <f t="shared" si="33"/>
        <v>2.8867475999999996E-3</v>
      </c>
      <c r="AZ183" s="197">
        <f t="shared" si="34"/>
        <v>0</v>
      </c>
      <c r="BA183" s="197">
        <f t="shared" si="68"/>
        <v>7.2596939999999999E-2</v>
      </c>
      <c r="BB183" s="258">
        <f t="shared" si="35"/>
        <v>0.46255071830061523</v>
      </c>
      <c r="BC183" s="197">
        <f t="shared" si="36"/>
        <v>3.5794364839169451E-2</v>
      </c>
      <c r="BD183" s="197">
        <f t="shared" si="69"/>
        <v>7.1588729678338904E-3</v>
      </c>
      <c r="BE183" s="197">
        <f t="shared" si="70"/>
        <v>4.2953237807003344E-2</v>
      </c>
      <c r="BF183" s="197">
        <f t="shared" si="37"/>
        <v>0.20773291256157636</v>
      </c>
      <c r="BG183" s="197">
        <f t="shared" si="38"/>
        <v>1.0862007664906124E-3</v>
      </c>
      <c r="BH183" s="197">
        <f t="shared" si="39"/>
        <v>5.6515930905770027E-2</v>
      </c>
      <c r="BI183" s="197">
        <f t="shared" si="71"/>
        <v>0.49953254228391258</v>
      </c>
      <c r="BJ183" s="197">
        <f t="shared" si="40"/>
        <v>6.8218385767666714</v>
      </c>
      <c r="BK183" s="288">
        <f t="shared" si="41"/>
        <v>0.92677449976826121</v>
      </c>
      <c r="BL183" s="197">
        <f t="shared" si="42"/>
        <v>0.47705164872494282</v>
      </c>
      <c r="BM183" s="197">
        <f t="shared" si="43"/>
        <v>9.4310572643072244E-2</v>
      </c>
      <c r="BN183" s="197">
        <f t="shared" si="44"/>
        <v>55.658634358584337</v>
      </c>
      <c r="BO183" s="197">
        <f t="shared" si="72"/>
        <v>0.20881911332806696</v>
      </c>
      <c r="BP183" s="197">
        <f t="shared" si="45"/>
        <v>65.661433499605025</v>
      </c>
      <c r="BQ183" s="197">
        <f t="shared" si="46"/>
        <v>9.4046939999999968E-2</v>
      </c>
      <c r="BR183" s="288">
        <f t="shared" si="47"/>
        <v>0.19943464039584582</v>
      </c>
      <c r="BS183" s="197">
        <f t="shared" si="48"/>
        <v>0.18328626302212739</v>
      </c>
      <c r="BT183" s="197">
        <f t="shared" si="73"/>
        <v>0.45951461255259746</v>
      </c>
      <c r="BU183" s="197">
        <f t="shared" si="49"/>
        <v>0.42469949545999586</v>
      </c>
      <c r="BV183" s="197">
        <f t="shared" si="50"/>
        <v>1.0647585961421628</v>
      </c>
      <c r="BW183" s="194"/>
      <c r="BX183" s="194"/>
      <c r="BY183" s="194"/>
      <c r="BZ183" s="194"/>
      <c r="CA183" s="194"/>
      <c r="CB183" s="194"/>
      <c r="CC183" s="194"/>
      <c r="CD183" s="194"/>
      <c r="CE183" s="194"/>
      <c r="CF183" s="194"/>
      <c r="CG183" s="194"/>
      <c r="CH183" s="194"/>
      <c r="CI183" s="194"/>
      <c r="CJ183" s="194"/>
      <c r="CK183" s="194"/>
      <c r="CL183" s="194"/>
      <c r="CM183" s="194"/>
      <c r="CN183" s="194"/>
      <c r="CO183" s="194"/>
      <c r="CP183" s="194"/>
      <c r="CQ183" s="194"/>
      <c r="CR183" s="194"/>
      <c r="CS183" s="194"/>
      <c r="CT183" s="194"/>
      <c r="CU183" s="194"/>
      <c r="CV183" s="194"/>
      <c r="CW183" s="194"/>
      <c r="CX183" s="194"/>
      <c r="CY183" s="194"/>
      <c r="CZ183" s="194"/>
      <c r="DA183" s="194"/>
      <c r="DB183" s="194"/>
      <c r="DC183" s="194"/>
      <c r="DD183" s="194"/>
      <c r="DE183" s="194"/>
      <c r="DF183" s="194"/>
    </row>
    <row r="184" spans="2:110" s="192" customFormat="1" hidden="1" x14ac:dyDescent="0.35">
      <c r="B184" s="289"/>
      <c r="C184" s="289"/>
      <c r="Q184" s="193"/>
      <c r="R184" s="194">
        <f t="shared" si="51"/>
        <v>14.399999999999977</v>
      </c>
      <c r="S184" s="197">
        <f t="shared" ref="S184:S247" si="76">(VLEDS/R184)*ILED/0.9</f>
        <v>0.48611111111111188</v>
      </c>
      <c r="T184" s="194">
        <f t="shared" si="74"/>
        <v>0.69</v>
      </c>
      <c r="U184" s="194">
        <f t="shared" si="75"/>
        <v>1.4999999999999999E-4</v>
      </c>
      <c r="V184" s="197">
        <f t="shared" si="52"/>
        <v>0.48611111111111188</v>
      </c>
      <c r="W184" s="197">
        <f t="shared" ref="W184:W247" si="77">V184*RON</f>
        <v>5.444444444444454E-3</v>
      </c>
      <c r="X184" s="286">
        <f t="shared" ref="X184:X247" si="78">IF((VLEDS+T184+ILEDF*(RON+RCOIL))/(R184+T184-W184)&gt;1,1,(VLEDS+T184+ILEDF*(RON+RCOIL))/(R184+T184-W184))</f>
        <v>1</v>
      </c>
      <c r="Y184" s="286">
        <f t="shared" ref="Y184:Y247" si="79">IF((VLEDS-R184+T184+S184*(RON+RCOIL))/(VLEDS+T184-W184)&lt;0,0,(VLEDS-R184+T184+S184*(RON+RCOIL))/(VLEDS+T184-W184))</f>
        <v>0.34018547506930275</v>
      </c>
      <c r="Z184" s="286">
        <f t="shared" ref="Z184:Z247" si="80">(VLEDS+T184+(S184+ILEDF)*(RON+RCOIL))/(VLEDS+R184+T184-W184)</f>
        <v>0.60498210656956364</v>
      </c>
      <c r="AA184" s="286">
        <f t="shared" si="53"/>
        <v>0.34018547506930275</v>
      </c>
      <c r="AB184" s="197">
        <f t="shared" ref="AB184:AB247" si="81">IF(CONFIG="BUCK",ILEDF,ILEDF/(1-AA184))</f>
        <v>0.45628306250131168</v>
      </c>
      <c r="AC184" s="287">
        <f t="shared" ref="AC184:AC247" si="82">AA184/(FINIT*1000)</f>
        <v>8.7227044889564803E-7</v>
      </c>
      <c r="AD184" s="197">
        <f t="shared" si="54"/>
        <v>9.3339615721903506</v>
      </c>
      <c r="AE184" s="197">
        <f t="shared" si="55"/>
        <v>28.001884716571055</v>
      </c>
      <c r="AF184" s="197">
        <f t="shared" si="56"/>
        <v>8.5178571428571423E-2</v>
      </c>
      <c r="AG184" s="197">
        <f t="shared" si="57"/>
        <v>0.25553571428571431</v>
      </c>
      <c r="AH184" s="197">
        <f t="shared" ref="AH184:AH247" si="83">IF(CONFIG="BUCK",R184-VLEDS-AB184*(RS+RCOIL)-W184,R184-AB184*(RS+RCOIL)-W184)*AC184/(L*0.000001)</f>
        <v>0.18212098526080561</v>
      </c>
      <c r="AI184" s="197">
        <f t="shared" si="58"/>
        <v>0.18212098526080561</v>
      </c>
      <c r="AJ184" s="218">
        <f t="shared" ref="AJ184:AJ247" si="84">0.001*AA184*AH184/(AI184*AC184)</f>
        <v>390.00000000000006</v>
      </c>
      <c r="AK184" s="197">
        <f t="shared" si="59"/>
        <v>7.633615635646944E-2</v>
      </c>
      <c r="AL184" s="197">
        <f t="shared" si="60"/>
        <v>0.12052760141544082</v>
      </c>
      <c r="AM184" s="197">
        <f t="shared" si="61"/>
        <v>5.1103703000146914E-3</v>
      </c>
      <c r="AN184" s="197">
        <f t="shared" ref="AN184:AN247" si="85">(QGSW/IGATE)+($D$37+$D$38)/2</f>
        <v>24.05</v>
      </c>
      <c r="AO184" s="197">
        <f t="shared" ref="AO184:AO247" si="86">IF(CONFIG="BUCK",R184+T184,IF(CONFIG="BOOST",VLEDS+T184,R184+VLEDS+T184))</f>
        <v>21.69</v>
      </c>
      <c r="AP184" s="197">
        <f t="shared" si="62"/>
        <v>9.2826844498816549E-2</v>
      </c>
      <c r="AQ184" s="197">
        <f t="shared" si="63"/>
        <v>0.54734355513171451</v>
      </c>
      <c r="AR184" s="197">
        <f t="shared" si="64"/>
        <v>0.36522256987090884</v>
      </c>
      <c r="AS184" s="258">
        <f t="shared" si="65"/>
        <v>0.26788976887110089</v>
      </c>
      <c r="AT184" s="197">
        <f t="shared" ref="AT184:AT247" si="87">(AS184^2)*RON</f>
        <v>8.0376719657709286E-4</v>
      </c>
      <c r="AU184" s="194">
        <f t="shared" ref="AU184:AU247" si="88">IF(LOWV,AO184-0.5,IF(DISSLIM,IF(R184&lt;_VZD3,R184,_VZD3),R184))</f>
        <v>21.19</v>
      </c>
      <c r="AV184" s="197">
        <f t="shared" ref="AV184:AV247" si="89">R184*IQ</f>
        <v>2.1599999999999966E-2</v>
      </c>
      <c r="AW184" s="197">
        <f t="shared" ref="AW184:AW247" si="90">IQAUX+QGTOT*AJ184*0.000001</f>
        <v>3.4260000000000002E-3</v>
      </c>
      <c r="AX184" s="197">
        <f t="shared" si="67"/>
        <v>4.9334399999999924E-2</v>
      </c>
      <c r="AY184" s="197">
        <f t="shared" ref="AY184:AY247" si="91">IF(LOWV,((AW184^2)*100)+0.5*AW184,0)</f>
        <v>2.8867476000000005E-3</v>
      </c>
      <c r="AZ184" s="197">
        <f t="shared" ref="AZ184:AZ247" si="92">IF(DISSLIM,((R184-AU184)^2/5000)+AU184*(((R184-AU184)/5000)-AW184),0)</f>
        <v>0</v>
      </c>
      <c r="BA184" s="197">
        <f t="shared" si="68"/>
        <v>7.2596940000000013E-2</v>
      </c>
      <c r="BB184" s="258">
        <f t="shared" ref="BB184:BB247" si="93">SQRT((1/3)*(AQ184^2+AQ184*AR184+AR184^2))</f>
        <v>0.45930190241815866</v>
      </c>
      <c r="BC184" s="197">
        <f t="shared" ref="BC184:BC247" si="94">BB184^2*RCOIL</f>
        <v>3.5293313144614417E-2</v>
      </c>
      <c r="BD184" s="197">
        <f t="shared" si="69"/>
        <v>7.0586626289228837E-3</v>
      </c>
      <c r="BE184" s="197">
        <f t="shared" si="70"/>
        <v>4.2351975773537304E-2</v>
      </c>
      <c r="BF184" s="197">
        <f t="shared" ref="BF184:BF247" si="95">T184*AB184*(1-AA184)</f>
        <v>0.20773291256157633</v>
      </c>
      <c r="BG184" s="197">
        <f t="shared" ref="BG184:BG247" si="96">U184*AA184*IF(CONFIG="BUCK",R184,IF(CONFIG="BOOST",VLEDS,R184+VLEDS))</f>
        <v>1.0715842464683037E-3</v>
      </c>
      <c r="BH184" s="197">
        <f t="shared" ref="BH184:BH247" si="97">BB184^2*RS</f>
        <v>5.5724817469984075E-2</v>
      </c>
      <c r="BI184" s="197">
        <f t="shared" si="71"/>
        <v>0.49759558934695969</v>
      </c>
      <c r="BJ184" s="197">
        <f t="shared" ref="BJ184:BJ247" si="98">PLEDS+BI184</f>
        <v>6.8199016238297183</v>
      </c>
      <c r="BK184" s="288">
        <f t="shared" ref="BK184:BK247" si="99">PLEDS/BJ184</f>
        <v>0.92703771743447316</v>
      </c>
      <c r="BL184" s="197">
        <f t="shared" ref="BL184:BL247" si="100">BJ184/R184</f>
        <v>0.47360427943262007</v>
      </c>
      <c r="BM184" s="197">
        <f t="shared" ref="BM184:BM247" si="101">AP184+AT184</f>
        <v>9.3630611695393648E-2</v>
      </c>
      <c r="BN184" s="197">
        <f t="shared" ref="BN184:BN247" si="102">TAMB+BM184*RTHMOS</f>
        <v>55.617836701723618</v>
      </c>
      <c r="BO184" s="197">
        <f t="shared" si="72"/>
        <v>0.20880449680804464</v>
      </c>
      <c r="BP184" s="197">
        <f t="shared" ref="BP184:BP247" si="103">TAMB+BO184*RTHFW</f>
        <v>65.660337260603342</v>
      </c>
      <c r="BQ184" s="197">
        <f t="shared" ref="BQ184:BQ247" si="104">AV184+BA184</f>
        <v>9.4196939999999979E-2</v>
      </c>
      <c r="BR184" s="288">
        <f t="shared" ref="BR184:BR247" si="105">0.5*AI184/AB184</f>
        <v>0.19957017937772134</v>
      </c>
      <c r="BS184" s="197">
        <f t="shared" ref="BS184:BS247" si="106">IF(CONFIG="BOOST",AI184,AB184)</f>
        <v>0.18212098526080561</v>
      </c>
      <c r="BT184" s="197">
        <f t="shared" ref="BT184:BT247" si="107">IF(CONFIG="BUCK",AI184,AB184)</f>
        <v>0.45628306250131168</v>
      </c>
      <c r="BU184" s="197">
        <f t="shared" ref="BU184:BU247" si="108">1000*BS184*(1-AA184)*AA184/(AJ184*VRIPIN)</f>
        <v>0.41926925206293941</v>
      </c>
      <c r="BV184" s="197">
        <f t="shared" ref="BV184:BV247" si="109">1000*BT184*(1-AA184)*AA184/(AJ184*VRIPOUT)</f>
        <v>1.0504306138578934</v>
      </c>
      <c r="BW184" s="194"/>
      <c r="BX184" s="194"/>
      <c r="BY184" s="194"/>
      <c r="BZ184" s="194"/>
      <c r="CA184" s="194"/>
      <c r="CB184" s="194"/>
      <c r="CC184" s="194"/>
      <c r="CD184" s="194"/>
      <c r="CE184" s="194"/>
      <c r="CF184" s="194"/>
      <c r="CG184" s="194"/>
      <c r="CH184" s="194"/>
      <c r="CI184" s="194"/>
      <c r="CJ184" s="194"/>
      <c r="CK184" s="194"/>
      <c r="CL184" s="194"/>
      <c r="CM184" s="194"/>
      <c r="CN184" s="194"/>
      <c r="CO184" s="194"/>
      <c r="CP184" s="194"/>
      <c r="CQ184" s="194"/>
      <c r="CR184" s="194"/>
      <c r="CS184" s="194"/>
      <c r="CT184" s="194"/>
      <c r="CU184" s="194"/>
      <c r="CV184" s="194"/>
      <c r="CW184" s="194"/>
      <c r="CX184" s="194"/>
      <c r="CY184" s="194"/>
      <c r="CZ184" s="194"/>
      <c r="DA184" s="194"/>
      <c r="DB184" s="194"/>
      <c r="DC184" s="194"/>
      <c r="DD184" s="194"/>
      <c r="DE184" s="194"/>
      <c r="DF184" s="194"/>
    </row>
    <row r="185" spans="2:110" s="192" customFormat="1" hidden="1" x14ac:dyDescent="0.35">
      <c r="B185" s="289"/>
      <c r="C185" s="289"/>
      <c r="Q185" s="193"/>
      <c r="R185" s="194">
        <f t="shared" ref="R185:R248" si="110">MIN(R184+0.1,VINMAX)</f>
        <v>14.499999999999977</v>
      </c>
      <c r="S185" s="197">
        <f t="shared" si="76"/>
        <v>0.48275862068965586</v>
      </c>
      <c r="T185" s="194">
        <f t="shared" si="74"/>
        <v>0.69</v>
      </c>
      <c r="U185" s="194">
        <f t="shared" si="75"/>
        <v>1.4999999999999999E-4</v>
      </c>
      <c r="V185" s="197">
        <f t="shared" ref="V185:V248" si="111">IF(CONFIG="BUCK",ILED,IF(CONFIG="BOOST",S185,ILED+S185))</f>
        <v>0.48275862068965586</v>
      </c>
      <c r="W185" s="197">
        <f t="shared" si="77"/>
        <v>5.406896551724146E-3</v>
      </c>
      <c r="X185" s="286">
        <f t="shared" si="78"/>
        <v>1</v>
      </c>
      <c r="Y185" s="286">
        <f t="shared" si="79"/>
        <v>0.3355457203684431</v>
      </c>
      <c r="Z185" s="286">
        <f t="shared" si="80"/>
        <v>0.60329300795718777</v>
      </c>
      <c r="AA185" s="286">
        <f t="shared" ref="AA185:AA248" si="112">IF(CONFIG="BUCK",X185,IF(CONFIG="BOOST",Y185,Z185))</f>
        <v>0.3355457203684431</v>
      </c>
      <c r="AB185" s="197">
        <f t="shared" si="81"/>
        <v>0.45309692682718072</v>
      </c>
      <c r="AC185" s="287">
        <f t="shared" si="82"/>
        <v>8.6037364197036692E-7</v>
      </c>
      <c r="AD185" s="197">
        <f t="shared" ref="AD185:AD248" si="113">IF(CONFIG="BUCK",RIPLOW,RIPLOW*(1-AA185)/GI_ADJ)</f>
        <v>9.3995971264951965</v>
      </c>
      <c r="AE185" s="197">
        <f t="shared" ref="AE185:AE248" si="114">IF(CONFIG="BUCK",RIPHIGH,RIPHIGH*(1-AA185)/GI_ADJ)</f>
        <v>28.198791379485588</v>
      </c>
      <c r="AF185" s="197">
        <f t="shared" ref="AF185:AF248" si="115">(AD185*2/100)*AB185</f>
        <v>8.5178571428571437E-2</v>
      </c>
      <c r="AG185" s="197">
        <f t="shared" ref="AG185:AG248" si="116">(AE185*2/100)*AB185</f>
        <v>0.25553571428571431</v>
      </c>
      <c r="AH185" s="197">
        <f t="shared" si="83"/>
        <v>0.18092017928449614</v>
      </c>
      <c r="AI185" s="197">
        <f t="shared" ref="AI185:AI248" si="117">IF(AH185&lt;AF185,AF185,IF(AH185&gt;AG185,AG185,AH185))</f>
        <v>0.18092017928449614</v>
      </c>
      <c r="AJ185" s="218">
        <f t="shared" si="84"/>
        <v>389.99999999999994</v>
      </c>
      <c r="AK185" s="197">
        <f t="shared" ref="AK185:AK248" si="118">AB185*RCOIL</f>
        <v>7.5803115858187331E-2</v>
      </c>
      <c r="AL185" s="197">
        <f t="shared" ref="AL185:AL248" si="119">AB185*RS</f>
        <v>0.11968598067133075</v>
      </c>
      <c r="AM185" s="197">
        <f t="shared" ref="AM185:AM248" si="120">AB185*RON</f>
        <v>5.0746855804644246E-3</v>
      </c>
      <c r="AN185" s="197">
        <f t="shared" si="85"/>
        <v>24.05</v>
      </c>
      <c r="AO185" s="197">
        <f t="shared" si="86"/>
        <v>21.69</v>
      </c>
      <c r="AP185" s="197">
        <f t="shared" ref="AP185:AP248" si="121">AB185*AO185*AN185*AJ185*0.000001</f>
        <v>9.2178652740057487E-2</v>
      </c>
      <c r="AQ185" s="197">
        <f t="shared" ref="AQ185:AQ248" si="122">AB185+AI185/2</f>
        <v>0.54355701646942878</v>
      </c>
      <c r="AR185" s="197">
        <f t="shared" ref="AR185:AR248" si="123">AB185-AI185/2</f>
        <v>0.36263683718493267</v>
      </c>
      <c r="AS185" s="258">
        <f t="shared" ref="AS185:AS248" si="124">SQRT((AA185/3)*(AQ185^2+AQ185*AR185+AR185^2))</f>
        <v>0.26420017232321674</v>
      </c>
      <c r="AT185" s="197">
        <f t="shared" si="87"/>
        <v>7.8177938782291519E-4</v>
      </c>
      <c r="AU185" s="194">
        <f t="shared" si="88"/>
        <v>21.19</v>
      </c>
      <c r="AV185" s="197">
        <f t="shared" si="89"/>
        <v>2.1749999999999967E-2</v>
      </c>
      <c r="AW185" s="197">
        <f t="shared" si="90"/>
        <v>3.4259999999999994E-3</v>
      </c>
      <c r="AX185" s="197">
        <f t="shared" ref="AX185:AX248" si="125">R185*(IQAUX+QGTOT*AJ185*0.000001)</f>
        <v>4.9676999999999909E-2</v>
      </c>
      <c r="AY185" s="197">
        <f t="shared" si="91"/>
        <v>2.8867475999999992E-3</v>
      </c>
      <c r="AZ185" s="197">
        <f t="shared" si="92"/>
        <v>0</v>
      </c>
      <c r="BA185" s="197">
        <f t="shared" ref="BA185:BA248" si="126">AU185*AW185</f>
        <v>7.2596939999999985E-2</v>
      </c>
      <c r="BB185" s="258">
        <f t="shared" si="93"/>
        <v>0.45609703029026261</v>
      </c>
      <c r="BC185" s="197">
        <f t="shared" si="94"/>
        <v>3.480249902392453E-2</v>
      </c>
      <c r="BD185" s="197">
        <f t="shared" ref="BD185:BD248" si="127">BC185*0.2</f>
        <v>6.9604998047849065E-3</v>
      </c>
      <c r="BE185" s="197">
        <f t="shared" ref="BE185:BE248" si="128">BC185+BD185</f>
        <v>4.1762998828709437E-2</v>
      </c>
      <c r="BF185" s="197">
        <f t="shared" si="95"/>
        <v>0.20773291256157636</v>
      </c>
      <c r="BG185" s="197">
        <f t="shared" si="96"/>
        <v>1.0569690191605957E-3</v>
      </c>
      <c r="BH185" s="197">
        <f t="shared" si="97"/>
        <v>5.4949868199138753E-2</v>
      </c>
      <c r="BI185" s="197">
        <f t="shared" ref="BI185:BI248" si="129">AP185+AT185+AV185+AY185+BA185+BE185+BF185+BG185+BH185</f>
        <v>0.49569686833646553</v>
      </c>
      <c r="BJ185" s="197">
        <f t="shared" si="98"/>
        <v>6.8180029028192246</v>
      </c>
      <c r="BK185" s="288">
        <f t="shared" si="99"/>
        <v>0.92729588482112613</v>
      </c>
      <c r="BL185" s="197">
        <f t="shared" si="100"/>
        <v>0.47020709674615419</v>
      </c>
      <c r="BM185" s="197">
        <f t="shared" si="101"/>
        <v>9.2960432127880396E-2</v>
      </c>
      <c r="BN185" s="197">
        <f t="shared" si="102"/>
        <v>55.577625927672827</v>
      </c>
      <c r="BO185" s="197">
        <f t="shared" ref="BO185:BO248" si="130">BF185+BG185</f>
        <v>0.20878988158073697</v>
      </c>
      <c r="BP185" s="197">
        <f t="shared" si="103"/>
        <v>65.659241118555272</v>
      </c>
      <c r="BQ185" s="197">
        <f t="shared" si="104"/>
        <v>9.4346939999999949E-2</v>
      </c>
      <c r="BR185" s="288">
        <f t="shared" si="105"/>
        <v>0.19964842903635752</v>
      </c>
      <c r="BS185" s="197">
        <f t="shared" si="106"/>
        <v>0.18092017928449614</v>
      </c>
      <c r="BT185" s="197">
        <f t="shared" si="107"/>
        <v>0.45309692682718072</v>
      </c>
      <c r="BU185" s="197">
        <f t="shared" si="108"/>
        <v>0.41371303141549737</v>
      </c>
      <c r="BV185" s="197">
        <f t="shared" si="109"/>
        <v>1.0361038987693638</v>
      </c>
      <c r="BW185" s="194"/>
      <c r="BX185" s="194"/>
      <c r="BY185" s="194"/>
      <c r="BZ185" s="194"/>
      <c r="CA185" s="194"/>
      <c r="CB185" s="194"/>
      <c r="CC185" s="194"/>
      <c r="CD185" s="194"/>
      <c r="CE185" s="194"/>
      <c r="CF185" s="194"/>
      <c r="CG185" s="194"/>
      <c r="CH185" s="194"/>
      <c r="CI185" s="194"/>
      <c r="CJ185" s="194"/>
      <c r="CK185" s="194"/>
      <c r="CL185" s="194"/>
      <c r="CM185" s="194"/>
      <c r="CN185" s="194"/>
      <c r="CO185" s="194"/>
      <c r="CP185" s="194"/>
      <c r="CQ185" s="194"/>
      <c r="CR185" s="194"/>
      <c r="CS185" s="194"/>
      <c r="CT185" s="194"/>
      <c r="CU185" s="194"/>
      <c r="CV185" s="194"/>
      <c r="CW185" s="194"/>
      <c r="CX185" s="194"/>
      <c r="CY185" s="194"/>
      <c r="CZ185" s="194"/>
      <c r="DA185" s="194"/>
      <c r="DB185" s="194"/>
      <c r="DC185" s="194"/>
      <c r="DD185" s="194"/>
      <c r="DE185" s="194"/>
      <c r="DF185" s="194"/>
    </row>
    <row r="186" spans="2:110" s="192" customFormat="1" hidden="1" x14ac:dyDescent="0.35">
      <c r="B186" s="289"/>
      <c r="C186" s="289"/>
      <c r="Q186" s="193"/>
      <c r="R186" s="194">
        <f t="shared" si="110"/>
        <v>14.599999999999977</v>
      </c>
      <c r="S186" s="197">
        <f t="shared" si="76"/>
        <v>0.47945205479452135</v>
      </c>
      <c r="T186" s="194">
        <f t="shared" ref="T186:T249" si="131">$D$45</f>
        <v>0.69</v>
      </c>
      <c r="U186" s="194">
        <f t="shared" ref="U186:U249" si="132">$D$48*0.001</f>
        <v>1.4999999999999999E-4</v>
      </c>
      <c r="V186" s="197">
        <f t="shared" si="111"/>
        <v>0.47945205479452135</v>
      </c>
      <c r="W186" s="197">
        <f t="shared" si="77"/>
        <v>5.3698630136986402E-3</v>
      </c>
      <c r="X186" s="286">
        <f t="shared" si="78"/>
        <v>1</v>
      </c>
      <c r="Y186" s="286">
        <f t="shared" si="79"/>
        <v>0.33090636761850234</v>
      </c>
      <c r="Z186" s="286">
        <f t="shared" si="80"/>
        <v>0.60161345756208995</v>
      </c>
      <c r="AA186" s="286">
        <f t="shared" si="112"/>
        <v>0.33090636761850234</v>
      </c>
      <c r="AB186" s="197">
        <f t="shared" si="81"/>
        <v>0.44995524923269592</v>
      </c>
      <c r="AC186" s="287">
        <f t="shared" si="82"/>
        <v>8.484778656884675E-7</v>
      </c>
      <c r="AD186" s="197">
        <f t="shared" si="113"/>
        <v>9.4652269946650893</v>
      </c>
      <c r="AE186" s="197">
        <f t="shared" si="114"/>
        <v>28.395680983995266</v>
      </c>
      <c r="AF186" s="197">
        <f t="shared" si="115"/>
        <v>8.5178571428571437E-2</v>
      </c>
      <c r="AG186" s="197">
        <f t="shared" si="116"/>
        <v>0.25553571428571425</v>
      </c>
      <c r="AH186" s="197">
        <f t="shared" si="83"/>
        <v>0.17968386106366777</v>
      </c>
      <c r="AI186" s="197">
        <f t="shared" si="117"/>
        <v>0.17968386106366777</v>
      </c>
      <c r="AJ186" s="218">
        <f t="shared" si="84"/>
        <v>390</v>
      </c>
      <c r="AK186" s="197">
        <f t="shared" si="118"/>
        <v>7.5277513196630036E-2</v>
      </c>
      <c r="AL186" s="197">
        <f t="shared" si="119"/>
        <v>0.1188561035709008</v>
      </c>
      <c r="AM186" s="197">
        <f t="shared" si="120"/>
        <v>5.0394987914061948E-3</v>
      </c>
      <c r="AN186" s="197">
        <f t="shared" si="85"/>
        <v>24.05</v>
      </c>
      <c r="AO186" s="197">
        <f t="shared" si="86"/>
        <v>21.69</v>
      </c>
      <c r="AP186" s="197">
        <f t="shared" si="121"/>
        <v>9.1539505593262377E-2</v>
      </c>
      <c r="AQ186" s="197">
        <f t="shared" si="122"/>
        <v>0.53979717976452979</v>
      </c>
      <c r="AR186" s="197">
        <f t="shared" si="123"/>
        <v>0.36011331870086205</v>
      </c>
      <c r="AS186" s="258">
        <f t="shared" si="124"/>
        <v>0.26054850642427518</v>
      </c>
      <c r="AT186" s="197">
        <f t="shared" si="87"/>
        <v>7.6031787103911046E-4</v>
      </c>
      <c r="AU186" s="194">
        <f t="shared" si="88"/>
        <v>21.19</v>
      </c>
      <c r="AV186" s="197">
        <f t="shared" si="89"/>
        <v>2.1899999999999965E-2</v>
      </c>
      <c r="AW186" s="197">
        <f t="shared" si="90"/>
        <v>3.4259999999999998E-3</v>
      </c>
      <c r="AX186" s="197">
        <f t="shared" si="125"/>
        <v>5.0019599999999914E-2</v>
      </c>
      <c r="AY186" s="197">
        <f t="shared" si="91"/>
        <v>2.8867475999999996E-3</v>
      </c>
      <c r="AZ186" s="197">
        <f t="shared" si="92"/>
        <v>0</v>
      </c>
      <c r="BA186" s="197">
        <f t="shared" si="126"/>
        <v>7.2596939999999999E-2</v>
      </c>
      <c r="BB186" s="258">
        <f t="shared" si="93"/>
        <v>0.45293515040524268</v>
      </c>
      <c r="BC186" s="197">
        <f t="shared" si="94"/>
        <v>3.4321636904069294E-2</v>
      </c>
      <c r="BD186" s="197">
        <f t="shared" si="127"/>
        <v>6.8643273808138595E-3</v>
      </c>
      <c r="BE186" s="197">
        <f t="shared" si="128"/>
        <v>4.118596428488315E-2</v>
      </c>
      <c r="BF186" s="197">
        <f t="shared" si="95"/>
        <v>0.20773291256157633</v>
      </c>
      <c r="BG186" s="197">
        <f t="shared" si="96"/>
        <v>1.0423550579982822E-3</v>
      </c>
      <c r="BH186" s="197">
        <f t="shared" si="97"/>
        <v>5.4190632200314663E-2</v>
      </c>
      <c r="BI186" s="197">
        <f t="shared" si="129"/>
        <v>0.49383537516907389</v>
      </c>
      <c r="BJ186" s="197">
        <f t="shared" si="98"/>
        <v>6.8161414096518333</v>
      </c>
      <c r="BK186" s="288">
        <f t="shared" si="99"/>
        <v>0.92754913000047345</v>
      </c>
      <c r="BL186" s="197">
        <f t="shared" si="100"/>
        <v>0.46685900066108521</v>
      </c>
      <c r="BM186" s="197">
        <f t="shared" si="101"/>
        <v>9.2299823464301489E-2</v>
      </c>
      <c r="BN186" s="197">
        <f t="shared" si="102"/>
        <v>55.537989407858092</v>
      </c>
      <c r="BO186" s="197">
        <f t="shared" si="130"/>
        <v>0.20877526761957463</v>
      </c>
      <c r="BP186" s="197">
        <f t="shared" si="103"/>
        <v>65.658145071468098</v>
      </c>
      <c r="BQ186" s="197">
        <f t="shared" si="104"/>
        <v>9.449693999999996E-2</v>
      </c>
      <c r="BR186" s="288">
        <f t="shared" si="105"/>
        <v>0.19966859078772925</v>
      </c>
      <c r="BS186" s="197">
        <f t="shared" si="106"/>
        <v>0.17968386106366777</v>
      </c>
      <c r="BT186" s="197">
        <f t="shared" si="107"/>
        <v>0.44995524923269592</v>
      </c>
      <c r="BU186" s="197">
        <f t="shared" si="108"/>
        <v>0.40803411636696529</v>
      </c>
      <c r="BV186" s="197">
        <f t="shared" si="109"/>
        <v>1.0217784248318573</v>
      </c>
      <c r="BW186" s="194"/>
      <c r="BX186" s="194"/>
      <c r="BY186" s="194"/>
      <c r="BZ186" s="194"/>
      <c r="CA186" s="194"/>
      <c r="CB186" s="194"/>
      <c r="CC186" s="194"/>
      <c r="CD186" s="194"/>
      <c r="CE186" s="194"/>
      <c r="CF186" s="194"/>
      <c r="CG186" s="194"/>
      <c r="CH186" s="194"/>
      <c r="CI186" s="194"/>
      <c r="CJ186" s="194"/>
      <c r="CK186" s="194"/>
      <c r="CL186" s="194"/>
      <c r="CM186" s="194"/>
      <c r="CN186" s="194"/>
      <c r="CO186" s="194"/>
      <c r="CP186" s="194"/>
      <c r="CQ186" s="194"/>
      <c r="CR186" s="194"/>
      <c r="CS186" s="194"/>
      <c r="CT186" s="194"/>
      <c r="CU186" s="194"/>
      <c r="CV186" s="194"/>
      <c r="CW186" s="194"/>
      <c r="CX186" s="194"/>
      <c r="CY186" s="194"/>
      <c r="CZ186" s="194"/>
      <c r="DA186" s="194"/>
      <c r="DB186" s="194"/>
      <c r="DC186" s="194"/>
      <c r="DD186" s="194"/>
      <c r="DE186" s="194"/>
      <c r="DF186" s="194"/>
    </row>
    <row r="187" spans="2:110" s="192" customFormat="1" hidden="1" x14ac:dyDescent="0.35">
      <c r="B187" s="289"/>
      <c r="C187" s="289"/>
      <c r="Q187" s="193"/>
      <c r="R187" s="194">
        <f t="shared" si="110"/>
        <v>14.699999999999976</v>
      </c>
      <c r="S187" s="197">
        <f t="shared" si="76"/>
        <v>0.47619047619047689</v>
      </c>
      <c r="T187" s="194">
        <f t="shared" si="131"/>
        <v>0.69</v>
      </c>
      <c r="U187" s="194">
        <f t="shared" si="132"/>
        <v>1.4999999999999999E-4</v>
      </c>
      <c r="V187" s="197">
        <f t="shared" si="111"/>
        <v>0.47619047619047689</v>
      </c>
      <c r="W187" s="197">
        <f t="shared" si="77"/>
        <v>5.3333333333333418E-3</v>
      </c>
      <c r="X187" s="286">
        <f t="shared" si="78"/>
        <v>1</v>
      </c>
      <c r="Y187" s="286">
        <f t="shared" si="79"/>
        <v>0.32626740861438297</v>
      </c>
      <c r="Z187" s="286">
        <f t="shared" si="80"/>
        <v>0.59994337178554491</v>
      </c>
      <c r="AA187" s="286">
        <f t="shared" si="112"/>
        <v>0.32626740861438297</v>
      </c>
      <c r="AB187" s="197">
        <f t="shared" si="81"/>
        <v>0.44685710023179048</v>
      </c>
      <c r="AC187" s="287">
        <f t="shared" si="82"/>
        <v>8.3658309901123839E-7</v>
      </c>
      <c r="AD187" s="197">
        <f t="shared" si="113"/>
        <v>9.5308512927721445</v>
      </c>
      <c r="AE187" s="197">
        <f t="shared" si="114"/>
        <v>28.59255387831643</v>
      </c>
      <c r="AF187" s="197">
        <f t="shared" si="115"/>
        <v>8.5178571428571437E-2</v>
      </c>
      <c r="AG187" s="197">
        <f t="shared" si="116"/>
        <v>0.25553571428571431</v>
      </c>
      <c r="AH187" s="197">
        <f t="shared" si="83"/>
        <v>0.17841204612132411</v>
      </c>
      <c r="AI187" s="197">
        <f t="shared" si="117"/>
        <v>0.17841204612132411</v>
      </c>
      <c r="AJ187" s="218">
        <f t="shared" si="84"/>
        <v>390</v>
      </c>
      <c r="AK187" s="197">
        <f t="shared" si="118"/>
        <v>7.4759192868778551E-2</v>
      </c>
      <c r="AL187" s="197">
        <f t="shared" si="119"/>
        <v>0.11803772458952956</v>
      </c>
      <c r="AM187" s="197">
        <f t="shared" si="120"/>
        <v>5.004799522596054E-3</v>
      </c>
      <c r="AN187" s="197">
        <f t="shared" si="85"/>
        <v>24.05</v>
      </c>
      <c r="AO187" s="197">
        <f t="shared" si="86"/>
        <v>21.69</v>
      </c>
      <c r="AP187" s="197">
        <f t="shared" si="121"/>
        <v>9.090921396252627E-2</v>
      </c>
      <c r="AQ187" s="197">
        <f t="shared" si="122"/>
        <v>0.53606312329245254</v>
      </c>
      <c r="AR187" s="197">
        <f t="shared" si="123"/>
        <v>0.35765107717112843</v>
      </c>
      <c r="AS187" s="258">
        <f t="shared" si="124"/>
        <v>0.25693372200458081</v>
      </c>
      <c r="AT187" s="197">
        <f t="shared" si="87"/>
        <v>7.3936730003502493E-4</v>
      </c>
      <c r="AU187" s="194">
        <f t="shared" si="88"/>
        <v>21.19</v>
      </c>
      <c r="AV187" s="197">
        <f t="shared" si="89"/>
        <v>2.2049999999999965E-2</v>
      </c>
      <c r="AW187" s="197">
        <f t="shared" si="90"/>
        <v>3.4259999999999998E-3</v>
      </c>
      <c r="AX187" s="197">
        <f t="shared" si="125"/>
        <v>5.0362199999999913E-2</v>
      </c>
      <c r="AY187" s="197">
        <f t="shared" si="91"/>
        <v>2.8867475999999996E-3</v>
      </c>
      <c r="AZ187" s="197">
        <f t="shared" si="92"/>
        <v>0</v>
      </c>
      <c r="BA187" s="197">
        <f t="shared" si="126"/>
        <v>7.2596939999999999E-2</v>
      </c>
      <c r="BB187" s="258">
        <f t="shared" si="93"/>
        <v>0.44981533938309715</v>
      </c>
      <c r="BC187" s="197">
        <f t="shared" si="94"/>
        <v>3.3850451355766559E-2</v>
      </c>
      <c r="BD187" s="197">
        <f t="shared" si="127"/>
        <v>6.7700902711533119E-3</v>
      </c>
      <c r="BE187" s="197">
        <f t="shared" si="128"/>
        <v>4.0620541626919873E-2</v>
      </c>
      <c r="BF187" s="197">
        <f t="shared" si="95"/>
        <v>0.20773291256157633</v>
      </c>
      <c r="BG187" s="197">
        <f t="shared" si="96"/>
        <v>1.0277423371353061E-3</v>
      </c>
      <c r="BH187" s="197">
        <f t="shared" si="97"/>
        <v>5.3446674596615701E-2</v>
      </c>
      <c r="BI187" s="197">
        <f t="shared" si="129"/>
        <v>0.49201013998480847</v>
      </c>
      <c r="BJ187" s="197">
        <f t="shared" si="98"/>
        <v>6.8143161744675673</v>
      </c>
      <c r="BK187" s="288">
        <f t="shared" si="99"/>
        <v>0.9277975768385518</v>
      </c>
      <c r="BL187" s="197">
        <f t="shared" si="100"/>
        <v>0.46355892343316857</v>
      </c>
      <c r="BM187" s="197">
        <f t="shared" si="101"/>
        <v>9.1648581262561299E-2</v>
      </c>
      <c r="BN187" s="197">
        <f t="shared" si="102"/>
        <v>55.498914875753677</v>
      </c>
      <c r="BO187" s="197">
        <f t="shared" si="130"/>
        <v>0.20876065489871165</v>
      </c>
      <c r="BP187" s="197">
        <f t="shared" si="103"/>
        <v>65.657049117403375</v>
      </c>
      <c r="BQ187" s="197">
        <f t="shared" si="104"/>
        <v>9.4646939999999957E-2</v>
      </c>
      <c r="BR187" s="288">
        <f t="shared" si="105"/>
        <v>0.1996298660452967</v>
      </c>
      <c r="BS187" s="197">
        <f t="shared" si="106"/>
        <v>0.17841204612132411</v>
      </c>
      <c r="BT187" s="197">
        <f t="shared" si="107"/>
        <v>0.44685710023179048</v>
      </c>
      <c r="BU187" s="197">
        <f t="shared" si="108"/>
        <v>0.40223588069399951</v>
      </c>
      <c r="BV187" s="197">
        <f t="shared" si="109"/>
        <v>1.0074541667095314</v>
      </c>
      <c r="BW187" s="194"/>
      <c r="BX187" s="194"/>
      <c r="BY187" s="194"/>
      <c r="BZ187" s="194"/>
      <c r="CA187" s="194"/>
      <c r="CB187" s="194"/>
      <c r="CC187" s="194"/>
      <c r="CD187" s="194"/>
      <c r="CE187" s="194"/>
      <c r="CF187" s="194"/>
      <c r="CG187" s="194"/>
      <c r="CH187" s="194"/>
      <c r="CI187" s="194"/>
      <c r="CJ187" s="194"/>
      <c r="CK187" s="194"/>
      <c r="CL187" s="194"/>
      <c r="CM187" s="194"/>
      <c r="CN187" s="194"/>
      <c r="CO187" s="194"/>
      <c r="CP187" s="194"/>
      <c r="CQ187" s="194"/>
      <c r="CR187" s="194"/>
      <c r="CS187" s="194"/>
      <c r="CT187" s="194"/>
      <c r="CU187" s="194"/>
      <c r="CV187" s="194"/>
      <c r="CW187" s="194"/>
      <c r="CX187" s="194"/>
      <c r="CY187" s="194"/>
      <c r="CZ187" s="194"/>
      <c r="DA187" s="194"/>
      <c r="DB187" s="194"/>
      <c r="DC187" s="194"/>
      <c r="DD187" s="194"/>
      <c r="DE187" s="194"/>
      <c r="DF187" s="194"/>
    </row>
    <row r="188" spans="2:110" s="192" customFormat="1" hidden="1" x14ac:dyDescent="0.35">
      <c r="B188" s="289"/>
      <c r="C188" s="289"/>
      <c r="Q188" s="193"/>
      <c r="R188" s="194">
        <f t="shared" si="110"/>
        <v>14.799999999999976</v>
      </c>
      <c r="S188" s="197">
        <f t="shared" si="76"/>
        <v>0.47297297297297375</v>
      </c>
      <c r="T188" s="194">
        <f t="shared" si="131"/>
        <v>0.69</v>
      </c>
      <c r="U188" s="194">
        <f t="shared" si="132"/>
        <v>1.4999999999999999E-4</v>
      </c>
      <c r="V188" s="197">
        <f t="shared" si="111"/>
        <v>0.47297297297297375</v>
      </c>
      <c r="W188" s="197">
        <f t="shared" si="77"/>
        <v>5.2972972972973069E-3</v>
      </c>
      <c r="X188" s="286">
        <f t="shared" si="78"/>
        <v>1</v>
      </c>
      <c r="Y188" s="286">
        <f t="shared" si="79"/>
        <v>0.3216288353728009</v>
      </c>
      <c r="Z188" s="286">
        <f t="shared" si="80"/>
        <v>0.59828266807699149</v>
      </c>
      <c r="AA188" s="286">
        <f t="shared" si="112"/>
        <v>0.3216288353728009</v>
      </c>
      <c r="AB188" s="197">
        <f t="shared" si="81"/>
        <v>0.44380157621186073</v>
      </c>
      <c r="AC188" s="287">
        <f t="shared" si="82"/>
        <v>8.2468932146872022E-7</v>
      </c>
      <c r="AD188" s="197">
        <f t="shared" si="113"/>
        <v>9.5964701337506213</v>
      </c>
      <c r="AE188" s="197">
        <f t="shared" si="114"/>
        <v>28.789410401251864</v>
      </c>
      <c r="AF188" s="197">
        <f t="shared" si="115"/>
        <v>8.5178571428571437E-2</v>
      </c>
      <c r="AG188" s="197">
        <f t="shared" si="116"/>
        <v>0.25553571428571431</v>
      </c>
      <c r="AH188" s="197">
        <f t="shared" si="83"/>
        <v>0.17710474954864622</v>
      </c>
      <c r="AI188" s="197">
        <f t="shared" si="117"/>
        <v>0.17710474954864622</v>
      </c>
      <c r="AJ188" s="218">
        <f t="shared" si="84"/>
        <v>390.00000000000006</v>
      </c>
      <c r="AK188" s="197">
        <f t="shared" si="118"/>
        <v>7.42480037002443E-2</v>
      </c>
      <c r="AL188" s="197">
        <f t="shared" si="119"/>
        <v>0.11723060503709529</v>
      </c>
      <c r="AM188" s="197">
        <f t="shared" si="120"/>
        <v>4.9705776535728411E-3</v>
      </c>
      <c r="AN188" s="197">
        <f t="shared" si="85"/>
        <v>24.05</v>
      </c>
      <c r="AO188" s="197">
        <f t="shared" si="86"/>
        <v>21.69</v>
      </c>
      <c r="AP188" s="197">
        <f t="shared" si="121"/>
        <v>9.0287594015676736E-2</v>
      </c>
      <c r="AQ188" s="197">
        <f t="shared" si="122"/>
        <v>0.53235395098618388</v>
      </c>
      <c r="AR188" s="197">
        <f t="shared" si="123"/>
        <v>0.35524920143753763</v>
      </c>
      <c r="AS188" s="258">
        <f t="shared" si="124"/>
        <v>0.25335479133682376</v>
      </c>
      <c r="AT188" s="197">
        <f t="shared" si="87"/>
        <v>7.1891288328524577E-4</v>
      </c>
      <c r="AU188" s="194">
        <f t="shared" si="88"/>
        <v>21.19</v>
      </c>
      <c r="AV188" s="197">
        <f t="shared" si="89"/>
        <v>2.2199999999999963E-2</v>
      </c>
      <c r="AW188" s="197">
        <f t="shared" si="90"/>
        <v>3.4260000000000002E-3</v>
      </c>
      <c r="AX188" s="197">
        <f t="shared" si="125"/>
        <v>5.0704799999999918E-2</v>
      </c>
      <c r="AY188" s="197">
        <f t="shared" si="91"/>
        <v>2.8867476000000005E-3</v>
      </c>
      <c r="AZ188" s="197">
        <f t="shared" si="92"/>
        <v>0</v>
      </c>
      <c r="BA188" s="197">
        <f t="shared" si="126"/>
        <v>7.2596940000000013E-2</v>
      </c>
      <c r="BB188" s="258">
        <f t="shared" si="93"/>
        <v>0.4467367010602436</v>
      </c>
      <c r="BC188" s="197">
        <f t="shared" si="94"/>
        <v>3.3388676676411898E-2</v>
      </c>
      <c r="BD188" s="197">
        <f t="shared" si="127"/>
        <v>6.6777353352823797E-3</v>
      </c>
      <c r="BE188" s="197">
        <f t="shared" si="128"/>
        <v>4.006641201169428E-2</v>
      </c>
      <c r="BF188" s="197">
        <f t="shared" si="95"/>
        <v>0.20773291256157633</v>
      </c>
      <c r="BG188" s="197">
        <f t="shared" si="96"/>
        <v>1.0131308314243227E-3</v>
      </c>
      <c r="BH188" s="197">
        <f t="shared" si="97"/>
        <v>5.2717575868653818E-2</v>
      </c>
      <c r="BI188" s="197">
        <f t="shared" si="129"/>
        <v>0.49022022577231072</v>
      </c>
      <c r="BJ188" s="197">
        <f t="shared" si="98"/>
        <v>6.81252626025507</v>
      </c>
      <c r="BK188" s="288">
        <f t="shared" si="99"/>
        <v>0.92804134515674419</v>
      </c>
      <c r="BL188" s="197">
        <f t="shared" si="100"/>
        <v>0.46030582839561357</v>
      </c>
      <c r="BM188" s="197">
        <f t="shared" si="101"/>
        <v>9.1006506898961989E-2</v>
      </c>
      <c r="BN188" s="197">
        <f t="shared" si="102"/>
        <v>55.460390413937716</v>
      </c>
      <c r="BO188" s="197">
        <f t="shared" si="130"/>
        <v>0.20874604339300065</v>
      </c>
      <c r="BP188" s="197">
        <f t="shared" si="103"/>
        <v>65.655953254475051</v>
      </c>
      <c r="BQ188" s="197">
        <f t="shared" si="104"/>
        <v>9.4796939999999968E-2</v>
      </c>
      <c r="BR188" s="288">
        <f t="shared" si="105"/>
        <v>0.19953145622008839</v>
      </c>
      <c r="BS188" s="197">
        <f t="shared" si="106"/>
        <v>0.17710474954864622</v>
      </c>
      <c r="BT188" s="197">
        <f t="shared" si="107"/>
        <v>0.44380157621186073</v>
      </c>
      <c r="BU188" s="197">
        <f t="shared" si="108"/>
        <v>0.3963217891017346</v>
      </c>
      <c r="BV188" s="197">
        <f t="shared" si="109"/>
        <v>0.99313109975146285</v>
      </c>
      <c r="BW188" s="194"/>
      <c r="BX188" s="194"/>
      <c r="BY188" s="194"/>
      <c r="BZ188" s="194"/>
      <c r="CA188" s="194"/>
      <c r="CB188" s="194"/>
      <c r="CC188" s="194"/>
      <c r="CD188" s="194"/>
      <c r="CE188" s="194"/>
      <c r="CF188" s="194"/>
      <c r="CG188" s="194"/>
      <c r="CH188" s="194"/>
      <c r="CI188" s="194"/>
      <c r="CJ188" s="194"/>
      <c r="CK188" s="194"/>
      <c r="CL188" s="194"/>
      <c r="CM188" s="194"/>
      <c r="CN188" s="194"/>
      <c r="CO188" s="194"/>
      <c r="CP188" s="194"/>
      <c r="CQ188" s="194"/>
      <c r="CR188" s="194"/>
      <c r="CS188" s="194"/>
      <c r="CT188" s="194"/>
      <c r="CU188" s="194"/>
      <c r="CV188" s="194"/>
      <c r="CW188" s="194"/>
      <c r="CX188" s="194"/>
      <c r="CY188" s="194"/>
      <c r="CZ188" s="194"/>
      <c r="DA188" s="194"/>
      <c r="DB188" s="194"/>
      <c r="DC188" s="194"/>
      <c r="DD188" s="194"/>
      <c r="DE188" s="194"/>
      <c r="DF188" s="194"/>
    </row>
    <row r="189" spans="2:110" s="192" customFormat="1" hidden="1" x14ac:dyDescent="0.35">
      <c r="B189" s="289"/>
      <c r="C189" s="289"/>
      <c r="Q189" s="193"/>
      <c r="R189" s="194">
        <f t="shared" si="110"/>
        <v>14.899999999999975</v>
      </c>
      <c r="S189" s="197">
        <f t="shared" si="76"/>
        <v>0.46979865771812157</v>
      </c>
      <c r="T189" s="194">
        <f t="shared" si="131"/>
        <v>0.69</v>
      </c>
      <c r="U189" s="194">
        <f t="shared" si="132"/>
        <v>1.4999999999999999E-4</v>
      </c>
      <c r="V189" s="197">
        <f t="shared" si="111"/>
        <v>0.46979865771812157</v>
      </c>
      <c r="W189" s="197">
        <f t="shared" si="77"/>
        <v>5.2617449664429626E-3</v>
      </c>
      <c r="X189" s="286">
        <f t="shared" si="78"/>
        <v>1</v>
      </c>
      <c r="Y189" s="286">
        <f t="shared" si="79"/>
        <v>0.31699064012484074</v>
      </c>
      <c r="Z189" s="286">
        <f t="shared" si="80"/>
        <v>0.59663126491529905</v>
      </c>
      <c r="AA189" s="286">
        <f t="shared" si="112"/>
        <v>0.31699064012484074</v>
      </c>
      <c r="AB189" s="197">
        <f t="shared" si="81"/>
        <v>0.44078779853508143</v>
      </c>
      <c r="AC189" s="287">
        <f t="shared" si="82"/>
        <v>8.1279651314061724E-7</v>
      </c>
      <c r="AD189" s="197">
        <f t="shared" si="113"/>
        <v>9.6620836275022519</v>
      </c>
      <c r="AE189" s="197">
        <f t="shared" si="114"/>
        <v>28.986250882506759</v>
      </c>
      <c r="AF189" s="197">
        <f t="shared" si="115"/>
        <v>8.5178571428571423E-2</v>
      </c>
      <c r="AG189" s="197">
        <f t="shared" si="116"/>
        <v>0.25553571428571431</v>
      </c>
      <c r="AH189" s="197">
        <f t="shared" si="83"/>
        <v>0.17576198601998005</v>
      </c>
      <c r="AI189" s="197">
        <f t="shared" si="117"/>
        <v>0.17576198601998005</v>
      </c>
      <c r="AJ189" s="218">
        <f t="shared" si="84"/>
        <v>390</v>
      </c>
      <c r="AK189" s="197">
        <f t="shared" si="118"/>
        <v>7.3743798694919122E-2</v>
      </c>
      <c r="AL189" s="197">
        <f t="shared" si="119"/>
        <v>0.11643451282058755</v>
      </c>
      <c r="AM189" s="197">
        <f t="shared" si="120"/>
        <v>4.9368233435929127E-3</v>
      </c>
      <c r="AN189" s="197">
        <f t="shared" si="85"/>
        <v>24.05</v>
      </c>
      <c r="AO189" s="197">
        <f t="shared" si="86"/>
        <v>21.69</v>
      </c>
      <c r="AP189" s="197">
        <f t="shared" si="121"/>
        <v>8.9674467001444005E-2</v>
      </c>
      <c r="AQ189" s="197">
        <f t="shared" si="122"/>
        <v>0.5286687915450714</v>
      </c>
      <c r="AR189" s="197">
        <f t="shared" si="123"/>
        <v>0.3529068055250914</v>
      </c>
      <c r="AS189" s="258">
        <f t="shared" si="124"/>
        <v>0.24981070694895546</v>
      </c>
      <c r="AT189" s="197">
        <f t="shared" si="87"/>
        <v>6.9894036023097341E-4</v>
      </c>
      <c r="AU189" s="194">
        <f t="shared" si="88"/>
        <v>21.19</v>
      </c>
      <c r="AV189" s="197">
        <f t="shared" si="89"/>
        <v>2.2349999999999964E-2</v>
      </c>
      <c r="AW189" s="197">
        <f t="shared" si="90"/>
        <v>3.4259999999999998E-3</v>
      </c>
      <c r="AX189" s="197">
        <f t="shared" si="125"/>
        <v>5.104739999999991E-2</v>
      </c>
      <c r="AY189" s="197">
        <f t="shared" si="91"/>
        <v>2.8867475999999996E-3</v>
      </c>
      <c r="AZ189" s="197">
        <f t="shared" si="92"/>
        <v>0</v>
      </c>
      <c r="BA189" s="197">
        <f t="shared" si="126"/>
        <v>7.2596939999999999E-2</v>
      </c>
      <c r="BB189" s="258">
        <f t="shared" si="93"/>
        <v>0.44369836561363485</v>
      </c>
      <c r="BC189" s="197">
        <f t="shared" si="94"/>
        <v>3.2936056493145668E-2</v>
      </c>
      <c r="BD189" s="197">
        <f t="shared" si="127"/>
        <v>6.5872112986291344E-3</v>
      </c>
      <c r="BE189" s="197">
        <f t="shared" si="128"/>
        <v>3.9523267791774799E-2</v>
      </c>
      <c r="BF189" s="197">
        <f t="shared" si="95"/>
        <v>0.20773291256157636</v>
      </c>
      <c r="BG189" s="197">
        <f t="shared" si="96"/>
        <v>9.9852051639324818E-4</v>
      </c>
      <c r="BH189" s="197">
        <f t="shared" si="97"/>
        <v>5.2002931227829265E-2</v>
      </c>
      <c r="BI189" s="197">
        <f t="shared" si="129"/>
        <v>0.4884647270592487</v>
      </c>
      <c r="BJ189" s="197">
        <f t="shared" si="98"/>
        <v>6.8107707615420079</v>
      </c>
      <c r="BK189" s="288">
        <f t="shared" si="99"/>
        <v>0.92828055088604144</v>
      </c>
      <c r="BL189" s="197">
        <f t="shared" si="100"/>
        <v>0.45709870882832343</v>
      </c>
      <c r="BM189" s="197">
        <f t="shared" si="101"/>
        <v>9.0373407361674984E-2</v>
      </c>
      <c r="BN189" s="197">
        <f t="shared" si="102"/>
        <v>55.4224044417005</v>
      </c>
      <c r="BO189" s="197">
        <f t="shared" si="130"/>
        <v>0.2087314330779696</v>
      </c>
      <c r="BP189" s="197">
        <f t="shared" si="103"/>
        <v>65.654857480847724</v>
      </c>
      <c r="BQ189" s="197">
        <f t="shared" si="104"/>
        <v>9.4946939999999966E-2</v>
      </c>
      <c r="BR189" s="288">
        <f t="shared" si="105"/>
        <v>0.19937256272077991</v>
      </c>
      <c r="BS189" s="197">
        <f t="shared" si="106"/>
        <v>0.17576198601998005</v>
      </c>
      <c r="BT189" s="197">
        <f t="shared" si="107"/>
        <v>0.44078779853508143</v>
      </c>
      <c r="BU189" s="197">
        <f t="shared" si="108"/>
        <v>0.39029539722485646</v>
      </c>
      <c r="BV189" s="197">
        <f t="shared" si="109"/>
        <v>0.97880919996866089</v>
      </c>
      <c r="BW189" s="194"/>
      <c r="BX189" s="194"/>
      <c r="BY189" s="194"/>
      <c r="BZ189" s="194"/>
      <c r="CA189" s="194"/>
      <c r="CB189" s="194"/>
      <c r="CC189" s="194"/>
      <c r="CD189" s="194"/>
      <c r="CE189" s="194"/>
      <c r="CF189" s="194"/>
      <c r="CG189" s="194"/>
      <c r="CH189" s="194"/>
      <c r="CI189" s="194"/>
      <c r="CJ189" s="194"/>
      <c r="CK189" s="194"/>
      <c r="CL189" s="194"/>
      <c r="CM189" s="194"/>
      <c r="CN189" s="194"/>
      <c r="CO189" s="194"/>
      <c r="CP189" s="194"/>
      <c r="CQ189" s="194"/>
      <c r="CR189" s="194"/>
      <c r="CS189" s="194"/>
      <c r="CT189" s="194"/>
      <c r="CU189" s="194"/>
      <c r="CV189" s="194"/>
      <c r="CW189" s="194"/>
      <c r="CX189" s="194"/>
      <c r="CY189" s="194"/>
      <c r="CZ189" s="194"/>
      <c r="DA189" s="194"/>
      <c r="DB189" s="194"/>
      <c r="DC189" s="194"/>
      <c r="DD189" s="194"/>
      <c r="DE189" s="194"/>
      <c r="DF189" s="194"/>
    </row>
    <row r="190" spans="2:110" s="192" customFormat="1" hidden="1" x14ac:dyDescent="0.35">
      <c r="B190" s="289"/>
      <c r="C190" s="289"/>
      <c r="Q190" s="193"/>
      <c r="R190" s="194">
        <f t="shared" si="110"/>
        <v>14.999999999999975</v>
      </c>
      <c r="S190" s="197">
        <f t="shared" si="76"/>
        <v>0.46666666666666745</v>
      </c>
      <c r="T190" s="194">
        <f t="shared" si="131"/>
        <v>0.69</v>
      </c>
      <c r="U190" s="194">
        <f t="shared" si="132"/>
        <v>1.4999999999999999E-4</v>
      </c>
      <c r="V190" s="197">
        <f t="shared" si="111"/>
        <v>0.46666666666666745</v>
      </c>
      <c r="W190" s="197">
        <f t="shared" si="77"/>
        <v>5.2266666666666763E-3</v>
      </c>
      <c r="X190" s="286">
        <f t="shared" si="78"/>
        <v>1</v>
      </c>
      <c r="Y190" s="286">
        <f t="shared" si="79"/>
        <v>0.31235281530880765</v>
      </c>
      <c r="Z190" s="286">
        <f t="shared" si="80"/>
        <v>0.59498908179051369</v>
      </c>
      <c r="AA190" s="286">
        <f t="shared" si="112"/>
        <v>0.31235281530880765</v>
      </c>
      <c r="AB190" s="197">
        <f t="shared" si="81"/>
        <v>0.43781491267709793</v>
      </c>
      <c r="AC190" s="287">
        <f t="shared" si="82"/>
        <v>8.0090465463796835E-7</v>
      </c>
      <c r="AD190" s="197">
        <f t="shared" si="113"/>
        <v>9.7276918809973552</v>
      </c>
      <c r="AE190" s="197">
        <f t="shared" si="114"/>
        <v>29.183075642992065</v>
      </c>
      <c r="AF190" s="197">
        <f t="shared" si="115"/>
        <v>8.5178571428571437E-2</v>
      </c>
      <c r="AG190" s="197">
        <f t="shared" si="116"/>
        <v>0.25553571428571431</v>
      </c>
      <c r="AH190" s="197">
        <f t="shared" si="83"/>
        <v>0.17438376980720088</v>
      </c>
      <c r="AI190" s="197">
        <f t="shared" si="117"/>
        <v>0.17438376980720088</v>
      </c>
      <c r="AJ190" s="218">
        <f t="shared" si="84"/>
        <v>390</v>
      </c>
      <c r="AK190" s="197">
        <f t="shared" si="118"/>
        <v>7.3246434890878481E-2</v>
      </c>
      <c r="AL190" s="197">
        <f t="shared" si="119"/>
        <v>0.11564922221659191</v>
      </c>
      <c r="AM190" s="197">
        <f t="shared" si="120"/>
        <v>4.9035270219834979E-3</v>
      </c>
      <c r="AN190" s="197">
        <f t="shared" si="85"/>
        <v>24.05</v>
      </c>
      <c r="AO190" s="197">
        <f t="shared" si="86"/>
        <v>21.69</v>
      </c>
      <c r="AP190" s="197">
        <f t="shared" si="121"/>
        <v>8.9069659074235488E-2</v>
      </c>
      <c r="AQ190" s="197">
        <f t="shared" si="122"/>
        <v>0.52500679758069835</v>
      </c>
      <c r="AR190" s="197">
        <f t="shared" si="123"/>
        <v>0.35062302777349752</v>
      </c>
      <c r="AS190" s="258">
        <f t="shared" si="124"/>
        <v>0.24630048045479855</v>
      </c>
      <c r="AT190" s="197">
        <f t="shared" si="87"/>
        <v>6.7943597872936366E-4</v>
      </c>
      <c r="AU190" s="194">
        <f t="shared" si="88"/>
        <v>21.19</v>
      </c>
      <c r="AV190" s="197">
        <f t="shared" si="89"/>
        <v>2.2499999999999964E-2</v>
      </c>
      <c r="AW190" s="197">
        <f t="shared" si="90"/>
        <v>3.4259999999999998E-3</v>
      </c>
      <c r="AX190" s="197">
        <f t="shared" si="125"/>
        <v>5.1389999999999915E-2</v>
      </c>
      <c r="AY190" s="197">
        <f t="shared" si="91"/>
        <v>2.8867475999999996E-3</v>
      </c>
      <c r="AZ190" s="197">
        <f t="shared" si="92"/>
        <v>0</v>
      </c>
      <c r="BA190" s="197">
        <f t="shared" si="126"/>
        <v>7.2596939999999999E-2</v>
      </c>
      <c r="BB190" s="258">
        <f t="shared" si="93"/>
        <v>0.44069948872234438</v>
      </c>
      <c r="BC190" s="197">
        <f t="shared" si="94"/>
        <v>3.249234338495071E-2</v>
      </c>
      <c r="BD190" s="197">
        <f t="shared" si="127"/>
        <v>6.4984686769901422E-3</v>
      </c>
      <c r="BE190" s="197">
        <f t="shared" si="128"/>
        <v>3.8990812061940855E-2</v>
      </c>
      <c r="BF190" s="197">
        <f t="shared" si="95"/>
        <v>0.20773291256157633</v>
      </c>
      <c r="BG190" s="197">
        <f t="shared" si="96"/>
        <v>9.8391136822274404E-4</v>
      </c>
      <c r="BH190" s="197">
        <f t="shared" si="97"/>
        <v>5.1302350019658494E-2</v>
      </c>
      <c r="BI190" s="197">
        <f t="shared" si="129"/>
        <v>0.48674276866436322</v>
      </c>
      <c r="BJ190" s="197">
        <f t="shared" si="98"/>
        <v>6.8090488031471219</v>
      </c>
      <c r="BK190" s="288">
        <f t="shared" si="99"/>
        <v>0.92851530621437284</v>
      </c>
      <c r="BL190" s="197">
        <f t="shared" si="100"/>
        <v>0.45393658687647553</v>
      </c>
      <c r="BM190" s="197">
        <f t="shared" si="101"/>
        <v>8.9749095052964856E-2</v>
      </c>
      <c r="BN190" s="197">
        <f t="shared" si="102"/>
        <v>55.384945703177891</v>
      </c>
      <c r="BO190" s="197">
        <f t="shared" si="130"/>
        <v>0.20871682392979907</v>
      </c>
      <c r="BP190" s="197">
        <f t="shared" si="103"/>
        <v>65.653761794734933</v>
      </c>
      <c r="BQ190" s="197">
        <f t="shared" si="104"/>
        <v>9.5096939999999963E-2</v>
      </c>
      <c r="BR190" s="288">
        <f t="shared" si="105"/>
        <v>0.19915238695377002</v>
      </c>
      <c r="BS190" s="197">
        <f t="shared" si="106"/>
        <v>0.17438376980720088</v>
      </c>
      <c r="BT190" s="197">
        <f t="shared" si="107"/>
        <v>0.43781491267709793</v>
      </c>
      <c r="BU190" s="197">
        <f t="shared" si="108"/>
        <v>0.38416035162863149</v>
      </c>
      <c r="BV190" s="197">
        <f t="shared" si="109"/>
        <v>0.96448844401199196</v>
      </c>
      <c r="BW190" s="194"/>
      <c r="BX190" s="194"/>
      <c r="BY190" s="194"/>
      <c r="BZ190" s="194"/>
      <c r="CA190" s="194"/>
      <c r="CB190" s="194"/>
      <c r="CC190" s="194"/>
      <c r="CD190" s="194"/>
      <c r="CE190" s="194"/>
      <c r="CF190" s="194"/>
      <c r="CG190" s="194"/>
      <c r="CH190" s="194"/>
      <c r="CI190" s="194"/>
      <c r="CJ190" s="194"/>
      <c r="CK190" s="194"/>
      <c r="CL190" s="194"/>
      <c r="CM190" s="194"/>
      <c r="CN190" s="194"/>
      <c r="CO190" s="194"/>
      <c r="CP190" s="194"/>
      <c r="CQ190" s="194"/>
      <c r="CR190" s="194"/>
      <c r="CS190" s="194"/>
      <c r="CT190" s="194"/>
      <c r="CU190" s="194"/>
      <c r="CV190" s="194"/>
      <c r="CW190" s="194"/>
      <c r="CX190" s="194"/>
      <c r="CY190" s="194"/>
      <c r="CZ190" s="194"/>
      <c r="DA190" s="194"/>
      <c r="DB190" s="194"/>
      <c r="DC190" s="194"/>
      <c r="DD190" s="194"/>
      <c r="DE190" s="194"/>
      <c r="DF190" s="194"/>
    </row>
    <row r="191" spans="2:110" s="192" customFormat="1" hidden="1" x14ac:dyDescent="0.35">
      <c r="B191" s="289"/>
      <c r="C191" s="289"/>
      <c r="Q191" s="193"/>
      <c r="R191" s="194">
        <f t="shared" si="110"/>
        <v>15.099999999999975</v>
      </c>
      <c r="S191" s="197">
        <f t="shared" si="76"/>
        <v>0.46357615894039805</v>
      </c>
      <c r="T191" s="194">
        <f t="shared" si="131"/>
        <v>0.69</v>
      </c>
      <c r="U191" s="194">
        <f t="shared" si="132"/>
        <v>1.4999999999999999E-4</v>
      </c>
      <c r="V191" s="197">
        <f t="shared" si="111"/>
        <v>0.46357615894039805</v>
      </c>
      <c r="W191" s="197">
        <f t="shared" si="77"/>
        <v>5.1920529801324587E-3</v>
      </c>
      <c r="X191" s="286">
        <f t="shared" si="78"/>
        <v>1</v>
      </c>
      <c r="Y191" s="286">
        <f t="shared" si="79"/>
        <v>0.30771535356336499</v>
      </c>
      <c r="Z191" s="286">
        <f t="shared" si="80"/>
        <v>0.59335603918607016</v>
      </c>
      <c r="AA191" s="286">
        <f t="shared" si="112"/>
        <v>0.30771535356336499</v>
      </c>
      <c r="AB191" s="197">
        <f t="shared" si="81"/>
        <v>0.4348820874012882</v>
      </c>
      <c r="AC191" s="287">
        <f t="shared" si="82"/>
        <v>7.890137270855513E-7</v>
      </c>
      <c r="AD191" s="197">
        <f t="shared" si="113"/>
        <v>9.7932949983719091</v>
      </c>
      <c r="AE191" s="197">
        <f t="shared" si="114"/>
        <v>29.379884995115731</v>
      </c>
      <c r="AF191" s="197">
        <f t="shared" si="115"/>
        <v>8.5178571428571423E-2</v>
      </c>
      <c r="AG191" s="197">
        <f t="shared" si="116"/>
        <v>0.25553571428571431</v>
      </c>
      <c r="AH191" s="197">
        <f t="shared" si="83"/>
        <v>0.17297011479348573</v>
      </c>
      <c r="AI191" s="197">
        <f t="shared" si="117"/>
        <v>0.17297011479348573</v>
      </c>
      <c r="AJ191" s="218">
        <f t="shared" si="84"/>
        <v>390</v>
      </c>
      <c r="AK191" s="197">
        <f t="shared" si="118"/>
        <v>7.2755773222235517E-2</v>
      </c>
      <c r="AL191" s="197">
        <f t="shared" si="119"/>
        <v>0.11487451365317046</v>
      </c>
      <c r="AM191" s="197">
        <f t="shared" si="120"/>
        <v>4.8706793788944281E-3</v>
      </c>
      <c r="AN191" s="197">
        <f t="shared" si="85"/>
        <v>24.05</v>
      </c>
      <c r="AO191" s="197">
        <f t="shared" si="86"/>
        <v>21.69</v>
      </c>
      <c r="AP191" s="197">
        <f t="shared" si="121"/>
        <v>8.8473001126146492E-2</v>
      </c>
      <c r="AQ191" s="197">
        <f t="shared" si="122"/>
        <v>0.52136714479803103</v>
      </c>
      <c r="AR191" s="197">
        <f t="shared" si="123"/>
        <v>0.34839703000454536</v>
      </c>
      <c r="AS191" s="258">
        <f t="shared" si="124"/>
        <v>0.242823141398992</v>
      </c>
      <c r="AT191" s="197">
        <f t="shared" si="87"/>
        <v>6.6038647358739857E-4</v>
      </c>
      <c r="AU191" s="194">
        <f t="shared" si="88"/>
        <v>21.19</v>
      </c>
      <c r="AV191" s="197">
        <f t="shared" si="89"/>
        <v>2.2649999999999962E-2</v>
      </c>
      <c r="AW191" s="197">
        <f t="shared" si="90"/>
        <v>3.4259999999999998E-3</v>
      </c>
      <c r="AX191" s="197">
        <f t="shared" si="125"/>
        <v>5.1732599999999913E-2</v>
      </c>
      <c r="AY191" s="197">
        <f t="shared" si="91"/>
        <v>2.8867475999999996E-3</v>
      </c>
      <c r="AZ191" s="197">
        <f t="shared" si="92"/>
        <v>0</v>
      </c>
      <c r="BA191" s="197">
        <f t="shared" si="126"/>
        <v>7.2596939999999999E-2</v>
      </c>
      <c r="BB191" s="258">
        <f t="shared" si="93"/>
        <v>0.43773925076481429</v>
      </c>
      <c r="BC191" s="197">
        <f t="shared" si="94"/>
        <v>3.2057298522741584E-2</v>
      </c>
      <c r="BD191" s="197">
        <f t="shared" si="127"/>
        <v>6.4114597045483168E-3</v>
      </c>
      <c r="BE191" s="197">
        <f t="shared" si="128"/>
        <v>3.8468758227289901E-2</v>
      </c>
      <c r="BF191" s="197">
        <f t="shared" si="95"/>
        <v>0.20773291256157636</v>
      </c>
      <c r="BG191" s="197">
        <f t="shared" si="96"/>
        <v>9.6930336372459962E-4</v>
      </c>
      <c r="BH191" s="197">
        <f t="shared" si="97"/>
        <v>5.0615455155508936E-2</v>
      </c>
      <c r="BI191" s="197">
        <f t="shared" si="129"/>
        <v>0.48505350450783358</v>
      </c>
      <c r="BJ191" s="197">
        <f t="shared" si="98"/>
        <v>6.8073595389905925</v>
      </c>
      <c r="BK191" s="288">
        <f t="shared" si="99"/>
        <v>0.92874571972736464</v>
      </c>
      <c r="BL191" s="197">
        <f t="shared" si="100"/>
        <v>0.45081851251593402</v>
      </c>
      <c r="BM191" s="197">
        <f t="shared" si="101"/>
        <v>8.9133387599733896E-2</v>
      </c>
      <c r="BN191" s="197">
        <f t="shared" si="102"/>
        <v>55.348003255984032</v>
      </c>
      <c r="BO191" s="197">
        <f t="shared" si="130"/>
        <v>0.20870221592530097</v>
      </c>
      <c r="BP191" s="197">
        <f t="shared" si="103"/>
        <v>65.652666194397568</v>
      </c>
      <c r="BQ191" s="197">
        <f t="shared" si="104"/>
        <v>9.5246939999999961E-2</v>
      </c>
      <c r="BR191" s="288">
        <f t="shared" si="105"/>
        <v>0.19887013032325387</v>
      </c>
      <c r="BS191" s="197">
        <f t="shared" si="106"/>
        <v>0.17297011479348573</v>
      </c>
      <c r="BT191" s="197">
        <f t="shared" si="107"/>
        <v>0.4348820874012882</v>
      </c>
      <c r="BU191" s="197">
        <f t="shared" si="108"/>
        <v>0.37792038980989778</v>
      </c>
      <c r="BV191" s="197">
        <f t="shared" si="109"/>
        <v>0.95016880915099289</v>
      </c>
      <c r="BW191" s="194"/>
      <c r="BX191" s="194"/>
      <c r="BY191" s="194"/>
      <c r="BZ191" s="194"/>
      <c r="CA191" s="194"/>
      <c r="CB191" s="194"/>
      <c r="CC191" s="194"/>
      <c r="CD191" s="194"/>
      <c r="CE191" s="194"/>
      <c r="CF191" s="194"/>
      <c r="CG191" s="194"/>
      <c r="CH191" s="194"/>
      <c r="CI191" s="194"/>
      <c r="CJ191" s="194"/>
      <c r="CK191" s="194"/>
      <c r="CL191" s="194"/>
      <c r="CM191" s="194"/>
      <c r="CN191" s="194"/>
      <c r="CO191" s="194"/>
      <c r="CP191" s="194"/>
      <c r="CQ191" s="194"/>
      <c r="CR191" s="194"/>
      <c r="CS191" s="194"/>
      <c r="CT191" s="194"/>
      <c r="CU191" s="194"/>
      <c r="CV191" s="194"/>
      <c r="CW191" s="194"/>
      <c r="CX191" s="194"/>
      <c r="CY191" s="194"/>
      <c r="CZ191" s="194"/>
      <c r="DA191" s="194"/>
      <c r="DB191" s="194"/>
      <c r="DC191" s="194"/>
      <c r="DD191" s="194"/>
      <c r="DE191" s="194"/>
      <c r="DF191" s="194"/>
    </row>
    <row r="192" spans="2:110" s="192" customFormat="1" hidden="1" x14ac:dyDescent="0.35">
      <c r="B192" s="289"/>
      <c r="C192" s="289"/>
      <c r="Q192" s="193"/>
      <c r="R192" s="194">
        <f t="shared" si="110"/>
        <v>15.199999999999974</v>
      </c>
      <c r="S192" s="197">
        <f t="shared" si="76"/>
        <v>0.46052631578947451</v>
      </c>
      <c r="T192" s="194">
        <f t="shared" si="131"/>
        <v>0.69</v>
      </c>
      <c r="U192" s="194">
        <f t="shared" si="132"/>
        <v>1.4999999999999999E-4</v>
      </c>
      <c r="V192" s="197">
        <f t="shared" si="111"/>
        <v>0.46052631578947451</v>
      </c>
      <c r="W192" s="197">
        <f t="shared" si="77"/>
        <v>5.1578947368421148E-3</v>
      </c>
      <c r="X192" s="286">
        <f t="shared" si="78"/>
        <v>1</v>
      </c>
      <c r="Y192" s="286">
        <f t="shared" si="79"/>
        <v>0.30307824772094133</v>
      </c>
      <c r="Z192" s="286">
        <f t="shared" si="80"/>
        <v>0.59173205856145339</v>
      </c>
      <c r="AA192" s="286">
        <f t="shared" si="112"/>
        <v>0.30307824772094133</v>
      </c>
      <c r="AB192" s="197">
        <f t="shared" si="81"/>
        <v>0.43198851396688281</v>
      </c>
      <c r="AC192" s="287">
        <f t="shared" si="82"/>
        <v>7.7712371210497775E-7</v>
      </c>
      <c r="AD192" s="197">
        <f t="shared" si="113"/>
        <v>9.8588930810208311</v>
      </c>
      <c r="AE192" s="197">
        <f t="shared" si="114"/>
        <v>29.576679243062493</v>
      </c>
      <c r="AF192" s="197">
        <f t="shared" si="115"/>
        <v>8.5178571428571437E-2</v>
      </c>
      <c r="AG192" s="197">
        <f t="shared" si="116"/>
        <v>0.25553571428571431</v>
      </c>
      <c r="AH192" s="197">
        <f t="shared" si="83"/>
        <v>0.1715210344865207</v>
      </c>
      <c r="AI192" s="197">
        <f t="shared" si="117"/>
        <v>0.1715210344865207</v>
      </c>
      <c r="AJ192" s="218">
        <f t="shared" si="84"/>
        <v>390.00000000000006</v>
      </c>
      <c r="AK192" s="197">
        <f t="shared" si="118"/>
        <v>7.2271678386659502E-2</v>
      </c>
      <c r="AL192" s="197">
        <f t="shared" si="119"/>
        <v>0.11411017350068603</v>
      </c>
      <c r="AM192" s="197">
        <f t="shared" si="120"/>
        <v>4.8382713564290884E-3</v>
      </c>
      <c r="AN192" s="197">
        <f t="shared" si="85"/>
        <v>24.05</v>
      </c>
      <c r="AO192" s="197">
        <f t="shared" si="86"/>
        <v>21.69</v>
      </c>
      <c r="AP192" s="197">
        <f t="shared" si="121"/>
        <v>8.7884328625859084E-2</v>
      </c>
      <c r="AQ192" s="197">
        <f t="shared" si="122"/>
        <v>0.51774903121014315</v>
      </c>
      <c r="AR192" s="197">
        <f t="shared" si="123"/>
        <v>0.34622799672362248</v>
      </c>
      <c r="AS192" s="258">
        <f t="shared" si="124"/>
        <v>0.23937773611281024</v>
      </c>
      <c r="AT192" s="197">
        <f t="shared" si="87"/>
        <v>6.4177904612073525E-4</v>
      </c>
      <c r="AU192" s="194">
        <f t="shared" si="88"/>
        <v>21.19</v>
      </c>
      <c r="AV192" s="197">
        <f t="shared" si="89"/>
        <v>2.2799999999999963E-2</v>
      </c>
      <c r="AW192" s="197">
        <f t="shared" si="90"/>
        <v>3.4260000000000002E-3</v>
      </c>
      <c r="AX192" s="197">
        <f t="shared" si="125"/>
        <v>5.2075199999999919E-2</v>
      </c>
      <c r="AY192" s="197">
        <f t="shared" si="91"/>
        <v>2.8867476000000005E-3</v>
      </c>
      <c r="AZ192" s="197">
        <f t="shared" si="92"/>
        <v>0</v>
      </c>
      <c r="BA192" s="197">
        <f t="shared" si="126"/>
        <v>7.2596940000000013E-2</v>
      </c>
      <c r="BB192" s="258">
        <f t="shared" si="93"/>
        <v>0.4348168560500611</v>
      </c>
      <c r="BC192" s="197">
        <f t="shared" si="94"/>
        <v>3.1630691326469923E-2</v>
      </c>
      <c r="BD192" s="197">
        <f t="shared" si="127"/>
        <v>6.3261382652939849E-3</v>
      </c>
      <c r="BE192" s="197">
        <f t="shared" si="128"/>
        <v>3.7956829591763906E-2</v>
      </c>
      <c r="BF192" s="197">
        <f t="shared" si="95"/>
        <v>0.20773291256157636</v>
      </c>
      <c r="BG192" s="197">
        <f t="shared" si="96"/>
        <v>9.5469648032096507E-4</v>
      </c>
      <c r="BH192" s="197">
        <f t="shared" si="97"/>
        <v>4.9941882571200635E-2</v>
      </c>
      <c r="BI192" s="197">
        <f t="shared" si="129"/>
        <v>0.48339611647684172</v>
      </c>
      <c r="BJ192" s="197">
        <f t="shared" si="98"/>
        <v>6.8057021509596005</v>
      </c>
      <c r="BK192" s="288">
        <f t="shared" si="99"/>
        <v>0.92897189654285961</v>
      </c>
      <c r="BL192" s="197">
        <f t="shared" si="100"/>
        <v>0.44774356256313236</v>
      </c>
      <c r="BM192" s="197">
        <f t="shared" si="101"/>
        <v>8.8526107671979826E-2</v>
      </c>
      <c r="BN192" s="197">
        <f t="shared" si="102"/>
        <v>55.311566460318787</v>
      </c>
      <c r="BO192" s="197">
        <f t="shared" si="130"/>
        <v>0.20868760904189732</v>
      </c>
      <c r="BP192" s="197">
        <f t="shared" si="103"/>
        <v>65.651570678142292</v>
      </c>
      <c r="BQ192" s="197">
        <f t="shared" si="104"/>
        <v>9.5396939999999972E-2</v>
      </c>
      <c r="BR192" s="288">
        <f t="shared" si="105"/>
        <v>0.19852499423129324</v>
      </c>
      <c r="BS192" s="197">
        <f t="shared" si="106"/>
        <v>0.1715210344865207</v>
      </c>
      <c r="BT192" s="197">
        <f t="shared" si="107"/>
        <v>0.43198851396688281</v>
      </c>
      <c r="BU192" s="197">
        <f t="shared" si="108"/>
        <v>0.37157934019801564</v>
      </c>
      <c r="BV192" s="197">
        <f t="shared" si="109"/>
        <v>0.93585027325351289</v>
      </c>
      <c r="BW192" s="194"/>
      <c r="BX192" s="194"/>
      <c r="BY192" s="194"/>
      <c r="BZ192" s="194"/>
      <c r="CA192" s="194"/>
      <c r="CB192" s="194"/>
      <c r="CC192" s="194"/>
      <c r="CD192" s="194"/>
      <c r="CE192" s="194"/>
      <c r="CF192" s="194"/>
      <c r="CG192" s="194"/>
      <c r="CH192" s="194"/>
      <c r="CI192" s="194"/>
      <c r="CJ192" s="194"/>
      <c r="CK192" s="194"/>
      <c r="CL192" s="194"/>
      <c r="CM192" s="194"/>
      <c r="CN192" s="194"/>
      <c r="CO192" s="194"/>
      <c r="CP192" s="194"/>
      <c r="CQ192" s="194"/>
      <c r="CR192" s="194"/>
      <c r="CS192" s="194"/>
      <c r="CT192" s="194"/>
      <c r="CU192" s="194"/>
      <c r="CV192" s="194"/>
      <c r="CW192" s="194"/>
      <c r="CX192" s="194"/>
      <c r="CY192" s="194"/>
      <c r="CZ192" s="194"/>
      <c r="DA192" s="194"/>
      <c r="DB192" s="194"/>
      <c r="DC192" s="194"/>
      <c r="DD192" s="194"/>
      <c r="DE192" s="194"/>
      <c r="DF192" s="194"/>
    </row>
    <row r="193" spans="2:110" s="192" customFormat="1" hidden="1" x14ac:dyDescent="0.35">
      <c r="B193" s="289"/>
      <c r="C193" s="289"/>
      <c r="Q193" s="193"/>
      <c r="R193" s="194">
        <f t="shared" si="110"/>
        <v>15.299999999999974</v>
      </c>
      <c r="S193" s="197">
        <f t="shared" si="76"/>
        <v>0.45751633986928175</v>
      </c>
      <c r="T193" s="194">
        <f t="shared" si="131"/>
        <v>0.69</v>
      </c>
      <c r="U193" s="194">
        <f t="shared" si="132"/>
        <v>1.4999999999999999E-4</v>
      </c>
      <c r="V193" s="197">
        <f t="shared" si="111"/>
        <v>0.45751633986928175</v>
      </c>
      <c r="W193" s="197">
        <f t="shared" si="77"/>
        <v>5.1241830065359567E-3</v>
      </c>
      <c r="X193" s="286">
        <f t="shared" si="78"/>
        <v>1</v>
      </c>
      <c r="Y193" s="286">
        <f t="shared" si="79"/>
        <v>0.29844149080139704</v>
      </c>
      <c r="Z193" s="286">
        <f t="shared" si="80"/>
        <v>0.5901170623352926</v>
      </c>
      <c r="AA193" s="286">
        <f t="shared" si="112"/>
        <v>0.29844149080139704</v>
      </c>
      <c r="AB193" s="197">
        <f t="shared" si="81"/>
        <v>0.42913340536932953</v>
      </c>
      <c r="AC193" s="287">
        <f t="shared" si="82"/>
        <v>7.6523459179845392E-7</v>
      </c>
      <c r="AD193" s="197">
        <f t="shared" si="113"/>
        <v>9.9244862276875541</v>
      </c>
      <c r="AE193" s="197">
        <f t="shared" si="114"/>
        <v>29.77345868306266</v>
      </c>
      <c r="AF193" s="197">
        <f t="shared" si="115"/>
        <v>8.5178571428571423E-2</v>
      </c>
      <c r="AG193" s="197">
        <f t="shared" si="116"/>
        <v>0.25553571428571425</v>
      </c>
      <c r="AH193" s="197">
        <f t="shared" si="83"/>
        <v>0.17003654203117152</v>
      </c>
      <c r="AI193" s="197">
        <f t="shared" si="117"/>
        <v>0.17003654203117152</v>
      </c>
      <c r="AJ193" s="218">
        <f t="shared" si="84"/>
        <v>390.00000000000011</v>
      </c>
      <c r="AK193" s="197">
        <f t="shared" si="118"/>
        <v>7.1794018718288832E-2</v>
      </c>
      <c r="AL193" s="197">
        <f t="shared" si="119"/>
        <v>0.11335599387114365</v>
      </c>
      <c r="AM193" s="197">
        <f t="shared" si="120"/>
        <v>4.8062941401364918E-3</v>
      </c>
      <c r="AN193" s="197">
        <f t="shared" si="85"/>
        <v>24.05</v>
      </c>
      <c r="AO193" s="197">
        <f t="shared" si="86"/>
        <v>21.69</v>
      </c>
      <c r="AP193" s="197">
        <f t="shared" si="121"/>
        <v>8.7303481464100705E-2</v>
      </c>
      <c r="AQ193" s="197">
        <f t="shared" si="122"/>
        <v>0.51415167638491532</v>
      </c>
      <c r="AR193" s="197">
        <f t="shared" si="123"/>
        <v>0.34411513435374375</v>
      </c>
      <c r="AS193" s="258">
        <f t="shared" si="124"/>
        <v>0.23596332657731875</v>
      </c>
      <c r="AT193" s="197">
        <f t="shared" si="87"/>
        <v>6.2360134468166515E-4</v>
      </c>
      <c r="AU193" s="194">
        <f t="shared" si="88"/>
        <v>21.19</v>
      </c>
      <c r="AV193" s="197">
        <f t="shared" si="89"/>
        <v>2.294999999999996E-2</v>
      </c>
      <c r="AW193" s="197">
        <f t="shared" si="90"/>
        <v>3.4260000000000007E-3</v>
      </c>
      <c r="AX193" s="197">
        <f t="shared" si="125"/>
        <v>5.2417799999999924E-2</v>
      </c>
      <c r="AY193" s="197">
        <f t="shared" si="91"/>
        <v>2.8867476000000009E-3</v>
      </c>
      <c r="AZ193" s="197">
        <f t="shared" si="92"/>
        <v>0</v>
      </c>
      <c r="BA193" s="197">
        <f t="shared" si="126"/>
        <v>7.2596940000000013E-2</v>
      </c>
      <c r="BB193" s="258">
        <f t="shared" si="93"/>
        <v>0.43193153208122831</v>
      </c>
      <c r="BC193" s="197">
        <f t="shared" si="94"/>
        <v>3.1212299138330016E-2</v>
      </c>
      <c r="BD193" s="197">
        <f t="shared" si="127"/>
        <v>6.242459827666004E-3</v>
      </c>
      <c r="BE193" s="197">
        <f t="shared" si="128"/>
        <v>3.7454758965996024E-2</v>
      </c>
      <c r="BF193" s="197">
        <f t="shared" si="95"/>
        <v>0.20773291256157631</v>
      </c>
      <c r="BG193" s="197">
        <f t="shared" si="96"/>
        <v>9.4009069602440064E-4</v>
      </c>
      <c r="BH193" s="197">
        <f t="shared" si="97"/>
        <v>4.9281280711028684E-2</v>
      </c>
      <c r="BI193" s="197">
        <f t="shared" si="129"/>
        <v>0.48176981334340774</v>
      </c>
      <c r="BJ193" s="197">
        <f t="shared" si="98"/>
        <v>6.8040758478261667</v>
      </c>
      <c r="BK193" s="288">
        <f t="shared" si="99"/>
        <v>0.92919393843951226</v>
      </c>
      <c r="BL193" s="197">
        <f t="shared" si="100"/>
        <v>0.44471083972720121</v>
      </c>
      <c r="BM193" s="197">
        <f t="shared" si="101"/>
        <v>8.7927082808782364E-2</v>
      </c>
      <c r="BN193" s="197">
        <f t="shared" si="102"/>
        <v>55.275624968526941</v>
      </c>
      <c r="BO193" s="197">
        <f t="shared" si="130"/>
        <v>0.20867300325760071</v>
      </c>
      <c r="BP193" s="197">
        <f t="shared" si="103"/>
        <v>65.650475244320049</v>
      </c>
      <c r="BQ193" s="197">
        <f t="shared" si="104"/>
        <v>9.5546939999999969E-2</v>
      </c>
      <c r="BR193" s="288">
        <f t="shared" si="105"/>
        <v>0.19811618007788417</v>
      </c>
      <c r="BS193" s="197">
        <f t="shared" si="106"/>
        <v>0.17003654203117152</v>
      </c>
      <c r="BT193" s="197">
        <f t="shared" si="107"/>
        <v>0.42913340536932953</v>
      </c>
      <c r="BU193" s="197">
        <f t="shared" si="108"/>
        <v>0.36514112215578221</v>
      </c>
      <c r="BV193" s="197">
        <f t="shared" si="109"/>
        <v>0.92153281476615501</v>
      </c>
      <c r="BW193" s="194"/>
      <c r="BX193" s="194"/>
      <c r="BY193" s="194"/>
      <c r="BZ193" s="194"/>
      <c r="CA193" s="194"/>
      <c r="CB193" s="194"/>
      <c r="CC193" s="194"/>
      <c r="CD193" s="194"/>
      <c r="CE193" s="194"/>
      <c r="CF193" s="194"/>
      <c r="CG193" s="194"/>
      <c r="CH193" s="194"/>
      <c r="CI193" s="194"/>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row>
    <row r="194" spans="2:110" s="192" customFormat="1" hidden="1" x14ac:dyDescent="0.35">
      <c r="B194" s="289"/>
      <c r="C194" s="289"/>
      <c r="Q194" s="193"/>
      <c r="R194" s="194">
        <f t="shared" si="110"/>
        <v>15.399999999999974</v>
      </c>
      <c r="S194" s="197">
        <f t="shared" si="76"/>
        <v>0.45454545454545531</v>
      </c>
      <c r="T194" s="194">
        <f t="shared" si="131"/>
        <v>0.69</v>
      </c>
      <c r="U194" s="194">
        <f t="shared" si="132"/>
        <v>1.4999999999999999E-4</v>
      </c>
      <c r="V194" s="197">
        <f t="shared" si="111"/>
        <v>0.45454545454545531</v>
      </c>
      <c r="W194" s="197">
        <f t="shared" si="77"/>
        <v>5.0909090909090999E-3</v>
      </c>
      <c r="X194" s="286">
        <f t="shared" si="78"/>
        <v>1</v>
      </c>
      <c r="Y194" s="286">
        <f t="shared" si="79"/>
        <v>0.29380507600593747</v>
      </c>
      <c r="Z194" s="286">
        <f t="shared" si="80"/>
        <v>0.58851097386887175</v>
      </c>
      <c r="AA194" s="286">
        <f t="shared" si="112"/>
        <v>0.29380507600593747</v>
      </c>
      <c r="AB194" s="197">
        <f t="shared" si="81"/>
        <v>0.4263159956113729</v>
      </c>
      <c r="AC194" s="287">
        <f t="shared" si="82"/>
        <v>7.5334634873317302E-7</v>
      </c>
      <c r="AD194" s="197">
        <f t="shared" si="113"/>
        <v>9.9900745345501534</v>
      </c>
      <c r="AE194" s="197">
        <f t="shared" si="114"/>
        <v>29.970223603650464</v>
      </c>
      <c r="AF194" s="197">
        <f t="shared" si="115"/>
        <v>8.5178571428571423E-2</v>
      </c>
      <c r="AG194" s="197">
        <f t="shared" si="116"/>
        <v>0.25553571428571431</v>
      </c>
      <c r="AH194" s="197">
        <f t="shared" si="83"/>
        <v>0.16851665022164222</v>
      </c>
      <c r="AI194" s="197">
        <f t="shared" si="117"/>
        <v>0.16851665022164222</v>
      </c>
      <c r="AJ194" s="218">
        <f t="shared" si="84"/>
        <v>390.00000000000006</v>
      </c>
      <c r="AK194" s="197">
        <f t="shared" si="118"/>
        <v>7.1322666065782692E-2</v>
      </c>
      <c r="AL194" s="197">
        <f t="shared" si="119"/>
        <v>0.11261177242564567</v>
      </c>
      <c r="AM194" s="197">
        <f t="shared" si="120"/>
        <v>4.7747391508473772E-3</v>
      </c>
      <c r="AN194" s="197">
        <f t="shared" si="85"/>
        <v>24.05</v>
      </c>
      <c r="AO194" s="197">
        <f t="shared" si="86"/>
        <v>21.69</v>
      </c>
      <c r="AP194" s="197">
        <f t="shared" si="121"/>
        <v>8.6730303805351766E-2</v>
      </c>
      <c r="AQ194" s="197">
        <f t="shared" si="122"/>
        <v>0.510574320722194</v>
      </c>
      <c r="AR194" s="197">
        <f t="shared" si="123"/>
        <v>0.3420576705005518</v>
      </c>
      <c r="AS194" s="258">
        <f t="shared" si="124"/>
        <v>0.23257898929021606</v>
      </c>
      <c r="AT194" s="197">
        <f t="shared" si="87"/>
        <v>6.0584144610369454E-4</v>
      </c>
      <c r="AU194" s="194">
        <f t="shared" si="88"/>
        <v>21.19</v>
      </c>
      <c r="AV194" s="197">
        <f t="shared" si="89"/>
        <v>2.3099999999999961E-2</v>
      </c>
      <c r="AW194" s="197">
        <f t="shared" si="90"/>
        <v>3.4260000000000002E-3</v>
      </c>
      <c r="AX194" s="197">
        <f t="shared" si="125"/>
        <v>5.2760399999999916E-2</v>
      </c>
      <c r="AY194" s="197">
        <f t="shared" si="91"/>
        <v>2.8867476000000005E-3</v>
      </c>
      <c r="AZ194" s="197">
        <f t="shared" si="92"/>
        <v>0</v>
      </c>
      <c r="BA194" s="197">
        <f t="shared" si="126"/>
        <v>7.2596940000000013E-2</v>
      </c>
      <c r="BB194" s="258">
        <f t="shared" si="93"/>
        <v>0.42908252884995957</v>
      </c>
      <c r="BC194" s="197">
        <f t="shared" si="94"/>
        <v>3.080190691120344E-2</v>
      </c>
      <c r="BD194" s="197">
        <f t="shared" si="127"/>
        <v>6.1603813822406882E-3</v>
      </c>
      <c r="BE194" s="197">
        <f t="shared" si="128"/>
        <v>3.6962288293444126E-2</v>
      </c>
      <c r="BF194" s="197">
        <f t="shared" si="95"/>
        <v>0.20773291256157633</v>
      </c>
      <c r="BG194" s="197">
        <f t="shared" si="96"/>
        <v>9.2548598941870298E-4</v>
      </c>
      <c r="BH194" s="197">
        <f t="shared" si="97"/>
        <v>4.8633310035846596E-2</v>
      </c>
      <c r="BI194" s="197">
        <f t="shared" si="129"/>
        <v>0.48017382973174122</v>
      </c>
      <c r="BJ194" s="197">
        <f t="shared" si="98"/>
        <v>6.8024798642144999</v>
      </c>
      <c r="BK194" s="288">
        <f t="shared" si="99"/>
        <v>0.92941194397975813</v>
      </c>
      <c r="BL194" s="197">
        <f t="shared" si="100"/>
        <v>0.44171947170224102</v>
      </c>
      <c r="BM194" s="197">
        <f t="shared" si="101"/>
        <v>8.7336145251455458E-2</v>
      </c>
      <c r="BN194" s="197">
        <f t="shared" si="102"/>
        <v>55.240168715087329</v>
      </c>
      <c r="BO194" s="197">
        <f t="shared" si="130"/>
        <v>0.20865839855099502</v>
      </c>
      <c r="BP194" s="197">
        <f t="shared" si="103"/>
        <v>65.649379891324628</v>
      </c>
      <c r="BQ194" s="197">
        <f t="shared" si="104"/>
        <v>9.569693999999998E-2</v>
      </c>
      <c r="BR194" s="288">
        <f t="shared" si="105"/>
        <v>0.19764288926102247</v>
      </c>
      <c r="BS194" s="197">
        <f t="shared" si="106"/>
        <v>0.16851665022164222</v>
      </c>
      <c r="BT194" s="197">
        <f t="shared" si="107"/>
        <v>0.4263159956113729</v>
      </c>
      <c r="BU194" s="197">
        <f t="shared" si="108"/>
        <v>0.3586097459803112</v>
      </c>
      <c r="BV194" s="197">
        <f t="shared" si="109"/>
        <v>0.90721641269548425</v>
      </c>
      <c r="BW194" s="194"/>
      <c r="BX194" s="194"/>
      <c r="BY194" s="194"/>
      <c r="BZ194" s="194"/>
      <c r="CA194" s="194"/>
      <c r="CB194" s="194"/>
      <c r="CC194" s="194"/>
      <c r="CD194" s="194"/>
      <c r="CE194" s="194"/>
      <c r="CF194" s="194"/>
      <c r="CG194" s="194"/>
      <c r="CH194" s="194"/>
      <c r="CI194" s="194"/>
      <c r="CJ194" s="194"/>
      <c r="CK194" s="194"/>
      <c r="CL194" s="194"/>
      <c r="CM194" s="194"/>
      <c r="CN194" s="194"/>
      <c r="CO194" s="194"/>
      <c r="CP194" s="194"/>
      <c r="CQ194" s="194"/>
      <c r="CR194" s="194"/>
      <c r="CS194" s="194"/>
      <c r="CT194" s="194"/>
      <c r="CU194" s="194"/>
      <c r="CV194" s="194"/>
      <c r="CW194" s="194"/>
      <c r="CX194" s="194"/>
      <c r="CY194" s="194"/>
      <c r="CZ194" s="194"/>
      <c r="DA194" s="194"/>
      <c r="DB194" s="194"/>
      <c r="DC194" s="194"/>
      <c r="DD194" s="194"/>
      <c r="DE194" s="194"/>
      <c r="DF194" s="194"/>
    </row>
    <row r="195" spans="2:110" s="192" customFormat="1" hidden="1" x14ac:dyDescent="0.35">
      <c r="B195" s="289"/>
      <c r="C195" s="289"/>
      <c r="Q195" s="193"/>
      <c r="R195" s="194">
        <f t="shared" si="110"/>
        <v>15.499999999999973</v>
      </c>
      <c r="S195" s="197">
        <f t="shared" si="76"/>
        <v>0.45161290322580722</v>
      </c>
      <c r="T195" s="194">
        <f t="shared" si="131"/>
        <v>0.69</v>
      </c>
      <c r="U195" s="194">
        <f t="shared" si="132"/>
        <v>1.4999999999999999E-4</v>
      </c>
      <c r="V195" s="197">
        <f t="shared" si="111"/>
        <v>0.45161290322580722</v>
      </c>
      <c r="W195" s="197">
        <f t="shared" si="77"/>
        <v>5.0580645161290416E-3</v>
      </c>
      <c r="X195" s="286">
        <f t="shared" si="78"/>
        <v>1</v>
      </c>
      <c r="Y195" s="286">
        <f t="shared" si="79"/>
        <v>0.28916899671126151</v>
      </c>
      <c r="Z195" s="286">
        <f t="shared" si="80"/>
        <v>0.5869137174500455</v>
      </c>
      <c r="AA195" s="286">
        <f t="shared" si="112"/>
        <v>0.28916899671126151</v>
      </c>
      <c r="AB195" s="197">
        <f t="shared" si="81"/>
        <v>0.4235355390034044</v>
      </c>
      <c r="AC195" s="287">
        <f t="shared" si="82"/>
        <v>7.4145896592631155E-7</v>
      </c>
      <c r="AD195" s="197">
        <f t="shared" si="113"/>
        <v>10.055658095304105</v>
      </c>
      <c r="AE195" s="197">
        <f t="shared" si="114"/>
        <v>30.166974285912318</v>
      </c>
      <c r="AF195" s="197">
        <f t="shared" si="115"/>
        <v>8.5178571428571423E-2</v>
      </c>
      <c r="AG195" s="197">
        <f t="shared" si="116"/>
        <v>0.25553571428571431</v>
      </c>
      <c r="AH195" s="197">
        <f t="shared" si="83"/>
        <v>0.16696137151314527</v>
      </c>
      <c r="AI195" s="197">
        <f t="shared" si="117"/>
        <v>0.16696137151314527</v>
      </c>
      <c r="AJ195" s="218">
        <f t="shared" si="84"/>
        <v>389.99999999999994</v>
      </c>
      <c r="AK195" s="197">
        <f t="shared" si="118"/>
        <v>7.0857495675269555E-2</v>
      </c>
      <c r="AL195" s="197">
        <f t="shared" si="119"/>
        <v>0.11187731218957853</v>
      </c>
      <c r="AM195" s="197">
        <f t="shared" si="120"/>
        <v>4.7435980368381297E-3</v>
      </c>
      <c r="AN195" s="197">
        <f t="shared" si="85"/>
        <v>24.05</v>
      </c>
      <c r="AO195" s="197">
        <f t="shared" si="86"/>
        <v>21.69</v>
      </c>
      <c r="AP195" s="197">
        <f t="shared" si="121"/>
        <v>8.6164643945507935E-2</v>
      </c>
      <c r="AQ195" s="197">
        <f t="shared" si="122"/>
        <v>0.50701622475997699</v>
      </c>
      <c r="AR195" s="197">
        <f t="shared" si="123"/>
        <v>0.34005485324683177</v>
      </c>
      <c r="AS195" s="258">
        <f t="shared" si="124"/>
        <v>0.22922381413257797</v>
      </c>
      <c r="AT195" s="197">
        <f t="shared" si="87"/>
        <v>5.8848783801345058E-4</v>
      </c>
      <c r="AU195" s="194">
        <f t="shared" si="88"/>
        <v>21.19</v>
      </c>
      <c r="AV195" s="197">
        <f t="shared" si="89"/>
        <v>2.3249999999999962E-2</v>
      </c>
      <c r="AW195" s="197">
        <f t="shared" si="90"/>
        <v>3.4259999999999994E-3</v>
      </c>
      <c r="AX195" s="197">
        <f t="shared" si="125"/>
        <v>5.31029999999999E-2</v>
      </c>
      <c r="AY195" s="197">
        <f t="shared" si="91"/>
        <v>2.8867475999999992E-3</v>
      </c>
      <c r="AZ195" s="197">
        <f t="shared" si="92"/>
        <v>0</v>
      </c>
      <c r="BA195" s="197">
        <f t="shared" si="126"/>
        <v>7.2596939999999985E-2</v>
      </c>
      <c r="BB195" s="258">
        <f t="shared" si="93"/>
        <v>0.42626911816015178</v>
      </c>
      <c r="BC195" s="197">
        <f t="shared" si="94"/>
        <v>3.0399306911533697E-2</v>
      </c>
      <c r="BD195" s="197">
        <f t="shared" si="127"/>
        <v>6.0798613823067399E-3</v>
      </c>
      <c r="BE195" s="197">
        <f t="shared" si="128"/>
        <v>3.6479168293840437E-2</v>
      </c>
      <c r="BF195" s="197">
        <f t="shared" si="95"/>
        <v>0.20773291256157633</v>
      </c>
      <c r="BG195" s="197">
        <f t="shared" si="96"/>
        <v>9.1088233964047363E-4</v>
      </c>
      <c r="BH195" s="197">
        <f t="shared" si="97"/>
        <v>4.7997642553933365E-2</v>
      </c>
      <c r="BI195" s="197">
        <f t="shared" si="129"/>
        <v>0.47860742513251192</v>
      </c>
      <c r="BJ195" s="197">
        <f t="shared" si="98"/>
        <v>6.8009134596152707</v>
      </c>
      <c r="BK195" s="288">
        <f t="shared" si="99"/>
        <v>0.92962600862743716</v>
      </c>
      <c r="BL195" s="197">
        <f t="shared" si="100"/>
        <v>0.43876861029776015</v>
      </c>
      <c r="BM195" s="197">
        <f t="shared" si="101"/>
        <v>8.6753131783521384E-2</v>
      </c>
      <c r="BN195" s="197">
        <f t="shared" si="102"/>
        <v>55.205187907011286</v>
      </c>
      <c r="BO195" s="197">
        <f t="shared" si="130"/>
        <v>0.20864379490121682</v>
      </c>
      <c r="BP195" s="197">
        <f t="shared" si="103"/>
        <v>65.648284617591258</v>
      </c>
      <c r="BQ195" s="197">
        <f t="shared" si="104"/>
        <v>9.584693999999995E-2</v>
      </c>
      <c r="BR195" s="288">
        <f t="shared" si="105"/>
        <v>0.1971043231767656</v>
      </c>
      <c r="BS195" s="197">
        <f t="shared" si="106"/>
        <v>0.16696137151314527</v>
      </c>
      <c r="BT195" s="197">
        <f t="shared" si="107"/>
        <v>0.4235355390034044</v>
      </c>
      <c r="BU195" s="197">
        <f t="shared" si="108"/>
        <v>0.35198931290387769</v>
      </c>
      <c r="BV195" s="197">
        <f t="shared" si="109"/>
        <v>0.89290104658995539</v>
      </c>
      <c r="BW195" s="194"/>
      <c r="BX195" s="194"/>
      <c r="BY195" s="194"/>
      <c r="BZ195" s="194"/>
      <c r="CA195" s="194"/>
      <c r="CB195" s="194"/>
      <c r="CC195" s="194"/>
      <c r="CD195" s="194"/>
      <c r="CE195" s="194"/>
      <c r="CF195" s="194"/>
      <c r="CG195" s="194"/>
      <c r="CH195" s="194"/>
      <c r="CI195" s="194"/>
      <c r="CJ195" s="194"/>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row>
    <row r="196" spans="2:110" s="192" customFormat="1" hidden="1" x14ac:dyDescent="0.35">
      <c r="B196" s="289"/>
      <c r="C196" s="289"/>
      <c r="Q196" s="193"/>
      <c r="R196" s="194">
        <f t="shared" si="110"/>
        <v>15.599999999999973</v>
      </c>
      <c r="S196" s="197">
        <f t="shared" si="76"/>
        <v>0.44871794871794946</v>
      </c>
      <c r="T196" s="194">
        <f t="shared" si="131"/>
        <v>0.69</v>
      </c>
      <c r="U196" s="194">
        <f t="shared" si="132"/>
        <v>1.4999999999999999E-4</v>
      </c>
      <c r="V196" s="197">
        <f t="shared" si="111"/>
        <v>0.44871794871794946</v>
      </c>
      <c r="W196" s="197">
        <f t="shared" si="77"/>
        <v>5.0256410256410344E-3</v>
      </c>
      <c r="X196" s="286">
        <f t="shared" si="78"/>
        <v>1</v>
      </c>
      <c r="Y196" s="286">
        <f t="shared" si="79"/>
        <v>0.2845332464639358</v>
      </c>
      <c r="Z196" s="286">
        <f t="shared" si="80"/>
        <v>0.58532521827754347</v>
      </c>
      <c r="AA196" s="286">
        <f t="shared" si="112"/>
        <v>0.2845332464639358</v>
      </c>
      <c r="AB196" s="197">
        <f t="shared" si="81"/>
        <v>0.42079130949171506</v>
      </c>
      <c r="AC196" s="287">
        <f t="shared" si="82"/>
        <v>7.2957242683060464E-7</v>
      </c>
      <c r="AD196" s="197">
        <f t="shared" si="113"/>
        <v>10.121237001241884</v>
      </c>
      <c r="AE196" s="197">
        <f t="shared" si="114"/>
        <v>30.363711003725648</v>
      </c>
      <c r="AF196" s="197">
        <f t="shared" si="115"/>
        <v>8.5178571428571437E-2</v>
      </c>
      <c r="AG196" s="197">
        <f t="shared" si="116"/>
        <v>0.25553571428571425</v>
      </c>
      <c r="AH196" s="197">
        <f t="shared" si="83"/>
        <v>0.16537071803310763</v>
      </c>
      <c r="AI196" s="197">
        <f t="shared" si="117"/>
        <v>0.16537071803310763</v>
      </c>
      <c r="AJ196" s="218">
        <f t="shared" si="84"/>
        <v>389.99999999999994</v>
      </c>
      <c r="AK196" s="197">
        <f t="shared" si="118"/>
        <v>7.0398386077963934E-2</v>
      </c>
      <c r="AL196" s="197">
        <f t="shared" si="119"/>
        <v>0.11115242137517002</v>
      </c>
      <c r="AM196" s="197">
        <f t="shared" si="120"/>
        <v>4.712862666307209E-3</v>
      </c>
      <c r="AN196" s="197">
        <f t="shared" si="85"/>
        <v>24.05</v>
      </c>
      <c r="AO196" s="197">
        <f t="shared" si="86"/>
        <v>21.69</v>
      </c>
      <c r="AP196" s="197">
        <f t="shared" si="121"/>
        <v>8.5606354175218863E-2</v>
      </c>
      <c r="AQ196" s="197">
        <f t="shared" si="122"/>
        <v>0.50347666850826889</v>
      </c>
      <c r="AR196" s="197">
        <f t="shared" si="123"/>
        <v>0.33810595047516123</v>
      </c>
      <c r="AS196" s="258">
        <f t="shared" si="124"/>
        <v>0.22589690323155029</v>
      </c>
      <c r="AT196" s="197">
        <f t="shared" si="87"/>
        <v>5.7152940196356929E-4</v>
      </c>
      <c r="AU196" s="194">
        <f t="shared" si="88"/>
        <v>21.19</v>
      </c>
      <c r="AV196" s="197">
        <f t="shared" si="89"/>
        <v>2.3399999999999959E-2</v>
      </c>
      <c r="AW196" s="197">
        <f t="shared" si="90"/>
        <v>3.4259999999999994E-3</v>
      </c>
      <c r="AX196" s="197">
        <f t="shared" si="125"/>
        <v>5.3445599999999899E-2</v>
      </c>
      <c r="AY196" s="197">
        <f t="shared" si="91"/>
        <v>2.8867475999999992E-3</v>
      </c>
      <c r="AZ196" s="197">
        <f t="shared" si="92"/>
        <v>0</v>
      </c>
      <c r="BA196" s="197">
        <f t="shared" si="126"/>
        <v>7.2596939999999985E-2</v>
      </c>
      <c r="BB196" s="258">
        <f t="shared" si="93"/>
        <v>0.42349059297972347</v>
      </c>
      <c r="BC196" s="197">
        <f t="shared" si="94"/>
        <v>3.000429843586977E-2</v>
      </c>
      <c r="BD196" s="197">
        <f t="shared" si="127"/>
        <v>6.0008596871739539E-3</v>
      </c>
      <c r="BE196" s="197">
        <f t="shared" si="128"/>
        <v>3.6005158123043723E-2</v>
      </c>
      <c r="BF196" s="197">
        <f t="shared" si="95"/>
        <v>0.20773291256157633</v>
      </c>
      <c r="BG196" s="197">
        <f t="shared" si="96"/>
        <v>8.9627972636139772E-4</v>
      </c>
      <c r="BH196" s="197">
        <f t="shared" si="97"/>
        <v>4.7373961373442436E-2</v>
      </c>
      <c r="BI196" s="197">
        <f t="shared" si="129"/>
        <v>0.47706988296160624</v>
      </c>
      <c r="BJ196" s="197">
        <f t="shared" si="98"/>
        <v>6.7993759174443653</v>
      </c>
      <c r="BK196" s="288">
        <f t="shared" si="99"/>
        <v>0.92983622486033701</v>
      </c>
      <c r="BL196" s="197">
        <f t="shared" si="100"/>
        <v>0.43585743060540877</v>
      </c>
      <c r="BM196" s="197">
        <f t="shared" si="101"/>
        <v>8.6177883577182438E-2</v>
      </c>
      <c r="BN196" s="197">
        <f t="shared" si="102"/>
        <v>55.17067301463095</v>
      </c>
      <c r="BO196" s="197">
        <f t="shared" si="130"/>
        <v>0.20862919228793772</v>
      </c>
      <c r="BP196" s="197">
        <f t="shared" si="103"/>
        <v>65.647189421595328</v>
      </c>
      <c r="BQ196" s="197">
        <f t="shared" si="104"/>
        <v>9.5996939999999947E-2</v>
      </c>
      <c r="BR196" s="288">
        <f t="shared" si="105"/>
        <v>0.19649968321929376</v>
      </c>
      <c r="BS196" s="197">
        <f t="shared" si="106"/>
        <v>0.16537071803310763</v>
      </c>
      <c r="BT196" s="197">
        <f t="shared" si="107"/>
        <v>0.42079130949171506</v>
      </c>
      <c r="BU196" s="197">
        <f t="shared" si="108"/>
        <v>0.34528401509473189</v>
      </c>
      <c r="BV196" s="197">
        <f t="shared" si="109"/>
        <v>0.8785866965225454</v>
      </c>
      <c r="BW196" s="194"/>
      <c r="BX196" s="194"/>
      <c r="BY196" s="194"/>
      <c r="BZ196" s="194"/>
      <c r="CA196" s="194"/>
      <c r="CB196" s="194"/>
      <c r="CC196" s="194"/>
      <c r="CD196" s="194"/>
      <c r="CE196" s="194"/>
      <c r="CF196" s="194"/>
      <c r="CG196" s="194"/>
      <c r="CH196" s="194"/>
      <c r="CI196" s="194"/>
      <c r="CJ196" s="194"/>
      <c r="CK196" s="194"/>
      <c r="CL196" s="194"/>
      <c r="CM196" s="194"/>
      <c r="CN196" s="194"/>
      <c r="CO196" s="194"/>
      <c r="CP196" s="194"/>
      <c r="CQ196" s="194"/>
      <c r="CR196" s="194"/>
      <c r="CS196" s="194"/>
      <c r="CT196" s="194"/>
      <c r="CU196" s="194"/>
      <c r="CV196" s="194"/>
      <c r="CW196" s="194"/>
      <c r="CX196" s="194"/>
      <c r="CY196" s="194"/>
      <c r="CZ196" s="194"/>
      <c r="DA196" s="194"/>
      <c r="DB196" s="194"/>
      <c r="DC196" s="194"/>
      <c r="DD196" s="194"/>
      <c r="DE196" s="194"/>
      <c r="DF196" s="194"/>
    </row>
    <row r="197" spans="2:110" s="192" customFormat="1" hidden="1" x14ac:dyDescent="0.35">
      <c r="B197" s="289"/>
      <c r="C197" s="289"/>
      <c r="Q197" s="193"/>
      <c r="R197" s="194">
        <f t="shared" si="110"/>
        <v>15.699999999999973</v>
      </c>
      <c r="S197" s="197">
        <f t="shared" si="76"/>
        <v>0.4458598726114657</v>
      </c>
      <c r="T197" s="194">
        <f t="shared" si="131"/>
        <v>0.69</v>
      </c>
      <c r="U197" s="194">
        <f t="shared" si="132"/>
        <v>1.4999999999999999E-4</v>
      </c>
      <c r="V197" s="197">
        <f t="shared" si="111"/>
        <v>0.4458598726114657</v>
      </c>
      <c r="W197" s="197">
        <f t="shared" si="77"/>
        <v>4.9936305732484164E-3</v>
      </c>
      <c r="X197" s="286">
        <f t="shared" si="78"/>
        <v>1</v>
      </c>
      <c r="Y197" s="286">
        <f t="shared" si="79"/>
        <v>0.2798978189749835</v>
      </c>
      <c r="Z197" s="286">
        <f t="shared" si="80"/>
        <v>0.58374540244565154</v>
      </c>
      <c r="AA197" s="286">
        <f t="shared" si="112"/>
        <v>0.2798978189749835</v>
      </c>
      <c r="AB197" s="197">
        <f t="shared" si="81"/>
        <v>0.41808260001335507</v>
      </c>
      <c r="AC197" s="287">
        <f t="shared" si="82"/>
        <v>7.1768671532047048E-7</v>
      </c>
      <c r="AD197" s="197">
        <f t="shared" si="113"/>
        <v>10.186811341329502</v>
      </c>
      <c r="AE197" s="197">
        <f t="shared" si="114"/>
        <v>30.56043402398851</v>
      </c>
      <c r="AF197" s="197">
        <f t="shared" si="115"/>
        <v>8.5178571428571423E-2</v>
      </c>
      <c r="AG197" s="197">
        <f t="shared" si="116"/>
        <v>0.25553571428571431</v>
      </c>
      <c r="AH197" s="197">
        <f t="shared" si="83"/>
        <v>0.1637447015919325</v>
      </c>
      <c r="AI197" s="197">
        <f t="shared" si="117"/>
        <v>0.1637447015919325</v>
      </c>
      <c r="AJ197" s="218">
        <f t="shared" si="84"/>
        <v>390</v>
      </c>
      <c r="AK197" s="197">
        <f t="shared" si="118"/>
        <v>6.9945218982234297E-2</v>
      </c>
      <c r="AL197" s="197">
        <f t="shared" si="119"/>
        <v>0.11043691321107492</v>
      </c>
      <c r="AM197" s="197">
        <f t="shared" si="120"/>
        <v>4.6825251201495777E-3</v>
      </c>
      <c r="AN197" s="197">
        <f t="shared" si="85"/>
        <v>24.05</v>
      </c>
      <c r="AO197" s="197">
        <f t="shared" si="86"/>
        <v>21.69</v>
      </c>
      <c r="AP197" s="197">
        <f t="shared" si="121"/>
        <v>8.5055290648639967E-2</v>
      </c>
      <c r="AQ197" s="197">
        <f t="shared" si="122"/>
        <v>0.49995495080932129</v>
      </c>
      <c r="AR197" s="197">
        <f t="shared" si="123"/>
        <v>0.33621024921738885</v>
      </c>
      <c r="AS197" s="258">
        <f t="shared" si="124"/>
        <v>0.22259736981483297</v>
      </c>
      <c r="AT197" s="197">
        <f t="shared" si="87"/>
        <v>5.5495539734299302E-4</v>
      </c>
      <c r="AU197" s="194">
        <f t="shared" si="88"/>
        <v>21.19</v>
      </c>
      <c r="AV197" s="197">
        <f t="shared" si="89"/>
        <v>2.354999999999996E-2</v>
      </c>
      <c r="AW197" s="197">
        <f t="shared" si="90"/>
        <v>3.4259999999999998E-3</v>
      </c>
      <c r="AX197" s="197">
        <f t="shared" si="125"/>
        <v>5.3788199999999904E-2</v>
      </c>
      <c r="AY197" s="197">
        <f t="shared" si="91"/>
        <v>2.8867475999999996E-3</v>
      </c>
      <c r="AZ197" s="197">
        <f t="shared" si="92"/>
        <v>0</v>
      </c>
      <c r="BA197" s="197">
        <f t="shared" si="126"/>
        <v>7.2596939999999999E-2</v>
      </c>
      <c r="BB197" s="258">
        <f t="shared" si="93"/>
        <v>0.42074626681910432</v>
      </c>
      <c r="BC197" s="197">
        <f t="shared" si="94"/>
        <v>2.9616687540362223E-2</v>
      </c>
      <c r="BD197" s="197">
        <f t="shared" si="127"/>
        <v>5.9233375080724451E-3</v>
      </c>
      <c r="BE197" s="197">
        <f t="shared" si="128"/>
        <v>3.5540025048434669E-2</v>
      </c>
      <c r="BF197" s="197">
        <f t="shared" si="95"/>
        <v>0.20773291256157631</v>
      </c>
      <c r="BG197" s="197">
        <f t="shared" si="96"/>
        <v>8.8167812977119791E-4</v>
      </c>
      <c r="BH197" s="197">
        <f t="shared" si="97"/>
        <v>4.6761960275301523E-2</v>
      </c>
      <c r="BI197" s="197">
        <f t="shared" si="129"/>
        <v>0.47556050966106655</v>
      </c>
      <c r="BJ197" s="197">
        <f t="shared" si="98"/>
        <v>6.797866544143826</v>
      </c>
      <c r="BK197" s="288">
        <f t="shared" si="99"/>
        <v>0.93004268227790543</v>
      </c>
      <c r="BL197" s="197">
        <f t="shared" si="100"/>
        <v>0.43298513020024443</v>
      </c>
      <c r="BM197" s="197">
        <f t="shared" si="101"/>
        <v>8.5610246045982955E-2</v>
      </c>
      <c r="BN197" s="197">
        <f t="shared" si="102"/>
        <v>55.136614762758981</v>
      </c>
      <c r="BO197" s="197">
        <f t="shared" si="130"/>
        <v>0.2086145906913475</v>
      </c>
      <c r="BP197" s="197">
        <f t="shared" si="103"/>
        <v>65.646094301851065</v>
      </c>
      <c r="BQ197" s="197">
        <f t="shared" si="104"/>
        <v>9.6146939999999959E-2</v>
      </c>
      <c r="BR197" s="288">
        <f t="shared" si="105"/>
        <v>0.19582817078096756</v>
      </c>
      <c r="BS197" s="197">
        <f t="shared" si="106"/>
        <v>0.1637447015919325</v>
      </c>
      <c r="BT197" s="197">
        <f t="shared" si="107"/>
        <v>0.41808260001335507</v>
      </c>
      <c r="BU197" s="197">
        <f t="shared" si="108"/>
        <v>0.3384981356578825</v>
      </c>
      <c r="BV197" s="197">
        <f t="shared" si="109"/>
        <v>0.86427334307404202</v>
      </c>
      <c r="BW197" s="194"/>
      <c r="BX197" s="194"/>
      <c r="BY197" s="194"/>
      <c r="BZ197" s="194"/>
      <c r="CA197" s="194"/>
      <c r="CB197" s="194"/>
      <c r="CC197" s="194"/>
      <c r="CD197" s="194"/>
      <c r="CE197" s="194"/>
      <c r="CF197" s="194"/>
      <c r="CG197" s="194"/>
      <c r="CH197" s="194"/>
      <c r="CI197" s="194"/>
      <c r="CJ197" s="194"/>
      <c r="CK197" s="194"/>
      <c r="CL197" s="194"/>
      <c r="CM197" s="194"/>
      <c r="CN197" s="194"/>
      <c r="CO197" s="194"/>
      <c r="CP197" s="194"/>
      <c r="CQ197" s="194"/>
      <c r="CR197" s="194"/>
      <c r="CS197" s="194"/>
      <c r="CT197" s="194"/>
      <c r="CU197" s="194"/>
      <c r="CV197" s="194"/>
      <c r="CW197" s="194"/>
      <c r="CX197" s="194"/>
      <c r="CY197" s="194"/>
      <c r="CZ197" s="194"/>
      <c r="DA197" s="194"/>
      <c r="DB197" s="194"/>
      <c r="DC197" s="194"/>
      <c r="DD197" s="194"/>
      <c r="DE197" s="194"/>
      <c r="DF197" s="194"/>
    </row>
    <row r="198" spans="2:110" s="192" customFormat="1" hidden="1" x14ac:dyDescent="0.35">
      <c r="B198" s="289"/>
      <c r="C198" s="289"/>
      <c r="Q198" s="193"/>
      <c r="R198" s="194">
        <f t="shared" si="110"/>
        <v>15.799999999999972</v>
      </c>
      <c r="S198" s="197">
        <f t="shared" si="76"/>
        <v>0.44303797468354511</v>
      </c>
      <c r="T198" s="194">
        <f t="shared" si="131"/>
        <v>0.69</v>
      </c>
      <c r="U198" s="194">
        <f t="shared" si="132"/>
        <v>1.4999999999999999E-4</v>
      </c>
      <c r="V198" s="197">
        <f t="shared" si="111"/>
        <v>0.44303797468354511</v>
      </c>
      <c r="W198" s="197">
        <f t="shared" si="77"/>
        <v>4.9620253164557064E-3</v>
      </c>
      <c r="X198" s="286">
        <f t="shared" si="78"/>
        <v>1</v>
      </c>
      <c r="Y198" s="286">
        <f t="shared" si="79"/>
        <v>0.27526270811467868</v>
      </c>
      <c r="Z198" s="286">
        <f t="shared" si="80"/>
        <v>0.5821741969292582</v>
      </c>
      <c r="AA198" s="286">
        <f t="shared" si="112"/>
        <v>0.27526270811467868</v>
      </c>
      <c r="AB198" s="197">
        <f t="shared" si="81"/>
        <v>0.41540872187637495</v>
      </c>
      <c r="AC198" s="287">
        <f t="shared" si="82"/>
        <v>7.0580181567866323E-7</v>
      </c>
      <c r="AD198" s="197">
        <f t="shared" si="113"/>
        <v>10.252381202280157</v>
      </c>
      <c r="AE198" s="197">
        <f t="shared" si="114"/>
        <v>30.757143606840469</v>
      </c>
      <c r="AF198" s="197">
        <f t="shared" si="115"/>
        <v>8.5178571428571451E-2</v>
      </c>
      <c r="AG198" s="197">
        <f t="shared" si="116"/>
        <v>0.25553571428571431</v>
      </c>
      <c r="AH198" s="197">
        <f t="shared" si="83"/>
        <v>0.16208333369333847</v>
      </c>
      <c r="AI198" s="197">
        <f t="shared" si="117"/>
        <v>0.16208333369333847</v>
      </c>
      <c r="AJ198" s="218">
        <f t="shared" si="84"/>
        <v>390</v>
      </c>
      <c r="AK198" s="197">
        <f t="shared" si="118"/>
        <v>6.9497879169917537E-2</v>
      </c>
      <c r="AL198" s="197">
        <f t="shared" si="119"/>
        <v>0.10973060577866509</v>
      </c>
      <c r="AM198" s="197">
        <f t="shared" si="120"/>
        <v>4.6525776850154001E-3</v>
      </c>
      <c r="AN198" s="197">
        <f t="shared" si="85"/>
        <v>24.05</v>
      </c>
      <c r="AO198" s="197">
        <f t="shared" si="86"/>
        <v>21.69</v>
      </c>
      <c r="AP198" s="197">
        <f t="shared" si="121"/>
        <v>8.4511313257347856E-2</v>
      </c>
      <c r="AQ198" s="197">
        <f t="shared" si="122"/>
        <v>0.4964503887230442</v>
      </c>
      <c r="AR198" s="197">
        <f t="shared" si="123"/>
        <v>0.33436705502970571</v>
      </c>
      <c r="AS198" s="258">
        <f t="shared" si="124"/>
        <v>0.21932433705255752</v>
      </c>
      <c r="AT198" s="197">
        <f t="shared" si="87"/>
        <v>5.3875544602369121E-4</v>
      </c>
      <c r="AU198" s="194">
        <f t="shared" si="88"/>
        <v>21.19</v>
      </c>
      <c r="AV198" s="197">
        <f t="shared" si="89"/>
        <v>2.3699999999999957E-2</v>
      </c>
      <c r="AW198" s="197">
        <f t="shared" si="90"/>
        <v>3.4259999999999998E-3</v>
      </c>
      <c r="AX198" s="197">
        <f t="shared" si="125"/>
        <v>5.4130799999999903E-2</v>
      </c>
      <c r="AY198" s="197">
        <f t="shared" si="91"/>
        <v>2.8867475999999996E-3</v>
      </c>
      <c r="AZ198" s="197">
        <f t="shared" si="92"/>
        <v>0</v>
      </c>
      <c r="BA198" s="197">
        <f t="shared" si="126"/>
        <v>7.2596939999999999E-2</v>
      </c>
      <c r="BB198" s="258">
        <f t="shared" si="93"/>
        <v>0.41803547313522604</v>
      </c>
      <c r="BC198" s="197">
        <f t="shared" si="94"/>
        <v>2.9236286782538329E-2</v>
      </c>
      <c r="BD198" s="197">
        <f t="shared" si="127"/>
        <v>5.8472573565076661E-3</v>
      </c>
      <c r="BE198" s="197">
        <f t="shared" si="128"/>
        <v>3.5083544139045998E-2</v>
      </c>
      <c r="BF198" s="197">
        <f t="shared" si="95"/>
        <v>0.20773291256157633</v>
      </c>
      <c r="BG198" s="197">
        <f t="shared" si="96"/>
        <v>8.670775305612378E-4</v>
      </c>
      <c r="BH198" s="197">
        <f t="shared" si="97"/>
        <v>4.6161343305499848E-2</v>
      </c>
      <c r="BI198" s="197">
        <f t="shared" si="129"/>
        <v>0.47407863384005494</v>
      </c>
      <c r="BJ198" s="197">
        <f t="shared" si="98"/>
        <v>6.7963846683228137</v>
      </c>
      <c r="BK198" s="288">
        <f t="shared" si="99"/>
        <v>0.93024546770436911</v>
      </c>
      <c r="BL198" s="197">
        <f t="shared" si="100"/>
        <v>0.43015092837486241</v>
      </c>
      <c r="BM198" s="197">
        <f t="shared" si="101"/>
        <v>8.5050068703371548E-2</v>
      </c>
      <c r="BN198" s="197">
        <f t="shared" si="102"/>
        <v>55.103004122202293</v>
      </c>
      <c r="BO198" s="197">
        <f t="shared" si="130"/>
        <v>0.20859999009213756</v>
      </c>
      <c r="BP198" s="197">
        <f t="shared" si="103"/>
        <v>65.644999256910324</v>
      </c>
      <c r="BQ198" s="197">
        <f t="shared" si="104"/>
        <v>9.6296939999999956E-2</v>
      </c>
      <c r="BR198" s="288">
        <f t="shared" si="105"/>
        <v>0.19508898725238397</v>
      </c>
      <c r="BS198" s="197">
        <f t="shared" si="106"/>
        <v>0.16208333369333847</v>
      </c>
      <c r="BT198" s="197">
        <f t="shared" si="107"/>
        <v>0.41540872187637495</v>
      </c>
      <c r="BU198" s="197">
        <f t="shared" si="108"/>
        <v>0.33163604863584922</v>
      </c>
      <c r="BV198" s="197">
        <f t="shared" si="109"/>
        <v>0.84996096731697157</v>
      </c>
      <c r="BW198" s="194"/>
      <c r="BX198" s="194"/>
      <c r="BY198" s="194"/>
      <c r="BZ198" s="194"/>
      <c r="CA198" s="194"/>
      <c r="CB198" s="194"/>
      <c r="CC198" s="194"/>
      <c r="CD198" s="194"/>
      <c r="CE198" s="194"/>
      <c r="CF198" s="194"/>
      <c r="CG198" s="194"/>
      <c r="CH198" s="194"/>
      <c r="CI198" s="194"/>
      <c r="CJ198" s="194"/>
      <c r="CK198" s="194"/>
      <c r="CL198" s="194"/>
      <c r="CM198" s="194"/>
      <c r="CN198" s="194"/>
      <c r="CO198" s="194"/>
      <c r="CP198" s="194"/>
      <c r="CQ198" s="194"/>
      <c r="CR198" s="194"/>
      <c r="CS198" s="194"/>
      <c r="CT198" s="194"/>
      <c r="CU198" s="194"/>
      <c r="CV198" s="194"/>
      <c r="CW198" s="194"/>
      <c r="CX198" s="194"/>
      <c r="CY198" s="194"/>
      <c r="CZ198" s="194"/>
      <c r="DA198" s="194"/>
      <c r="DB198" s="194"/>
      <c r="DC198" s="194"/>
      <c r="DD198" s="194"/>
      <c r="DE198" s="194"/>
      <c r="DF198" s="194"/>
    </row>
    <row r="199" spans="2:110" s="192" customFormat="1" hidden="1" x14ac:dyDescent="0.35">
      <c r="B199" s="289"/>
      <c r="C199" s="289"/>
      <c r="Q199" s="193"/>
      <c r="R199" s="194">
        <f t="shared" si="110"/>
        <v>15.899999999999972</v>
      </c>
      <c r="S199" s="197">
        <f t="shared" si="76"/>
        <v>0.44025157232704476</v>
      </c>
      <c r="T199" s="194">
        <f t="shared" si="131"/>
        <v>0.69</v>
      </c>
      <c r="U199" s="194">
        <f t="shared" si="132"/>
        <v>1.4999999999999999E-4</v>
      </c>
      <c r="V199" s="197">
        <f t="shared" si="111"/>
        <v>0.44025157232704476</v>
      </c>
      <c r="W199" s="197">
        <f t="shared" si="77"/>
        <v>4.9308176100629018E-3</v>
      </c>
      <c r="X199" s="286">
        <f t="shared" si="78"/>
        <v>1</v>
      </c>
      <c r="Y199" s="286">
        <f t="shared" si="79"/>
        <v>0.27062790790753755</v>
      </c>
      <c r="Z199" s="286">
        <f t="shared" si="80"/>
        <v>0.58061152956924988</v>
      </c>
      <c r="AA199" s="286">
        <f t="shared" si="112"/>
        <v>0.27062790790753755</v>
      </c>
      <c r="AB199" s="197">
        <f t="shared" si="81"/>
        <v>0.41276900416428458</v>
      </c>
      <c r="AC199" s="287">
        <f t="shared" si="82"/>
        <v>6.9391771258342964E-7</v>
      </c>
      <c r="AD199" s="197">
        <f t="shared" si="113"/>
        <v>10.317946668625078</v>
      </c>
      <c r="AE199" s="197">
        <f t="shared" si="114"/>
        <v>30.953840005875236</v>
      </c>
      <c r="AF199" s="197">
        <f t="shared" si="115"/>
        <v>8.5178571428571423E-2</v>
      </c>
      <c r="AG199" s="197">
        <f t="shared" si="116"/>
        <v>0.25553571428571431</v>
      </c>
      <c r="AH199" s="197">
        <f t="shared" si="83"/>
        <v>0.16038662554429478</v>
      </c>
      <c r="AI199" s="197">
        <f t="shared" si="117"/>
        <v>0.16038662554429478</v>
      </c>
      <c r="AJ199" s="218">
        <f t="shared" si="84"/>
        <v>390</v>
      </c>
      <c r="AK199" s="197">
        <f t="shared" si="118"/>
        <v>6.9056254396684807E-2</v>
      </c>
      <c r="AL199" s="197">
        <f t="shared" si="119"/>
        <v>0.10903332185471667</v>
      </c>
      <c r="AM199" s="197">
        <f t="shared" si="120"/>
        <v>4.6230128466399883E-3</v>
      </c>
      <c r="AN199" s="197">
        <f t="shared" si="85"/>
        <v>24.05</v>
      </c>
      <c r="AO199" s="197">
        <f t="shared" si="86"/>
        <v>21.69</v>
      </c>
      <c r="AP199" s="197">
        <f t="shared" si="121"/>
        <v>8.3974285509182706E-2</v>
      </c>
      <c r="AQ199" s="197">
        <f t="shared" si="122"/>
        <v>0.492962316936432</v>
      </c>
      <c r="AR199" s="197">
        <f t="shared" si="123"/>
        <v>0.33257569139213716</v>
      </c>
      <c r="AS199" s="258">
        <f t="shared" si="124"/>
        <v>0.21607693688187168</v>
      </c>
      <c r="AT199" s="197">
        <f t="shared" si="87"/>
        <v>5.2291951770522651E-4</v>
      </c>
      <c r="AU199" s="194">
        <f t="shared" si="88"/>
        <v>21.19</v>
      </c>
      <c r="AV199" s="197">
        <f t="shared" si="89"/>
        <v>2.3849999999999958E-2</v>
      </c>
      <c r="AW199" s="197">
        <f t="shared" si="90"/>
        <v>3.4259999999999998E-3</v>
      </c>
      <c r="AX199" s="197">
        <f t="shared" si="125"/>
        <v>5.4473399999999901E-2</v>
      </c>
      <c r="AY199" s="197">
        <f t="shared" si="91"/>
        <v>2.8867475999999996E-3</v>
      </c>
      <c r="AZ199" s="197">
        <f t="shared" si="92"/>
        <v>0</v>
      </c>
      <c r="BA199" s="197">
        <f t="shared" si="126"/>
        <v>7.2596939999999999E-2</v>
      </c>
      <c r="BB199" s="258">
        <f t="shared" si="93"/>
        <v>0.4153575647598492</v>
      </c>
      <c r="BC199" s="197">
        <f t="shared" si="94"/>
        <v>2.8862914974720769E-2</v>
      </c>
      <c r="BD199" s="197">
        <f t="shared" si="127"/>
        <v>5.772582994944154E-3</v>
      </c>
      <c r="BE199" s="197">
        <f t="shared" si="128"/>
        <v>3.4635497969664926E-2</v>
      </c>
      <c r="BF199" s="197">
        <f t="shared" si="95"/>
        <v>0.20773291256157633</v>
      </c>
      <c r="BG199" s="197">
        <f t="shared" si="96"/>
        <v>8.5247790990874322E-4</v>
      </c>
      <c r="BH199" s="197">
        <f t="shared" si="97"/>
        <v>4.5571824385759484E-2</v>
      </c>
      <c r="BI199" s="197">
        <f t="shared" si="129"/>
        <v>0.47262360545379734</v>
      </c>
      <c r="BJ199" s="197">
        <f t="shared" si="98"/>
        <v>6.7949296399365569</v>
      </c>
      <c r="BK199" s="288">
        <f t="shared" si="99"/>
        <v>0.93044466528748182</v>
      </c>
      <c r="BL199" s="197">
        <f t="shared" si="100"/>
        <v>0.42735406540481563</v>
      </c>
      <c r="BM199" s="197">
        <f t="shared" si="101"/>
        <v>8.4497205026887928E-2</v>
      </c>
      <c r="BN199" s="197">
        <f t="shared" si="102"/>
        <v>55.069832301613275</v>
      </c>
      <c r="BO199" s="197">
        <f t="shared" si="130"/>
        <v>0.20858539047148508</v>
      </c>
      <c r="BP199" s="197">
        <f t="shared" si="103"/>
        <v>65.643904285361387</v>
      </c>
      <c r="BQ199" s="197">
        <f t="shared" si="104"/>
        <v>9.6446939999999953E-2</v>
      </c>
      <c r="BR199" s="288">
        <f t="shared" si="105"/>
        <v>0.19428133402243053</v>
      </c>
      <c r="BS199" s="197">
        <f t="shared" si="106"/>
        <v>0.16038662554429478</v>
      </c>
      <c r="BT199" s="197">
        <f t="shared" si="107"/>
        <v>0.41276900416428458</v>
      </c>
      <c r="BU199" s="197">
        <f t="shared" si="108"/>
        <v>0.32470221900938873</v>
      </c>
      <c r="BV199" s="197">
        <f t="shared" si="109"/>
        <v>0.83564955080013126</v>
      </c>
      <c r="BW199" s="194"/>
      <c r="BX199" s="194"/>
      <c r="BY199" s="194"/>
      <c r="BZ199" s="194"/>
      <c r="CA199" s="194"/>
      <c r="CB199" s="194"/>
      <c r="CC199" s="194"/>
      <c r="CD199" s="194"/>
      <c r="CE199" s="194"/>
      <c r="CF199" s="194"/>
      <c r="CG199" s="194"/>
      <c r="CH199" s="194"/>
      <c r="CI199" s="194"/>
      <c r="CJ199" s="194"/>
      <c r="CK199" s="194"/>
      <c r="CL199" s="194"/>
      <c r="CM199" s="194"/>
      <c r="CN199" s="194"/>
      <c r="CO199" s="194"/>
      <c r="CP199" s="194"/>
      <c r="CQ199" s="194"/>
      <c r="CR199" s="194"/>
      <c r="CS199" s="194"/>
      <c r="CT199" s="194"/>
      <c r="CU199" s="194"/>
      <c r="CV199" s="194"/>
      <c r="CW199" s="194"/>
      <c r="CX199" s="194"/>
      <c r="CY199" s="194"/>
      <c r="CZ199" s="194"/>
      <c r="DA199" s="194"/>
      <c r="DB199" s="194"/>
      <c r="DC199" s="194"/>
      <c r="DD199" s="194"/>
      <c r="DE199" s="194"/>
      <c r="DF199" s="194"/>
    </row>
    <row r="200" spans="2:110" s="192" customFormat="1" hidden="1" x14ac:dyDescent="0.35">
      <c r="B200" s="289"/>
      <c r="C200" s="289"/>
      <c r="Q200" s="193"/>
      <c r="R200" s="194">
        <f t="shared" si="110"/>
        <v>15.999999999999972</v>
      </c>
      <c r="S200" s="197">
        <f t="shared" si="76"/>
        <v>0.43750000000000072</v>
      </c>
      <c r="T200" s="194">
        <f t="shared" si="131"/>
        <v>0.69</v>
      </c>
      <c r="U200" s="194">
        <f t="shared" si="132"/>
        <v>1.4999999999999999E-4</v>
      </c>
      <c r="V200" s="197">
        <f t="shared" si="111"/>
        <v>0.43750000000000072</v>
      </c>
      <c r="W200" s="197">
        <f t="shared" si="77"/>
        <v>4.9000000000000085E-3</v>
      </c>
      <c r="X200" s="286">
        <f t="shared" si="78"/>
        <v>1</v>
      </c>
      <c r="Y200" s="286">
        <f t="shared" si="79"/>
        <v>0.26599341252749709</v>
      </c>
      <c r="Z200" s="286">
        <f t="shared" si="80"/>
        <v>0.57905732905825169</v>
      </c>
      <c r="AA200" s="286">
        <f t="shared" si="112"/>
        <v>0.26599341252749709</v>
      </c>
      <c r="AB200" s="197">
        <f t="shared" si="81"/>
        <v>0.41016279316363069</v>
      </c>
      <c r="AC200" s="287">
        <f t="shared" si="82"/>
        <v>6.8203439109614641E-7</v>
      </c>
      <c r="AD200" s="197">
        <f t="shared" si="113"/>
        <v>10.38350782278175</v>
      </c>
      <c r="AE200" s="197">
        <f t="shared" si="114"/>
        <v>31.150523468345245</v>
      </c>
      <c r="AF200" s="197">
        <f t="shared" si="115"/>
        <v>8.5178571428571437E-2</v>
      </c>
      <c r="AG200" s="197">
        <f t="shared" si="116"/>
        <v>0.25553571428571425</v>
      </c>
      <c r="AH200" s="197">
        <f t="shared" si="83"/>
        <v>0.15865458806457114</v>
      </c>
      <c r="AI200" s="197">
        <f t="shared" si="117"/>
        <v>0.15865458806457114</v>
      </c>
      <c r="AJ200" s="218">
        <f t="shared" si="84"/>
        <v>389.99999999999994</v>
      </c>
      <c r="AK200" s="197">
        <f t="shared" si="118"/>
        <v>6.8620235296275423E-2</v>
      </c>
      <c r="AL200" s="197">
        <f t="shared" si="119"/>
        <v>0.10834488876020433</v>
      </c>
      <c r="AM200" s="197">
        <f t="shared" si="120"/>
        <v>4.593823283432664E-3</v>
      </c>
      <c r="AN200" s="197">
        <f t="shared" si="85"/>
        <v>24.05</v>
      </c>
      <c r="AO200" s="197">
        <f t="shared" si="86"/>
        <v>21.69</v>
      </c>
      <c r="AP200" s="197">
        <f t="shared" si="121"/>
        <v>8.3444074411793759E-2</v>
      </c>
      <c r="AQ200" s="197">
        <f t="shared" si="122"/>
        <v>0.48949008719591625</v>
      </c>
      <c r="AR200" s="197">
        <f t="shared" si="123"/>
        <v>0.33083549913134513</v>
      </c>
      <c r="AS200" s="258">
        <f t="shared" si="124"/>
        <v>0.21285430880921233</v>
      </c>
      <c r="AT200" s="197">
        <f t="shared" si="87"/>
        <v>5.0743791592085231E-4</v>
      </c>
      <c r="AU200" s="194">
        <f t="shared" si="88"/>
        <v>21.19</v>
      </c>
      <c r="AV200" s="197">
        <f t="shared" si="89"/>
        <v>2.3999999999999959E-2</v>
      </c>
      <c r="AW200" s="197">
        <f t="shared" si="90"/>
        <v>3.4259999999999994E-3</v>
      </c>
      <c r="AX200" s="197">
        <f t="shared" si="125"/>
        <v>5.4815999999999893E-2</v>
      </c>
      <c r="AY200" s="197">
        <f t="shared" si="91"/>
        <v>2.8867475999999992E-3</v>
      </c>
      <c r="AZ200" s="197">
        <f t="shared" si="92"/>
        <v>0</v>
      </c>
      <c r="BA200" s="197">
        <f t="shared" si="126"/>
        <v>7.2596939999999985E-2</v>
      </c>
      <c r="BB200" s="258">
        <f t="shared" si="93"/>
        <v>0.41271191335113266</v>
      </c>
      <c r="BC200" s="197">
        <f t="shared" si="94"/>
        <v>2.8496396948492712E-2</v>
      </c>
      <c r="BD200" s="197">
        <f t="shared" si="127"/>
        <v>5.6992793896985423E-3</v>
      </c>
      <c r="BE200" s="197">
        <f t="shared" si="128"/>
        <v>3.4195676338191254E-2</v>
      </c>
      <c r="BF200" s="197">
        <f t="shared" si="95"/>
        <v>0.20773291256157633</v>
      </c>
      <c r="BG200" s="197">
        <f t="shared" si="96"/>
        <v>8.3787924946161579E-4</v>
      </c>
      <c r="BH200" s="197">
        <f t="shared" si="97"/>
        <v>4.4993126941647921E-2</v>
      </c>
      <c r="BI200" s="197">
        <f t="shared" si="129"/>
        <v>0.47119479501859168</v>
      </c>
      <c r="BJ200" s="197">
        <f t="shared" si="98"/>
        <v>6.793500829501351</v>
      </c>
      <c r="BK200" s="288">
        <f t="shared" si="99"/>
        <v>0.93064035659311484</v>
      </c>
      <c r="BL200" s="197">
        <f t="shared" si="100"/>
        <v>0.42459380184383522</v>
      </c>
      <c r="BM200" s="197">
        <f t="shared" si="101"/>
        <v>8.3951512327714611E-2</v>
      </c>
      <c r="BN200" s="197">
        <f t="shared" si="102"/>
        <v>55.037090739662879</v>
      </c>
      <c r="BO200" s="197">
        <f t="shared" si="130"/>
        <v>0.20857079181103794</v>
      </c>
      <c r="BP200" s="197">
        <f t="shared" si="103"/>
        <v>65.642809385827846</v>
      </c>
      <c r="BQ200" s="197">
        <f t="shared" si="104"/>
        <v>9.6596939999999937E-2</v>
      </c>
      <c r="BR200" s="288">
        <f t="shared" si="105"/>
        <v>0.19340441247833678</v>
      </c>
      <c r="BS200" s="197">
        <f t="shared" si="106"/>
        <v>0.15865458806457114</v>
      </c>
      <c r="BT200" s="197">
        <f t="shared" si="107"/>
        <v>0.41016279316363069</v>
      </c>
      <c r="BU200" s="197">
        <f t="shared" si="108"/>
        <v>0.31770120269819224</v>
      </c>
      <c r="BV200" s="197">
        <f t="shared" si="109"/>
        <v>0.82133907553370311</v>
      </c>
      <c r="BW200" s="194"/>
      <c r="BX200" s="194"/>
      <c r="BY200" s="194"/>
      <c r="BZ200" s="194"/>
      <c r="CA200" s="194"/>
      <c r="CB200" s="194"/>
      <c r="CC200" s="194"/>
      <c r="CD200" s="194"/>
      <c r="CE200" s="194"/>
      <c r="CF200" s="194"/>
      <c r="CG200" s="194"/>
      <c r="CH200" s="194"/>
      <c r="CI200" s="194"/>
      <c r="CJ200" s="194"/>
      <c r="CK200" s="194"/>
      <c r="CL200" s="194"/>
      <c r="CM200" s="194"/>
      <c r="CN200" s="194"/>
      <c r="CO200" s="194"/>
      <c r="CP200" s="194"/>
      <c r="CQ200" s="194"/>
      <c r="CR200" s="194"/>
      <c r="CS200" s="194"/>
      <c r="CT200" s="194"/>
      <c r="CU200" s="194"/>
      <c r="CV200" s="194"/>
      <c r="CW200" s="194"/>
      <c r="CX200" s="194"/>
      <c r="CY200" s="194"/>
      <c r="CZ200" s="194"/>
      <c r="DA200" s="194"/>
      <c r="DB200" s="194"/>
      <c r="DC200" s="194"/>
      <c r="DD200" s="194"/>
      <c r="DE200" s="194"/>
      <c r="DF200" s="194"/>
    </row>
    <row r="201" spans="2:110" s="192" customFormat="1" hidden="1" x14ac:dyDescent="0.35">
      <c r="B201" s="289"/>
      <c r="C201" s="289"/>
      <c r="Q201" s="193"/>
      <c r="R201" s="194">
        <f t="shared" si="110"/>
        <v>16.099999999999973</v>
      </c>
      <c r="S201" s="197">
        <f t="shared" si="76"/>
        <v>0.43478260869565294</v>
      </c>
      <c r="T201" s="194">
        <f t="shared" si="131"/>
        <v>0.69</v>
      </c>
      <c r="U201" s="194">
        <f t="shared" si="132"/>
        <v>1.4999999999999999E-4</v>
      </c>
      <c r="V201" s="197">
        <f t="shared" si="111"/>
        <v>0.43478260869565294</v>
      </c>
      <c r="W201" s="197">
        <f t="shared" si="77"/>
        <v>4.8695652173913135E-3</v>
      </c>
      <c r="X201" s="286">
        <f t="shared" si="78"/>
        <v>1</v>
      </c>
      <c r="Y201" s="286">
        <f t="shared" si="79"/>
        <v>0.26135921629327369</v>
      </c>
      <c r="Z201" s="286">
        <f t="shared" si="80"/>
        <v>0.57751152492669278</v>
      </c>
      <c r="AA201" s="286">
        <f t="shared" si="112"/>
        <v>0.26135921629327369</v>
      </c>
      <c r="AB201" s="197">
        <f t="shared" si="81"/>
        <v>0.4075894518136462</v>
      </c>
      <c r="AC201" s="287">
        <f t="shared" si="82"/>
        <v>6.7015183664941968E-7</v>
      </c>
      <c r="AD201" s="197">
        <f t="shared" si="113"/>
        <v>10.449064745119545</v>
      </c>
      <c r="AE201" s="197">
        <f t="shared" si="114"/>
        <v>31.347194235358632</v>
      </c>
      <c r="AF201" s="197">
        <f t="shared" si="115"/>
        <v>8.5178571428571437E-2</v>
      </c>
      <c r="AG201" s="197">
        <f t="shared" si="116"/>
        <v>0.25553571428571431</v>
      </c>
      <c r="AH201" s="197">
        <f t="shared" si="83"/>
        <v>0.15688723189591963</v>
      </c>
      <c r="AI201" s="197">
        <f t="shared" si="117"/>
        <v>0.15688723189591963</v>
      </c>
      <c r="AJ201" s="218">
        <f t="shared" si="84"/>
        <v>390</v>
      </c>
      <c r="AK201" s="197">
        <f t="shared" si="118"/>
        <v>6.8189715288423006E-2</v>
      </c>
      <c r="AL201" s="197">
        <f t="shared" si="119"/>
        <v>0.1076651382149254</v>
      </c>
      <c r="AM201" s="197">
        <f t="shared" si="120"/>
        <v>4.5650018603128383E-3</v>
      </c>
      <c r="AN201" s="197">
        <f t="shared" si="85"/>
        <v>24.05</v>
      </c>
      <c r="AO201" s="197">
        <f t="shared" si="86"/>
        <v>21.69</v>
      </c>
      <c r="AP201" s="197">
        <f t="shared" si="121"/>
        <v>8.2920550360675388E-2</v>
      </c>
      <c r="AQ201" s="197">
        <f t="shared" si="122"/>
        <v>0.48603306776160604</v>
      </c>
      <c r="AR201" s="197">
        <f t="shared" si="123"/>
        <v>0.32914583586568635</v>
      </c>
      <c r="AS201" s="258">
        <f t="shared" si="124"/>
        <v>0.20965559868485498</v>
      </c>
      <c r="AT201" s="197">
        <f t="shared" si="87"/>
        <v>4.9230126467093567E-4</v>
      </c>
      <c r="AU201" s="194">
        <f t="shared" si="88"/>
        <v>21.19</v>
      </c>
      <c r="AV201" s="197">
        <f t="shared" si="89"/>
        <v>2.414999999999996E-2</v>
      </c>
      <c r="AW201" s="197">
        <f t="shared" si="90"/>
        <v>3.4259999999999998E-3</v>
      </c>
      <c r="AX201" s="197">
        <f t="shared" si="125"/>
        <v>5.5158599999999905E-2</v>
      </c>
      <c r="AY201" s="197">
        <f t="shared" si="91"/>
        <v>2.8867475999999996E-3</v>
      </c>
      <c r="AZ201" s="197">
        <f t="shared" si="92"/>
        <v>0</v>
      </c>
      <c r="BA201" s="197">
        <f t="shared" si="126"/>
        <v>7.2596939999999999E-2</v>
      </c>
      <c r="BB201" s="258">
        <f t="shared" si="93"/>
        <v>0.4100979088673975</v>
      </c>
      <c r="BC201" s="197">
        <f t="shared" si="94"/>
        <v>2.8136563329645072E-2</v>
      </c>
      <c r="BD201" s="197">
        <f t="shared" si="127"/>
        <v>5.6273126659290148E-3</v>
      </c>
      <c r="BE201" s="197">
        <f t="shared" si="128"/>
        <v>3.3763875995574087E-2</v>
      </c>
      <c r="BF201" s="197">
        <f t="shared" si="95"/>
        <v>0.20773291256157633</v>
      </c>
      <c r="BG201" s="197">
        <f t="shared" si="96"/>
        <v>8.2328153132381213E-4</v>
      </c>
      <c r="BH201" s="197">
        <f t="shared" si="97"/>
        <v>4.4424983547240976E-2</v>
      </c>
      <c r="BI201" s="197">
        <f t="shared" si="129"/>
        <v>0.46979159286106154</v>
      </c>
      <c r="BJ201" s="197">
        <f t="shared" si="98"/>
        <v>6.7920976273438205</v>
      </c>
      <c r="BK201" s="288">
        <f t="shared" si="99"/>
        <v>0.93083262069588624</v>
      </c>
      <c r="BL201" s="197">
        <f t="shared" si="100"/>
        <v>0.42186941784744297</v>
      </c>
      <c r="BM201" s="197">
        <f t="shared" si="101"/>
        <v>8.3412851625346326E-2</v>
      </c>
      <c r="BN201" s="197">
        <f t="shared" si="102"/>
        <v>55.004771097520781</v>
      </c>
      <c r="BO201" s="197">
        <f t="shared" si="130"/>
        <v>0.20855619409290013</v>
      </c>
      <c r="BP201" s="197">
        <f t="shared" si="103"/>
        <v>65.641714556967514</v>
      </c>
      <c r="BQ201" s="197">
        <f t="shared" si="104"/>
        <v>9.6746939999999962E-2</v>
      </c>
      <c r="BR201" s="288">
        <f t="shared" si="105"/>
        <v>0.19245742400572474</v>
      </c>
      <c r="BS201" s="197">
        <f t="shared" si="106"/>
        <v>0.15688723189591963</v>
      </c>
      <c r="BT201" s="197">
        <f t="shared" si="107"/>
        <v>0.4075894518136462</v>
      </c>
      <c r="BU201" s="197">
        <f t="shared" si="108"/>
        <v>0.31063764656155873</v>
      </c>
      <c r="BV201" s="197">
        <f t="shared" si="109"/>
        <v>0.80702952397492012</v>
      </c>
      <c r="BW201" s="194"/>
      <c r="BX201" s="194"/>
      <c r="BY201" s="194"/>
      <c r="BZ201" s="194"/>
      <c r="CA201" s="194"/>
      <c r="CB201" s="194"/>
      <c r="CC201" s="194"/>
      <c r="CD201" s="194"/>
      <c r="CE201" s="194"/>
      <c r="CF201" s="194"/>
      <c r="CG201" s="194"/>
      <c r="CH201" s="194"/>
      <c r="CI201" s="194"/>
      <c r="CJ201" s="194"/>
      <c r="CK201" s="194"/>
      <c r="CL201" s="194"/>
      <c r="CM201" s="194"/>
      <c r="CN201" s="194"/>
      <c r="CO201" s="194"/>
      <c r="CP201" s="194"/>
      <c r="CQ201" s="194"/>
      <c r="CR201" s="194"/>
      <c r="CS201" s="194"/>
      <c r="CT201" s="194"/>
      <c r="CU201" s="194"/>
      <c r="CV201" s="194"/>
      <c r="CW201" s="194"/>
      <c r="CX201" s="194"/>
      <c r="CY201" s="194"/>
      <c r="CZ201" s="194"/>
      <c r="DA201" s="194"/>
      <c r="DB201" s="194"/>
      <c r="DC201" s="194"/>
      <c r="DD201" s="194"/>
      <c r="DE201" s="194"/>
      <c r="DF201" s="194"/>
    </row>
    <row r="202" spans="2:110" s="192" customFormat="1" hidden="1" x14ac:dyDescent="0.35">
      <c r="B202" s="289"/>
      <c r="C202" s="289"/>
      <c r="Q202" s="193"/>
      <c r="R202" s="194">
        <f t="shared" si="110"/>
        <v>16.199999999999974</v>
      </c>
      <c r="S202" s="197">
        <f t="shared" si="76"/>
        <v>0.43209876543209935</v>
      </c>
      <c r="T202" s="194">
        <f t="shared" si="131"/>
        <v>0.69</v>
      </c>
      <c r="U202" s="194">
        <f t="shared" si="132"/>
        <v>1.4999999999999999E-4</v>
      </c>
      <c r="V202" s="197">
        <f t="shared" si="111"/>
        <v>0.43209876543209935</v>
      </c>
      <c r="W202" s="197">
        <f t="shared" si="77"/>
        <v>4.839506172839513E-3</v>
      </c>
      <c r="X202" s="286">
        <f t="shared" si="78"/>
        <v>1</v>
      </c>
      <c r="Y202" s="286">
        <f t="shared" si="79"/>
        <v>0.25672531366389373</v>
      </c>
      <c r="Z202" s="286">
        <f t="shared" si="80"/>
        <v>0.57597404752919412</v>
      </c>
      <c r="AA202" s="286">
        <f t="shared" si="112"/>
        <v>0.25672531366389373</v>
      </c>
      <c r="AB202" s="197">
        <f t="shared" si="81"/>
        <v>0.40504835917698306</v>
      </c>
      <c r="AC202" s="287">
        <f t="shared" si="82"/>
        <v>6.5827003503562499E-7</v>
      </c>
      <c r="AD202" s="197">
        <f t="shared" si="113"/>
        <v>10.514617514022968</v>
      </c>
      <c r="AE202" s="197">
        <f t="shared" si="114"/>
        <v>31.543852542068905</v>
      </c>
      <c r="AF202" s="197">
        <f t="shared" si="115"/>
        <v>8.5178571428571423E-2</v>
      </c>
      <c r="AG202" s="197">
        <f t="shared" si="116"/>
        <v>0.25553571428571431</v>
      </c>
      <c r="AH202" s="197">
        <f t="shared" si="83"/>
        <v>0.15508456741090548</v>
      </c>
      <c r="AI202" s="197">
        <f t="shared" si="117"/>
        <v>0.15508456741090548</v>
      </c>
      <c r="AJ202" s="218">
        <f t="shared" si="84"/>
        <v>390</v>
      </c>
      <c r="AK202" s="197">
        <f t="shared" si="118"/>
        <v>6.7764590490309265E-2</v>
      </c>
      <c r="AL202" s="197">
        <f t="shared" si="119"/>
        <v>0.10699390619769364</v>
      </c>
      <c r="AM202" s="197">
        <f t="shared" si="120"/>
        <v>4.5365416227822111E-3</v>
      </c>
      <c r="AN202" s="197">
        <f t="shared" si="85"/>
        <v>24.05</v>
      </c>
      <c r="AO202" s="197">
        <f t="shared" si="86"/>
        <v>21.69</v>
      </c>
      <c r="AP202" s="197">
        <f t="shared" si="121"/>
        <v>8.2403587031492129E-2</v>
      </c>
      <c r="AQ202" s="197">
        <f t="shared" si="122"/>
        <v>0.48259064288243581</v>
      </c>
      <c r="AR202" s="197">
        <f t="shared" si="123"/>
        <v>0.32750607547153032</v>
      </c>
      <c r="AS202" s="258">
        <f t="shared" si="124"/>
        <v>0.20647995744387584</v>
      </c>
      <c r="AT202" s="197">
        <f t="shared" si="87"/>
        <v>4.7750049565147766E-4</v>
      </c>
      <c r="AU202" s="194">
        <f t="shared" si="88"/>
        <v>21.19</v>
      </c>
      <c r="AV202" s="197">
        <f t="shared" si="89"/>
        <v>2.4299999999999961E-2</v>
      </c>
      <c r="AW202" s="197">
        <f t="shared" si="90"/>
        <v>3.4259999999999998E-3</v>
      </c>
      <c r="AX202" s="197">
        <f t="shared" si="125"/>
        <v>5.550119999999991E-2</v>
      </c>
      <c r="AY202" s="197">
        <f t="shared" si="91"/>
        <v>2.8867475999999996E-3</v>
      </c>
      <c r="AZ202" s="197">
        <f t="shared" si="92"/>
        <v>0</v>
      </c>
      <c r="BA202" s="197">
        <f t="shared" si="126"/>
        <v>7.2596939999999999E-2</v>
      </c>
      <c r="BB202" s="258">
        <f t="shared" si="93"/>
        <v>0.40751495906210022</v>
      </c>
      <c r="BC202" s="197">
        <f t="shared" si="94"/>
        <v>2.7783250323075145E-2</v>
      </c>
      <c r="BD202" s="197">
        <f t="shared" si="127"/>
        <v>5.5566500646150293E-3</v>
      </c>
      <c r="BE202" s="197">
        <f t="shared" si="128"/>
        <v>3.3339900387690177E-2</v>
      </c>
      <c r="BF202" s="197">
        <f t="shared" si="95"/>
        <v>0.20773291256157633</v>
      </c>
      <c r="BG202" s="197">
        <f t="shared" si="96"/>
        <v>8.0868473804126509E-4</v>
      </c>
      <c r="BH202" s="197">
        <f t="shared" si="97"/>
        <v>4.3867135585497978E-2</v>
      </c>
      <c r="BI202" s="197">
        <f t="shared" si="129"/>
        <v>0.46841340839994933</v>
      </c>
      <c r="BJ202" s="197">
        <f t="shared" si="98"/>
        <v>6.7907194428827085</v>
      </c>
      <c r="BK202" s="288">
        <f t="shared" si="99"/>
        <v>0.93102153426602108</v>
      </c>
      <c r="BL202" s="197">
        <f t="shared" si="100"/>
        <v>0.41918021252362464</v>
      </c>
      <c r="BM202" s="197">
        <f t="shared" si="101"/>
        <v>8.2881087527143613E-2</v>
      </c>
      <c r="BN202" s="197">
        <f t="shared" si="102"/>
        <v>54.972865251628619</v>
      </c>
      <c r="BO202" s="197">
        <f t="shared" si="130"/>
        <v>0.2085415972996176</v>
      </c>
      <c r="BP202" s="197">
        <f t="shared" si="103"/>
        <v>65.640619797471317</v>
      </c>
      <c r="BQ202" s="197">
        <f t="shared" si="104"/>
        <v>9.6896939999999959E-2</v>
      </c>
      <c r="BR202" s="288">
        <f t="shared" si="105"/>
        <v>0.19143956998865702</v>
      </c>
      <c r="BS202" s="197">
        <f t="shared" si="106"/>
        <v>0.15508456741090548</v>
      </c>
      <c r="BT202" s="197">
        <f t="shared" si="107"/>
        <v>0.40504835917698306</v>
      </c>
      <c r="BU202" s="197">
        <f t="shared" si="108"/>
        <v>0.30351628839904349</v>
      </c>
      <c r="BV202" s="197">
        <f t="shared" si="109"/>
        <v>0.79272087901426824</v>
      </c>
      <c r="BW202" s="194"/>
      <c r="BX202" s="194"/>
      <c r="BY202" s="194"/>
      <c r="BZ202" s="194"/>
      <c r="CA202" s="194"/>
      <c r="CB202" s="194"/>
      <c r="CC202" s="194"/>
      <c r="CD202" s="194"/>
      <c r="CE202" s="194"/>
      <c r="CF202" s="194"/>
      <c r="CG202" s="194"/>
      <c r="CH202" s="194"/>
      <c r="CI202" s="194"/>
      <c r="CJ202" s="194"/>
      <c r="CK202" s="194"/>
      <c r="CL202" s="194"/>
      <c r="CM202" s="194"/>
      <c r="CN202" s="194"/>
      <c r="CO202" s="194"/>
      <c r="CP202" s="194"/>
      <c r="CQ202" s="194"/>
      <c r="CR202" s="194"/>
      <c r="CS202" s="194"/>
      <c r="CT202" s="194"/>
      <c r="CU202" s="194"/>
      <c r="CV202" s="194"/>
      <c r="CW202" s="194"/>
      <c r="CX202" s="194"/>
      <c r="CY202" s="194"/>
      <c r="CZ202" s="194"/>
      <c r="DA202" s="194"/>
      <c r="DB202" s="194"/>
      <c r="DC202" s="194"/>
      <c r="DD202" s="194"/>
      <c r="DE202" s="194"/>
      <c r="DF202" s="194"/>
    </row>
    <row r="203" spans="2:110" s="192" customFormat="1" hidden="1" x14ac:dyDescent="0.35">
      <c r="B203" s="289"/>
      <c r="C203" s="289"/>
      <c r="Q203" s="193"/>
      <c r="R203" s="194">
        <f t="shared" si="110"/>
        <v>16.299999999999976</v>
      </c>
      <c r="S203" s="197">
        <f t="shared" si="76"/>
        <v>0.42944785276073677</v>
      </c>
      <c r="T203" s="194">
        <f t="shared" si="131"/>
        <v>0.69</v>
      </c>
      <c r="U203" s="194">
        <f t="shared" si="132"/>
        <v>1.4999999999999999E-4</v>
      </c>
      <c r="V203" s="197">
        <f t="shared" si="111"/>
        <v>0.42944785276073677</v>
      </c>
      <c r="W203" s="197">
        <f t="shared" si="77"/>
        <v>4.8098159509202525E-3</v>
      </c>
      <c r="X203" s="286">
        <f t="shared" si="78"/>
        <v>1</v>
      </c>
      <c r="Y203" s="286">
        <f t="shared" si="79"/>
        <v>0.25209169923438851</v>
      </c>
      <c r="Z203" s="286">
        <f t="shared" si="80"/>
        <v>0.57444482803126351</v>
      </c>
      <c r="AA203" s="286">
        <f t="shared" si="112"/>
        <v>0.25209169923438851</v>
      </c>
      <c r="AB203" s="197">
        <f t="shared" si="81"/>
        <v>0.40253890993058661</v>
      </c>
      <c r="AC203" s="287">
        <f t="shared" si="82"/>
        <v>6.4638897239586792E-7</v>
      </c>
      <c r="AD203" s="197">
        <f t="shared" si="113"/>
        <v>10.580166205952553</v>
      </c>
      <c r="AE203" s="197">
        <f t="shared" si="114"/>
        <v>31.740498617857661</v>
      </c>
      <c r="AF203" s="197">
        <f t="shared" si="115"/>
        <v>8.5178571428571423E-2</v>
      </c>
      <c r="AG203" s="197">
        <f t="shared" si="116"/>
        <v>0.25553571428571425</v>
      </c>
      <c r="AH203" s="197">
        <f t="shared" si="83"/>
        <v>0.15324660472140114</v>
      </c>
      <c r="AI203" s="197">
        <f t="shared" si="117"/>
        <v>0.15324660472140114</v>
      </c>
      <c r="AJ203" s="218">
        <f t="shared" si="84"/>
        <v>390</v>
      </c>
      <c r="AK203" s="197">
        <f t="shared" si="118"/>
        <v>6.7344759631387141E-2</v>
      </c>
      <c r="AL203" s="197">
        <f t="shared" si="119"/>
        <v>0.10633103281185306</v>
      </c>
      <c r="AM203" s="197">
        <f t="shared" si="120"/>
        <v>4.5084357912225708E-3</v>
      </c>
      <c r="AN203" s="197">
        <f t="shared" si="85"/>
        <v>24.05</v>
      </c>
      <c r="AO203" s="197">
        <f t="shared" si="86"/>
        <v>21.69</v>
      </c>
      <c r="AP203" s="197">
        <f t="shared" si="121"/>
        <v>8.1893061276501491E-2</v>
      </c>
      <c r="AQ203" s="197">
        <f t="shared" si="122"/>
        <v>0.47916221229128719</v>
      </c>
      <c r="AR203" s="197">
        <f t="shared" si="123"/>
        <v>0.32591560756988602</v>
      </c>
      <c r="AS203" s="258">
        <f t="shared" si="124"/>
        <v>0.20332653980713408</v>
      </c>
      <c r="AT203" s="197">
        <f t="shared" si="87"/>
        <v>4.6302683604735137E-4</v>
      </c>
      <c r="AU203" s="194">
        <f t="shared" si="88"/>
        <v>21.19</v>
      </c>
      <c r="AV203" s="197">
        <f t="shared" si="89"/>
        <v>2.4449999999999965E-2</v>
      </c>
      <c r="AW203" s="197">
        <f t="shared" si="90"/>
        <v>3.4259999999999998E-3</v>
      </c>
      <c r="AX203" s="197">
        <f t="shared" si="125"/>
        <v>5.5843799999999916E-2</v>
      </c>
      <c r="AY203" s="197">
        <f t="shared" si="91"/>
        <v>2.8867475999999996E-3</v>
      </c>
      <c r="AZ203" s="197">
        <f t="shared" si="92"/>
        <v>0</v>
      </c>
      <c r="BA203" s="197">
        <f t="shared" si="126"/>
        <v>7.2596939999999999E-2</v>
      </c>
      <c r="BB203" s="258">
        <f t="shared" si="93"/>
        <v>0.4049624889990735</v>
      </c>
      <c r="BC203" s="197">
        <f t="shared" si="94"/>
        <v>2.7436299507135126E-2</v>
      </c>
      <c r="BD203" s="197">
        <f t="shared" si="127"/>
        <v>5.4872599014270254E-3</v>
      </c>
      <c r="BE203" s="197">
        <f t="shared" si="128"/>
        <v>3.2923559408562154E-2</v>
      </c>
      <c r="BF203" s="197">
        <f t="shared" si="95"/>
        <v>0.20773291256157631</v>
      </c>
      <c r="BG203" s="197">
        <f t="shared" si="96"/>
        <v>7.9408885258832381E-4</v>
      </c>
      <c r="BH203" s="197">
        <f t="shared" si="97"/>
        <v>4.3319332923557469E-2</v>
      </c>
      <c r="BI203" s="197">
        <f t="shared" si="129"/>
        <v>0.46705966945883304</v>
      </c>
      <c r="BJ203" s="197">
        <f t="shared" si="98"/>
        <v>6.7893657039415922</v>
      </c>
      <c r="BK203" s="288">
        <f t="shared" si="99"/>
        <v>0.93120717165262146</v>
      </c>
      <c r="BL203" s="197">
        <f t="shared" si="100"/>
        <v>0.41652550330930077</v>
      </c>
      <c r="BM203" s="197">
        <f t="shared" si="101"/>
        <v>8.2356088112548839E-2</v>
      </c>
      <c r="BN203" s="197">
        <f t="shared" si="102"/>
        <v>54.941365286752927</v>
      </c>
      <c r="BO203" s="197">
        <f t="shared" si="130"/>
        <v>0.20852700141416464</v>
      </c>
      <c r="BP203" s="197">
        <f t="shared" si="103"/>
        <v>65.639525106062351</v>
      </c>
      <c r="BQ203" s="197">
        <f t="shared" si="104"/>
        <v>9.704693999999997E-2</v>
      </c>
      <c r="BR203" s="288">
        <f t="shared" si="105"/>
        <v>0.19035005180968323</v>
      </c>
      <c r="BS203" s="197">
        <f t="shared" si="106"/>
        <v>0.15324660472140114</v>
      </c>
      <c r="BT203" s="197">
        <f t="shared" si="107"/>
        <v>0.40253890993058661</v>
      </c>
      <c r="BU203" s="197">
        <f t="shared" si="108"/>
        <v>0.29634195695108106</v>
      </c>
      <c r="BV203" s="197">
        <f t="shared" si="109"/>
        <v>0.77841312396219142</v>
      </c>
      <c r="BW203" s="194"/>
      <c r="BX203" s="194"/>
      <c r="BY203" s="194"/>
      <c r="BZ203" s="194"/>
      <c r="CA203" s="194"/>
      <c r="CB203" s="194"/>
      <c r="CC203" s="194"/>
      <c r="CD203" s="194"/>
      <c r="CE203" s="194"/>
      <c r="CF203" s="194"/>
      <c r="CG203" s="194"/>
      <c r="CH203" s="194"/>
      <c r="CI203" s="194"/>
      <c r="CJ203" s="194"/>
      <c r="CK203" s="194"/>
      <c r="CL203" s="194"/>
      <c r="CM203" s="194"/>
      <c r="CN203" s="194"/>
      <c r="CO203" s="194"/>
      <c r="CP203" s="194"/>
      <c r="CQ203" s="194"/>
      <c r="CR203" s="194"/>
      <c r="CS203" s="194"/>
      <c r="CT203" s="194"/>
      <c r="CU203" s="194"/>
      <c r="CV203" s="194"/>
      <c r="CW203" s="194"/>
      <c r="CX203" s="194"/>
      <c r="CY203" s="194"/>
      <c r="CZ203" s="194"/>
      <c r="DA203" s="194"/>
      <c r="DB203" s="194"/>
      <c r="DC203" s="194"/>
      <c r="DD203" s="194"/>
      <c r="DE203" s="194"/>
      <c r="DF203" s="194"/>
    </row>
    <row r="204" spans="2:110" s="192" customFormat="1" hidden="1" x14ac:dyDescent="0.35">
      <c r="B204" s="289"/>
      <c r="C204" s="289"/>
      <c r="Q204" s="193"/>
      <c r="R204" s="194">
        <f t="shared" si="110"/>
        <v>16.399999999999977</v>
      </c>
      <c r="S204" s="197">
        <f t="shared" si="76"/>
        <v>0.42682926829268347</v>
      </c>
      <c r="T204" s="194">
        <f t="shared" si="131"/>
        <v>0.69</v>
      </c>
      <c r="U204" s="194">
        <f t="shared" si="132"/>
        <v>1.4999999999999999E-4</v>
      </c>
      <c r="V204" s="197">
        <f t="shared" si="111"/>
        <v>0.42682926829268347</v>
      </c>
      <c r="W204" s="197">
        <f t="shared" si="77"/>
        <v>4.7804878048780556E-3</v>
      </c>
      <c r="X204" s="286">
        <f t="shared" si="78"/>
        <v>1</v>
      </c>
      <c r="Y204" s="286">
        <f t="shared" si="79"/>
        <v>0.24745836773164695</v>
      </c>
      <c r="Z204" s="286">
        <f t="shared" si="80"/>
        <v>0.57292379839629093</v>
      </c>
      <c r="AA204" s="286">
        <f t="shared" si="112"/>
        <v>0.24745836773164695</v>
      </c>
      <c r="AB204" s="197">
        <f t="shared" si="81"/>
        <v>0.40006051387582126</v>
      </c>
      <c r="AC204" s="287">
        <f t="shared" si="82"/>
        <v>6.3450863520935119E-7</v>
      </c>
      <c r="AD204" s="197">
        <f t="shared" si="113"/>
        <v>10.645710895503532</v>
      </c>
      <c r="AE204" s="197">
        <f t="shared" si="114"/>
        <v>31.937132686510594</v>
      </c>
      <c r="AF204" s="197">
        <f t="shared" si="115"/>
        <v>8.5178571428571451E-2</v>
      </c>
      <c r="AG204" s="197">
        <f t="shared" si="116"/>
        <v>0.25553571428571431</v>
      </c>
      <c r="AH204" s="197">
        <f t="shared" si="83"/>
        <v>0.15137335368676058</v>
      </c>
      <c r="AI204" s="197">
        <f t="shared" si="117"/>
        <v>0.15137335368676058</v>
      </c>
      <c r="AJ204" s="218">
        <f t="shared" si="84"/>
        <v>390</v>
      </c>
      <c r="AK204" s="197">
        <f t="shared" si="118"/>
        <v>6.6930123971424893E-2</v>
      </c>
      <c r="AL204" s="197">
        <f t="shared" si="119"/>
        <v>0.10567636215587731</v>
      </c>
      <c r="AM204" s="197">
        <f t="shared" si="120"/>
        <v>4.4806777554091985E-3</v>
      </c>
      <c r="AN204" s="197">
        <f t="shared" si="85"/>
        <v>24.05</v>
      </c>
      <c r="AO204" s="197">
        <f t="shared" si="86"/>
        <v>21.69</v>
      </c>
      <c r="AP204" s="197">
        <f t="shared" si="121"/>
        <v>8.1388853024893376E-2</v>
      </c>
      <c r="AQ204" s="197">
        <f t="shared" si="122"/>
        <v>0.47574719071920157</v>
      </c>
      <c r="AR204" s="197">
        <f t="shared" si="123"/>
        <v>0.32437383703244094</v>
      </c>
      <c r="AS204" s="258">
        <f t="shared" si="124"/>
        <v>0.20019450293527363</v>
      </c>
      <c r="AT204" s="197">
        <f t="shared" si="87"/>
        <v>4.4887179686161445E-4</v>
      </c>
      <c r="AU204" s="194">
        <f t="shared" si="88"/>
        <v>21.19</v>
      </c>
      <c r="AV204" s="197">
        <f t="shared" si="89"/>
        <v>2.4599999999999966E-2</v>
      </c>
      <c r="AW204" s="197">
        <f t="shared" si="90"/>
        <v>3.4259999999999998E-3</v>
      </c>
      <c r="AX204" s="197">
        <f t="shared" si="125"/>
        <v>5.6186399999999921E-2</v>
      </c>
      <c r="AY204" s="197">
        <f t="shared" si="91"/>
        <v>2.8867475999999996E-3</v>
      </c>
      <c r="AZ204" s="197">
        <f t="shared" si="92"/>
        <v>0</v>
      </c>
      <c r="BA204" s="197">
        <f t="shared" si="126"/>
        <v>7.2596939999999999E-2</v>
      </c>
      <c r="BB204" s="258">
        <f t="shared" si="93"/>
        <v>0.40243994058714433</v>
      </c>
      <c r="BC204" s="197">
        <f t="shared" si="94"/>
        <v>2.7095557636957906E-2</v>
      </c>
      <c r="BD204" s="197">
        <f t="shared" si="127"/>
        <v>5.4191115273915817E-3</v>
      </c>
      <c r="BE204" s="197">
        <f t="shared" si="128"/>
        <v>3.2514669164349488E-2</v>
      </c>
      <c r="BF204" s="197">
        <f t="shared" si="95"/>
        <v>0.20773291256157633</v>
      </c>
      <c r="BG204" s="197">
        <f t="shared" si="96"/>
        <v>7.7949385835468781E-4</v>
      </c>
      <c r="BH204" s="197">
        <f t="shared" si="97"/>
        <v>4.2781333602207157E-2</v>
      </c>
      <c r="BI204" s="197">
        <f t="shared" si="129"/>
        <v>0.46572982160824261</v>
      </c>
      <c r="BJ204" s="197">
        <f t="shared" si="98"/>
        <v>6.7880358560910015</v>
      </c>
      <c r="BK204" s="288">
        <f t="shared" si="99"/>
        <v>0.93138960496351286</v>
      </c>
      <c r="BL204" s="197">
        <f t="shared" si="100"/>
        <v>0.4139046253714031</v>
      </c>
      <c r="BM204" s="197">
        <f t="shared" si="101"/>
        <v>8.1837724821754984E-2</v>
      </c>
      <c r="BN204" s="197">
        <f t="shared" si="102"/>
        <v>54.910263489305301</v>
      </c>
      <c r="BO204" s="197">
        <f t="shared" si="130"/>
        <v>0.20851240641993102</v>
      </c>
      <c r="BP204" s="197">
        <f t="shared" si="103"/>
        <v>65.638430481494822</v>
      </c>
      <c r="BQ204" s="197">
        <f t="shared" si="104"/>
        <v>9.7196939999999968E-2</v>
      </c>
      <c r="BR204" s="288">
        <f t="shared" si="105"/>
        <v>0.18918807084988504</v>
      </c>
      <c r="BS204" s="197">
        <f t="shared" si="106"/>
        <v>0.15137335368676058</v>
      </c>
      <c r="BT204" s="197">
        <f t="shared" si="107"/>
        <v>0.40006051387582126</v>
      </c>
      <c r="BU204" s="197">
        <f t="shared" si="108"/>
        <v>0.28911957189958859</v>
      </c>
      <c r="BV204" s="197">
        <f t="shared" si="109"/>
        <v>0.76410624253628578</v>
      </c>
      <c r="BW204" s="194"/>
      <c r="BX204" s="194"/>
      <c r="BY204" s="194"/>
      <c r="BZ204" s="194"/>
      <c r="CA204" s="194"/>
      <c r="CB204" s="194"/>
      <c r="CC204" s="194"/>
      <c r="CD204" s="194"/>
      <c r="CE204" s="194"/>
      <c r="CF204" s="194"/>
      <c r="CG204" s="194"/>
      <c r="CH204" s="194"/>
      <c r="CI204" s="194"/>
      <c r="CJ204" s="194"/>
      <c r="CK204" s="194"/>
      <c r="CL204" s="194"/>
      <c r="CM204" s="194"/>
      <c r="CN204" s="194"/>
      <c r="CO204" s="194"/>
      <c r="CP204" s="194"/>
      <c r="CQ204" s="194"/>
      <c r="CR204" s="194"/>
      <c r="CS204" s="194"/>
      <c r="CT204" s="194"/>
      <c r="CU204" s="194"/>
      <c r="CV204" s="194"/>
      <c r="CW204" s="194"/>
      <c r="CX204" s="194"/>
      <c r="CY204" s="194"/>
      <c r="CZ204" s="194"/>
      <c r="DA204" s="194"/>
      <c r="DB204" s="194"/>
      <c r="DC204" s="194"/>
      <c r="DD204" s="194"/>
      <c r="DE204" s="194"/>
      <c r="DF204" s="194"/>
    </row>
    <row r="205" spans="2:110" s="192" customFormat="1" hidden="1" x14ac:dyDescent="0.35">
      <c r="B205" s="289"/>
      <c r="C205" s="289"/>
      <c r="Q205" s="193"/>
      <c r="R205" s="194">
        <f t="shared" si="110"/>
        <v>16.499999999999979</v>
      </c>
      <c r="S205" s="197">
        <f t="shared" si="76"/>
        <v>0.42424242424242475</v>
      </c>
      <c r="T205" s="194">
        <f t="shared" si="131"/>
        <v>0.69</v>
      </c>
      <c r="U205" s="194">
        <f t="shared" si="132"/>
        <v>1.4999999999999999E-4</v>
      </c>
      <c r="V205" s="197">
        <f t="shared" si="111"/>
        <v>0.42424242424242475</v>
      </c>
      <c r="W205" s="197">
        <f t="shared" si="77"/>
        <v>4.7515151515151576E-3</v>
      </c>
      <c r="X205" s="286">
        <f t="shared" si="78"/>
        <v>1</v>
      </c>
      <c r="Y205" s="286">
        <f t="shared" si="79"/>
        <v>0.24282531401041885</v>
      </c>
      <c r="Z205" s="286">
        <f t="shared" si="80"/>
        <v>0.57141089137283296</v>
      </c>
      <c r="AA205" s="286">
        <f t="shared" si="112"/>
        <v>0.24282531401041885</v>
      </c>
      <c r="AB205" s="197">
        <f t="shared" si="81"/>
        <v>0.39761259546699806</v>
      </c>
      <c r="AC205" s="287">
        <f t="shared" si="82"/>
        <v>6.2262901028312528E-7</v>
      </c>
      <c r="AD205" s="197">
        <f t="shared" si="113"/>
        <v>10.711251655462368</v>
      </c>
      <c r="AE205" s="197">
        <f t="shared" si="114"/>
        <v>32.133754966387109</v>
      </c>
      <c r="AF205" s="197">
        <f t="shared" si="115"/>
        <v>8.5178571428571437E-2</v>
      </c>
      <c r="AG205" s="197">
        <f t="shared" si="116"/>
        <v>0.25553571428571431</v>
      </c>
      <c r="AH205" s="197">
        <f t="shared" si="83"/>
        <v>0.14946482392168553</v>
      </c>
      <c r="AI205" s="197">
        <f t="shared" si="117"/>
        <v>0.14946482392168553</v>
      </c>
      <c r="AJ205" s="218">
        <f t="shared" si="84"/>
        <v>389.99999999999994</v>
      </c>
      <c r="AK205" s="197">
        <f t="shared" si="118"/>
        <v>6.6520587221628777E-2</v>
      </c>
      <c r="AL205" s="197">
        <f t="shared" si="119"/>
        <v>0.10502974219882967</v>
      </c>
      <c r="AM205" s="197">
        <f t="shared" si="120"/>
        <v>4.4532610692303793E-3</v>
      </c>
      <c r="AN205" s="197">
        <f t="shared" si="85"/>
        <v>24.05</v>
      </c>
      <c r="AO205" s="197">
        <f t="shared" si="86"/>
        <v>21.69</v>
      </c>
      <c r="AP205" s="197">
        <f t="shared" si="121"/>
        <v>8.0890845186872937E-2</v>
      </c>
      <c r="AQ205" s="197">
        <f t="shared" si="122"/>
        <v>0.4723450074278408</v>
      </c>
      <c r="AR205" s="197">
        <f t="shared" si="123"/>
        <v>0.32288018350615533</v>
      </c>
      <c r="AS205" s="258">
        <f t="shared" si="124"/>
        <v>0.19708300502803658</v>
      </c>
      <c r="AT205" s="197">
        <f t="shared" si="87"/>
        <v>4.3502716175386827E-4</v>
      </c>
      <c r="AU205" s="194">
        <f t="shared" si="88"/>
        <v>21.19</v>
      </c>
      <c r="AV205" s="197">
        <f t="shared" si="89"/>
        <v>2.474999999999997E-2</v>
      </c>
      <c r="AW205" s="197">
        <f t="shared" si="90"/>
        <v>3.4259999999999994E-3</v>
      </c>
      <c r="AX205" s="197">
        <f t="shared" si="125"/>
        <v>5.652899999999992E-2</v>
      </c>
      <c r="AY205" s="197">
        <f t="shared" si="91"/>
        <v>2.8867475999999992E-3</v>
      </c>
      <c r="AZ205" s="197">
        <f t="shared" si="92"/>
        <v>0</v>
      </c>
      <c r="BA205" s="197">
        <f t="shared" si="126"/>
        <v>7.2596939999999985E-2</v>
      </c>
      <c r="BB205" s="258">
        <f t="shared" si="93"/>
        <v>0.3999467721332815</v>
      </c>
      <c r="BC205" s="197">
        <f t="shared" si="94"/>
        <v>2.6760876456313726E-2</v>
      </c>
      <c r="BD205" s="197">
        <f t="shared" si="127"/>
        <v>5.3521752912627455E-3</v>
      </c>
      <c r="BE205" s="197">
        <f t="shared" si="128"/>
        <v>3.211305174757647E-2</v>
      </c>
      <c r="BF205" s="197">
        <f t="shared" si="95"/>
        <v>0.20773291256157633</v>
      </c>
      <c r="BG205" s="197">
        <f t="shared" si="96"/>
        <v>7.6489973913281928E-4</v>
      </c>
      <c r="BH205" s="197">
        <f t="shared" si="97"/>
        <v>4.2252903538823286E-2</v>
      </c>
      <c r="BI205" s="197">
        <f t="shared" si="129"/>
        <v>0.46442332753573562</v>
      </c>
      <c r="BJ205" s="197">
        <f t="shared" si="98"/>
        <v>6.7867293620184945</v>
      </c>
      <c r="BK205" s="288">
        <f t="shared" si="99"/>
        <v>0.93156890414183136</v>
      </c>
      <c r="BL205" s="197">
        <f t="shared" si="100"/>
        <v>0.41131693103142442</v>
      </c>
      <c r="BM205" s="197">
        <f t="shared" si="101"/>
        <v>8.1325872348626801E-2</v>
      </c>
      <c r="BN205" s="197">
        <f t="shared" si="102"/>
        <v>54.879552340917606</v>
      </c>
      <c r="BO205" s="197">
        <f t="shared" si="130"/>
        <v>0.20849781230070916</v>
      </c>
      <c r="BP205" s="197">
        <f t="shared" si="103"/>
        <v>65.637335922553191</v>
      </c>
      <c r="BQ205" s="197">
        <f t="shared" si="104"/>
        <v>9.7346939999999951E-2</v>
      </c>
      <c r="BR205" s="288">
        <f t="shared" si="105"/>
        <v>0.18795282848891937</v>
      </c>
      <c r="BS205" s="197">
        <f t="shared" si="106"/>
        <v>0.14946482392168553</v>
      </c>
      <c r="BT205" s="197">
        <f t="shared" si="107"/>
        <v>0.39761259546699806</v>
      </c>
      <c r="BU205" s="197">
        <f t="shared" si="108"/>
        <v>0.2818541438685449</v>
      </c>
      <c r="BV205" s="197">
        <f t="shared" si="109"/>
        <v>0.74980021884895831</v>
      </c>
      <c r="BW205" s="194"/>
      <c r="BX205" s="194"/>
      <c r="BY205" s="194"/>
      <c r="BZ205" s="194"/>
      <c r="CA205" s="194"/>
      <c r="CB205" s="194"/>
      <c r="CC205" s="194"/>
      <c r="CD205" s="194"/>
      <c r="CE205" s="194"/>
      <c r="CF205" s="194"/>
      <c r="CG205" s="194"/>
      <c r="CH205" s="194"/>
      <c r="CI205" s="194"/>
      <c r="CJ205" s="194"/>
      <c r="CK205" s="194"/>
      <c r="CL205" s="194"/>
      <c r="CM205" s="194"/>
      <c r="CN205" s="194"/>
      <c r="CO205" s="194"/>
      <c r="CP205" s="194"/>
      <c r="CQ205" s="194"/>
      <c r="CR205" s="194"/>
      <c r="CS205" s="194"/>
      <c r="CT205" s="194"/>
      <c r="CU205" s="194"/>
      <c r="CV205" s="194"/>
      <c r="CW205" s="194"/>
      <c r="CX205" s="194"/>
      <c r="CY205" s="194"/>
      <c r="CZ205" s="194"/>
      <c r="DA205" s="194"/>
      <c r="DB205" s="194"/>
      <c r="DC205" s="194"/>
      <c r="DD205" s="194"/>
      <c r="DE205" s="194"/>
      <c r="DF205" s="194"/>
    </row>
    <row r="206" spans="2:110" s="192" customFormat="1" hidden="1" x14ac:dyDescent="0.35">
      <c r="B206" s="289"/>
      <c r="C206" s="289"/>
      <c r="Q206" s="193"/>
      <c r="R206" s="194">
        <f t="shared" si="110"/>
        <v>16.59999999999998</v>
      </c>
      <c r="S206" s="197">
        <f t="shared" si="76"/>
        <v>0.42168674698795228</v>
      </c>
      <c r="T206" s="194">
        <f t="shared" si="131"/>
        <v>0.69</v>
      </c>
      <c r="U206" s="194">
        <f t="shared" si="132"/>
        <v>1.4999999999999999E-4</v>
      </c>
      <c r="V206" s="197">
        <f t="shared" si="111"/>
        <v>0.42168674698795228</v>
      </c>
      <c r="W206" s="197">
        <f t="shared" si="77"/>
        <v>4.722891566265066E-3</v>
      </c>
      <c r="X206" s="286">
        <f t="shared" si="78"/>
        <v>1</v>
      </c>
      <c r="Y206" s="286">
        <f t="shared" si="79"/>
        <v>0.23819253304946311</v>
      </c>
      <c r="Z206" s="286">
        <f t="shared" si="80"/>
        <v>0.56990604048217874</v>
      </c>
      <c r="AA206" s="286">
        <f t="shared" si="112"/>
        <v>0.23819253304946311</v>
      </c>
      <c r="AB206" s="197">
        <f t="shared" si="81"/>
        <v>0.39519459335750268</v>
      </c>
      <c r="AC206" s="287">
        <f t="shared" si="82"/>
        <v>6.1075008474221307E-7</v>
      </c>
      <c r="AD206" s="197">
        <f t="shared" si="113"/>
        <v>10.776788556861256</v>
      </c>
      <c r="AE206" s="197">
        <f t="shared" si="114"/>
        <v>32.330365670583767</v>
      </c>
      <c r="AF206" s="197">
        <f t="shared" si="115"/>
        <v>8.5178571428571437E-2</v>
      </c>
      <c r="AG206" s="197">
        <f t="shared" si="116"/>
        <v>0.25553571428571431</v>
      </c>
      <c r="AH206" s="197">
        <f t="shared" si="83"/>
        <v>0.14752102480379933</v>
      </c>
      <c r="AI206" s="197">
        <f t="shared" si="117"/>
        <v>0.14752102480379933</v>
      </c>
      <c r="AJ206" s="218">
        <f t="shared" si="84"/>
        <v>390</v>
      </c>
      <c r="AK206" s="197">
        <f t="shared" si="118"/>
        <v>6.6116055468710203E-2</v>
      </c>
      <c r="AL206" s="197">
        <f t="shared" si="119"/>
        <v>0.1043910246604724</v>
      </c>
      <c r="AM206" s="197">
        <f t="shared" si="120"/>
        <v>4.4261794456040308E-3</v>
      </c>
      <c r="AN206" s="197">
        <f t="shared" si="85"/>
        <v>24.05</v>
      </c>
      <c r="AO206" s="197">
        <f t="shared" si="86"/>
        <v>21.69</v>
      </c>
      <c r="AP206" s="197">
        <f t="shared" si="121"/>
        <v>8.0398923561324345E-2</v>
      </c>
      <c r="AQ206" s="197">
        <f t="shared" si="122"/>
        <v>0.46895510575940236</v>
      </c>
      <c r="AR206" s="197">
        <f t="shared" si="123"/>
        <v>0.321434080955603</v>
      </c>
      <c r="AS206" s="258">
        <f t="shared" si="124"/>
        <v>0.19399120386036542</v>
      </c>
      <c r="AT206" s="197">
        <f t="shared" si="87"/>
        <v>4.2148497636217125E-4</v>
      </c>
      <c r="AU206" s="194">
        <f t="shared" si="88"/>
        <v>21.19</v>
      </c>
      <c r="AV206" s="197">
        <f t="shared" si="89"/>
        <v>2.4899999999999971E-2</v>
      </c>
      <c r="AW206" s="197">
        <f t="shared" si="90"/>
        <v>3.4259999999999998E-3</v>
      </c>
      <c r="AX206" s="197">
        <f t="shared" si="125"/>
        <v>5.6871599999999925E-2</v>
      </c>
      <c r="AY206" s="197">
        <f t="shared" si="91"/>
        <v>2.8867475999999996E-3</v>
      </c>
      <c r="AZ206" s="197">
        <f t="shared" si="92"/>
        <v>0</v>
      </c>
      <c r="BA206" s="197">
        <f t="shared" si="126"/>
        <v>7.2596939999999999E-2</v>
      </c>
      <c r="BB206" s="258">
        <f t="shared" si="93"/>
        <v>0.39748245791346837</v>
      </c>
      <c r="BC206" s="197">
        <f t="shared" si="94"/>
        <v>2.643211251757635E-2</v>
      </c>
      <c r="BD206" s="197">
        <f t="shared" si="127"/>
        <v>5.2864225035152701E-3</v>
      </c>
      <c r="BE206" s="197">
        <f t="shared" si="128"/>
        <v>3.1718535021091621E-2</v>
      </c>
      <c r="BF206" s="197">
        <f t="shared" si="95"/>
        <v>0.20773291256157633</v>
      </c>
      <c r="BG206" s="197">
        <f t="shared" si="96"/>
        <v>7.503064791058088E-4</v>
      </c>
      <c r="BH206" s="197">
        <f t="shared" si="97"/>
        <v>4.1733816243114154E-2</v>
      </c>
      <c r="BI206" s="197">
        <f t="shared" si="129"/>
        <v>0.46313966644257443</v>
      </c>
      <c r="BJ206" s="197">
        <f t="shared" si="98"/>
        <v>6.7854457009253331</v>
      </c>
      <c r="BK206" s="288">
        <f t="shared" si="99"/>
        <v>0.93174513703949979</v>
      </c>
      <c r="BL206" s="197">
        <f t="shared" si="100"/>
        <v>0.40876178921236994</v>
      </c>
      <c r="BM206" s="197">
        <f t="shared" si="101"/>
        <v>8.0820408537686517E-2</v>
      </c>
      <c r="BN206" s="197">
        <f t="shared" si="102"/>
        <v>54.849224512261188</v>
      </c>
      <c r="BO206" s="197">
        <f t="shared" si="130"/>
        <v>0.20848321904068215</v>
      </c>
      <c r="BP206" s="197">
        <f t="shared" si="103"/>
        <v>65.636241428051164</v>
      </c>
      <c r="BQ206" s="197">
        <f t="shared" si="104"/>
        <v>9.7496939999999976E-2</v>
      </c>
      <c r="BR206" s="288">
        <f t="shared" si="105"/>
        <v>0.1866435261050601</v>
      </c>
      <c r="BS206" s="197">
        <f t="shared" si="106"/>
        <v>0.14752102480379933</v>
      </c>
      <c r="BT206" s="197">
        <f t="shared" si="107"/>
        <v>0.39519459335750268</v>
      </c>
      <c r="BU206" s="197">
        <f t="shared" si="108"/>
        <v>0.27455077442455078</v>
      </c>
      <c r="BV206" s="197">
        <f t="shared" si="109"/>
        <v>0.73549503739553335</v>
      </c>
      <c r="BW206" s="194"/>
      <c r="BX206" s="194"/>
      <c r="BY206" s="194"/>
      <c r="BZ206" s="194"/>
      <c r="CA206" s="194"/>
      <c r="CB206" s="194"/>
      <c r="CC206" s="194"/>
      <c r="CD206" s="194"/>
      <c r="CE206" s="194"/>
      <c r="CF206" s="194"/>
      <c r="CG206" s="194"/>
      <c r="CH206" s="194"/>
      <c r="CI206" s="194"/>
      <c r="CJ206" s="194"/>
      <c r="CK206" s="194"/>
      <c r="CL206" s="194"/>
      <c r="CM206" s="194"/>
      <c r="CN206" s="194"/>
      <c r="CO206" s="194"/>
      <c r="CP206" s="194"/>
      <c r="CQ206" s="194"/>
      <c r="CR206" s="194"/>
      <c r="CS206" s="194"/>
      <c r="CT206" s="194"/>
      <c r="CU206" s="194"/>
      <c r="CV206" s="194"/>
      <c r="CW206" s="194"/>
      <c r="CX206" s="194"/>
      <c r="CY206" s="194"/>
      <c r="CZ206" s="194"/>
      <c r="DA206" s="194"/>
      <c r="DB206" s="194"/>
      <c r="DC206" s="194"/>
      <c r="DD206" s="194"/>
      <c r="DE206" s="194"/>
      <c r="DF206" s="194"/>
    </row>
    <row r="207" spans="2:110" s="192" customFormat="1" hidden="1" x14ac:dyDescent="0.35">
      <c r="B207" s="289"/>
      <c r="C207" s="289"/>
      <c r="Q207" s="193"/>
      <c r="R207" s="194">
        <f t="shared" si="110"/>
        <v>16.699999999999982</v>
      </c>
      <c r="S207" s="197">
        <f t="shared" si="76"/>
        <v>0.41916167664670706</v>
      </c>
      <c r="T207" s="194">
        <f t="shared" si="131"/>
        <v>0.69</v>
      </c>
      <c r="U207" s="194">
        <f t="shared" si="132"/>
        <v>1.4999999999999999E-4</v>
      </c>
      <c r="V207" s="197">
        <f t="shared" si="111"/>
        <v>0.41916167664670706</v>
      </c>
      <c r="W207" s="197">
        <f t="shared" si="77"/>
        <v>4.69461077844312E-3</v>
      </c>
      <c r="X207" s="286">
        <f t="shared" si="78"/>
        <v>1</v>
      </c>
      <c r="Y207" s="286">
        <f t="shared" si="79"/>
        <v>0.23356001994783382</v>
      </c>
      <c r="Z207" s="286">
        <f t="shared" si="80"/>
        <v>0.56840918000618856</v>
      </c>
      <c r="AA207" s="286">
        <f t="shared" si="112"/>
        <v>0.23356001994783382</v>
      </c>
      <c r="AB207" s="197">
        <f t="shared" si="81"/>
        <v>0.39280595996275586</v>
      </c>
      <c r="AC207" s="287">
        <f t="shared" si="82"/>
        <v>5.9887184602008669E-7</v>
      </c>
      <c r="AD207" s="197">
        <f t="shared" si="113"/>
        <v>10.842321669030644</v>
      </c>
      <c r="AE207" s="197">
        <f t="shared" si="114"/>
        <v>32.526965007091931</v>
      </c>
      <c r="AF207" s="197">
        <f t="shared" si="115"/>
        <v>8.5178571428571423E-2</v>
      </c>
      <c r="AG207" s="197">
        <f t="shared" si="116"/>
        <v>0.25553571428571425</v>
      </c>
      <c r="AH207" s="197">
        <f t="shared" si="83"/>
        <v>0.14554196548093942</v>
      </c>
      <c r="AI207" s="197">
        <f t="shared" si="117"/>
        <v>0.14554196548093942</v>
      </c>
      <c r="AJ207" s="218">
        <f t="shared" si="84"/>
        <v>390</v>
      </c>
      <c r="AK207" s="197">
        <f t="shared" si="118"/>
        <v>6.5716437101769054E-2</v>
      </c>
      <c r="AL207" s="197">
        <f t="shared" si="119"/>
        <v>0.1037600648958223</v>
      </c>
      <c r="AM207" s="197">
        <f t="shared" si="120"/>
        <v>4.3994267515828659E-3</v>
      </c>
      <c r="AN207" s="197">
        <f t="shared" si="85"/>
        <v>24.05</v>
      </c>
      <c r="AO207" s="197">
        <f t="shared" si="86"/>
        <v>21.69</v>
      </c>
      <c r="AP207" s="197">
        <f t="shared" si="121"/>
        <v>7.9912976746898803E-2</v>
      </c>
      <c r="AQ207" s="197">
        <f t="shared" si="122"/>
        <v>0.46557694270322558</v>
      </c>
      <c r="AR207" s="197">
        <f t="shared" si="123"/>
        <v>0.32003497722228613</v>
      </c>
      <c r="AS207" s="258">
        <f t="shared" si="124"/>
        <v>0.19091825524582343</v>
      </c>
      <c r="AT207" s="197">
        <f t="shared" si="87"/>
        <v>4.082375380844252E-4</v>
      </c>
      <c r="AU207" s="194">
        <f t="shared" si="88"/>
        <v>21.19</v>
      </c>
      <c r="AV207" s="197">
        <f t="shared" si="89"/>
        <v>2.5049999999999972E-2</v>
      </c>
      <c r="AW207" s="197">
        <f t="shared" si="90"/>
        <v>3.4259999999999998E-3</v>
      </c>
      <c r="AX207" s="197">
        <f t="shared" si="125"/>
        <v>5.721419999999993E-2</v>
      </c>
      <c r="AY207" s="197">
        <f t="shared" si="91"/>
        <v>2.8867475999999996E-3</v>
      </c>
      <c r="AZ207" s="197">
        <f t="shared" si="92"/>
        <v>0</v>
      </c>
      <c r="BA207" s="197">
        <f t="shared" si="126"/>
        <v>7.2596939999999999E-2</v>
      </c>
      <c r="BB207" s="258">
        <f t="shared" si="93"/>
        <v>0.39504648776053358</v>
      </c>
      <c r="BC207" s="197">
        <f t="shared" si="94"/>
        <v>2.6109127009400462E-2</v>
      </c>
      <c r="BD207" s="197">
        <f t="shared" si="127"/>
        <v>5.2218254018800928E-3</v>
      </c>
      <c r="BE207" s="197">
        <f t="shared" si="128"/>
        <v>3.1330952411280553E-2</v>
      </c>
      <c r="BF207" s="197">
        <f t="shared" si="95"/>
        <v>0.20773291256157633</v>
      </c>
      <c r="BG207" s="197">
        <f t="shared" si="96"/>
        <v>7.3571406283567638E-4</v>
      </c>
      <c r="BH207" s="197">
        <f t="shared" si="97"/>
        <v>4.1223852545039019E-2</v>
      </c>
      <c r="BI207" s="197">
        <f t="shared" si="129"/>
        <v>0.46187833346571483</v>
      </c>
      <c r="BJ207" s="197">
        <f t="shared" si="98"/>
        <v>6.7841843679484741</v>
      </c>
      <c r="BK207" s="288">
        <f t="shared" si="99"/>
        <v>0.93191836948774043</v>
      </c>
      <c r="BL207" s="197">
        <f t="shared" si="100"/>
        <v>0.40623858490709469</v>
      </c>
      <c r="BM207" s="197">
        <f t="shared" si="101"/>
        <v>8.0321214284983233E-2</v>
      </c>
      <c r="BN207" s="197">
        <f t="shared" si="102"/>
        <v>54.819272857098994</v>
      </c>
      <c r="BO207" s="197">
        <f t="shared" si="130"/>
        <v>0.20846862662441201</v>
      </c>
      <c r="BP207" s="197">
        <f t="shared" si="103"/>
        <v>65.635146996830898</v>
      </c>
      <c r="BQ207" s="197">
        <f t="shared" si="104"/>
        <v>9.7646939999999974E-2</v>
      </c>
      <c r="BR207" s="288">
        <f t="shared" si="105"/>
        <v>0.18525936507523852</v>
      </c>
      <c r="BS207" s="197">
        <f t="shared" si="106"/>
        <v>0.14554196548093942</v>
      </c>
      <c r="BT207" s="197">
        <f t="shared" si="107"/>
        <v>0.39280595996275586</v>
      </c>
      <c r="BU207" s="197">
        <f t="shared" si="108"/>
        <v>0.267214656077368</v>
      </c>
      <c r="BV207" s="197">
        <f t="shared" si="109"/>
        <v>0.72119068304278544</v>
      </c>
      <c r="BW207" s="194"/>
      <c r="BX207" s="194"/>
      <c r="BY207" s="194"/>
      <c r="BZ207" s="194"/>
      <c r="CA207" s="194"/>
      <c r="CB207" s="194"/>
      <c r="CC207" s="194"/>
      <c r="CD207" s="194"/>
      <c r="CE207" s="194"/>
      <c r="CF207" s="194"/>
      <c r="CG207" s="194"/>
      <c r="CH207" s="194"/>
      <c r="CI207" s="194"/>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row>
    <row r="208" spans="2:110" s="192" customFormat="1" hidden="1" x14ac:dyDescent="0.35">
      <c r="B208" s="289"/>
      <c r="C208" s="289"/>
      <c r="Q208" s="193"/>
      <c r="R208" s="194">
        <f t="shared" si="110"/>
        <v>16.799999999999983</v>
      </c>
      <c r="S208" s="197">
        <f t="shared" si="76"/>
        <v>0.41666666666666707</v>
      </c>
      <c r="T208" s="194">
        <f t="shared" si="131"/>
        <v>0.69</v>
      </c>
      <c r="U208" s="194">
        <f t="shared" si="132"/>
        <v>1.4999999999999999E-4</v>
      </c>
      <c r="V208" s="197">
        <f t="shared" si="111"/>
        <v>0.41666666666666707</v>
      </c>
      <c r="W208" s="197">
        <f t="shared" si="77"/>
        <v>4.6666666666666723E-3</v>
      </c>
      <c r="X208" s="286">
        <f t="shared" si="78"/>
        <v>1</v>
      </c>
      <c r="Y208" s="286">
        <f t="shared" si="79"/>
        <v>0.22892776992129929</v>
      </c>
      <c r="Z208" s="286">
        <f t="shared" si="80"/>
        <v>0.56692024497539617</v>
      </c>
      <c r="AA208" s="286">
        <f t="shared" si="112"/>
        <v>0.22892776992129929</v>
      </c>
      <c r="AB208" s="197">
        <f t="shared" si="81"/>
        <v>0.39044616103928187</v>
      </c>
      <c r="AC208" s="287">
        <f t="shared" si="82"/>
        <v>5.8699428184948538E-7</v>
      </c>
      <c r="AD208" s="197">
        <f t="shared" si="113"/>
        <v>10.907851059649913</v>
      </c>
      <c r="AE208" s="197">
        <f t="shared" si="114"/>
        <v>32.723553178949736</v>
      </c>
      <c r="AF208" s="197">
        <f t="shared" si="115"/>
        <v>8.5178571428571423E-2</v>
      </c>
      <c r="AG208" s="197">
        <f t="shared" si="116"/>
        <v>0.25553571428571425</v>
      </c>
      <c r="AH208" s="197">
        <f t="shared" si="83"/>
        <v>0.14352765487818137</v>
      </c>
      <c r="AI208" s="197">
        <f t="shared" si="117"/>
        <v>0.14352765487818137</v>
      </c>
      <c r="AJ208" s="218">
        <f t="shared" si="84"/>
        <v>390</v>
      </c>
      <c r="AK208" s="197">
        <f t="shared" si="118"/>
        <v>6.5321642741871855E-2</v>
      </c>
      <c r="AL208" s="197">
        <f t="shared" si="119"/>
        <v>0.10313672178396124</v>
      </c>
      <c r="AM208" s="197">
        <f t="shared" si="120"/>
        <v>4.3729970036399573E-3</v>
      </c>
      <c r="AN208" s="197">
        <f t="shared" si="85"/>
        <v>24.05</v>
      </c>
      <c r="AO208" s="197">
        <f t="shared" si="86"/>
        <v>21.69</v>
      </c>
      <c r="AP208" s="197">
        <f t="shared" si="121"/>
        <v>7.9432896056379709E-2</v>
      </c>
      <c r="AQ208" s="197">
        <f t="shared" si="122"/>
        <v>0.46220998847837258</v>
      </c>
      <c r="AR208" s="197">
        <f t="shared" si="123"/>
        <v>0.31868233360019116</v>
      </c>
      <c r="AS208" s="258">
        <f t="shared" si="124"/>
        <v>0.18786331141676796</v>
      </c>
      <c r="AT208" s="197">
        <f t="shared" si="87"/>
        <v>3.9527738629650371E-4</v>
      </c>
      <c r="AU208" s="194">
        <f t="shared" si="88"/>
        <v>21.19</v>
      </c>
      <c r="AV208" s="197">
        <f t="shared" si="89"/>
        <v>2.5199999999999976E-2</v>
      </c>
      <c r="AW208" s="197">
        <f t="shared" si="90"/>
        <v>3.4259999999999998E-3</v>
      </c>
      <c r="AX208" s="197">
        <f t="shared" si="125"/>
        <v>5.7556799999999936E-2</v>
      </c>
      <c r="AY208" s="197">
        <f t="shared" si="91"/>
        <v>2.8867475999999996E-3</v>
      </c>
      <c r="AZ208" s="197">
        <f t="shared" si="92"/>
        <v>0</v>
      </c>
      <c r="BA208" s="197">
        <f t="shared" si="126"/>
        <v>7.2596939999999999E-2</v>
      </c>
      <c r="BB208" s="258">
        <f t="shared" si="93"/>
        <v>0.39263836666821289</v>
      </c>
      <c r="BC208" s="197">
        <f t="shared" si="94"/>
        <v>2.5791785591734256E-2</v>
      </c>
      <c r="BD208" s="197">
        <f t="shared" si="127"/>
        <v>5.158357118346852E-3</v>
      </c>
      <c r="BE208" s="197">
        <f t="shared" si="128"/>
        <v>3.0950142710081108E-2</v>
      </c>
      <c r="BF208" s="197">
        <f t="shared" si="95"/>
        <v>0.20773291256157633</v>
      </c>
      <c r="BG208" s="197">
        <f t="shared" si="96"/>
        <v>7.2112247525209271E-4</v>
      </c>
      <c r="BH208" s="197">
        <f t="shared" si="97"/>
        <v>4.0722800334308445E-2</v>
      </c>
      <c r="BI208" s="197">
        <f t="shared" si="129"/>
        <v>0.46063883912389414</v>
      </c>
      <c r="BJ208" s="197">
        <f t="shared" si="98"/>
        <v>6.7829448736066533</v>
      </c>
      <c r="BK208" s="288">
        <f t="shared" si="99"/>
        <v>0.93208866536475898</v>
      </c>
      <c r="BL208" s="197">
        <f t="shared" si="100"/>
        <v>0.40374671866706313</v>
      </c>
      <c r="BM208" s="197">
        <f t="shared" si="101"/>
        <v>7.9828173442676217E-2</v>
      </c>
      <c r="BN208" s="197">
        <f t="shared" si="102"/>
        <v>54.789690406560574</v>
      </c>
      <c r="BO208" s="197">
        <f t="shared" si="130"/>
        <v>0.20845403503682844</v>
      </c>
      <c r="BP208" s="197">
        <f t="shared" si="103"/>
        <v>65.634052627762131</v>
      </c>
      <c r="BQ208" s="197">
        <f t="shared" si="104"/>
        <v>9.7796939999999971E-2</v>
      </c>
      <c r="BR208" s="288">
        <f t="shared" si="105"/>
        <v>0.18379954677508198</v>
      </c>
      <c r="BS208" s="197">
        <f t="shared" si="106"/>
        <v>0.14352765487818137</v>
      </c>
      <c r="BT208" s="197">
        <f t="shared" si="107"/>
        <v>0.39044616103928187</v>
      </c>
      <c r="BU208" s="197">
        <f t="shared" si="108"/>
        <v>0.25985107228043991</v>
      </c>
      <c r="BV208" s="197">
        <f t="shared" si="109"/>
        <v>0.70688714101788097</v>
      </c>
      <c r="BW208" s="194"/>
      <c r="BX208" s="194"/>
      <c r="BY208" s="194"/>
      <c r="BZ208" s="194"/>
      <c r="CA208" s="194"/>
      <c r="CB208" s="194"/>
      <c r="CC208" s="194"/>
      <c r="CD208" s="194"/>
      <c r="CE208" s="194"/>
      <c r="CF208" s="194"/>
      <c r="CG208" s="194"/>
      <c r="CH208" s="194"/>
      <c r="CI208" s="194"/>
      <c r="CJ208" s="194"/>
      <c r="CK208" s="194"/>
      <c r="CL208" s="194"/>
      <c r="CM208" s="194"/>
      <c r="CN208" s="194"/>
      <c r="CO208" s="194"/>
      <c r="CP208" s="194"/>
      <c r="CQ208" s="194"/>
      <c r="CR208" s="194"/>
      <c r="CS208" s="194"/>
      <c r="CT208" s="194"/>
      <c r="CU208" s="194"/>
      <c r="CV208" s="194"/>
      <c r="CW208" s="194"/>
      <c r="CX208" s="194"/>
      <c r="CY208" s="194"/>
      <c r="CZ208" s="194"/>
      <c r="DA208" s="194"/>
      <c r="DB208" s="194"/>
      <c r="DC208" s="194"/>
      <c r="DD208" s="194"/>
      <c r="DE208" s="194"/>
      <c r="DF208" s="194"/>
    </row>
    <row r="209" spans="2:110" s="192" customFormat="1" hidden="1" x14ac:dyDescent="0.35">
      <c r="B209" s="289"/>
      <c r="C209" s="289"/>
      <c r="Q209" s="193"/>
      <c r="R209" s="194">
        <f t="shared" si="110"/>
        <v>16.899999999999984</v>
      </c>
      <c r="S209" s="197">
        <f t="shared" si="76"/>
        <v>0.41420118343195306</v>
      </c>
      <c r="T209" s="194">
        <f t="shared" si="131"/>
        <v>0.69</v>
      </c>
      <c r="U209" s="194">
        <f t="shared" si="132"/>
        <v>1.4999999999999999E-4</v>
      </c>
      <c r="V209" s="197">
        <f t="shared" si="111"/>
        <v>0.41420118343195306</v>
      </c>
      <c r="W209" s="197">
        <f t="shared" si="77"/>
        <v>4.639053254437875E-3</v>
      </c>
      <c r="X209" s="286">
        <f t="shared" si="78"/>
        <v>1</v>
      </c>
      <c r="Y209" s="286">
        <f t="shared" si="79"/>
        <v>0.22429577829888853</v>
      </c>
      <c r="Z209" s="286">
        <f t="shared" si="80"/>
        <v>0.56543917115736886</v>
      </c>
      <c r="AA209" s="286">
        <f t="shared" si="112"/>
        <v>0.22429577829888853</v>
      </c>
      <c r="AB209" s="197">
        <f t="shared" si="81"/>
        <v>0.3881146752791938</v>
      </c>
      <c r="AC209" s="287">
        <f t="shared" si="82"/>
        <v>5.7511738025356032E-7</v>
      </c>
      <c r="AD209" s="197">
        <f t="shared" si="113"/>
        <v>10.973376794796211</v>
      </c>
      <c r="AE209" s="197">
        <f t="shared" si="114"/>
        <v>32.920130384388628</v>
      </c>
      <c r="AF209" s="197">
        <f t="shared" si="115"/>
        <v>8.5178571428571437E-2</v>
      </c>
      <c r="AG209" s="197">
        <f t="shared" si="116"/>
        <v>0.25553571428571431</v>
      </c>
      <c r="AH209" s="197">
        <f t="shared" si="83"/>
        <v>0.14147810170460615</v>
      </c>
      <c r="AI209" s="197">
        <f t="shared" si="117"/>
        <v>0.14147810170460615</v>
      </c>
      <c r="AJ209" s="218">
        <f t="shared" si="84"/>
        <v>390</v>
      </c>
      <c r="AK209" s="197">
        <f t="shared" si="118"/>
        <v>6.4931585174209119E-2</v>
      </c>
      <c r="AL209" s="197">
        <f t="shared" si="119"/>
        <v>0.10252085762091911</v>
      </c>
      <c r="AM209" s="197">
        <f t="shared" si="120"/>
        <v>4.3468843631269708E-3</v>
      </c>
      <c r="AN209" s="197">
        <f t="shared" si="85"/>
        <v>24.05</v>
      </c>
      <c r="AO209" s="197">
        <f t="shared" si="86"/>
        <v>21.69</v>
      </c>
      <c r="AP209" s="197">
        <f t="shared" si="121"/>
        <v>7.8958575434184192E-2</v>
      </c>
      <c r="AQ209" s="197">
        <f t="shared" si="122"/>
        <v>0.45885372613149689</v>
      </c>
      <c r="AR209" s="197">
        <f t="shared" si="123"/>
        <v>0.31737562442689071</v>
      </c>
      <c r="AS209" s="258">
        <f t="shared" si="124"/>
        <v>0.1848255193094408</v>
      </c>
      <c r="AT209" s="197">
        <f t="shared" si="87"/>
        <v>3.8259729298565021E-4</v>
      </c>
      <c r="AU209" s="194">
        <f t="shared" si="88"/>
        <v>21.19</v>
      </c>
      <c r="AV209" s="197">
        <f t="shared" si="89"/>
        <v>2.5349999999999977E-2</v>
      </c>
      <c r="AW209" s="197">
        <f t="shared" si="90"/>
        <v>3.4259999999999998E-3</v>
      </c>
      <c r="AX209" s="197">
        <f t="shared" si="125"/>
        <v>5.7899399999999941E-2</v>
      </c>
      <c r="AY209" s="197">
        <f t="shared" si="91"/>
        <v>2.8867475999999996E-3</v>
      </c>
      <c r="AZ209" s="197">
        <f t="shared" si="92"/>
        <v>0</v>
      </c>
      <c r="BA209" s="197">
        <f t="shared" si="126"/>
        <v>7.2596939999999999E-2</v>
      </c>
      <c r="BB209" s="258">
        <f t="shared" si="93"/>
        <v>0.39025761441074913</v>
      </c>
      <c r="BC209" s="197">
        <f t="shared" si="94"/>
        <v>2.5479958237811684E-2</v>
      </c>
      <c r="BD209" s="197">
        <f t="shared" si="127"/>
        <v>5.0959916475623373E-3</v>
      </c>
      <c r="BE209" s="197">
        <f t="shared" si="128"/>
        <v>3.0575949885374022E-2</v>
      </c>
      <c r="BF209" s="197">
        <f t="shared" si="95"/>
        <v>0.20773291256157636</v>
      </c>
      <c r="BG209" s="197">
        <f t="shared" si="96"/>
        <v>7.0653170164149885E-4</v>
      </c>
      <c r="BH209" s="197">
        <f t="shared" si="97"/>
        <v>4.0230454310905002E-2</v>
      </c>
      <c r="BI209" s="197">
        <f t="shared" si="129"/>
        <v>0.45942070878666669</v>
      </c>
      <c r="BJ209" s="197">
        <f t="shared" si="98"/>
        <v>6.7817267432694255</v>
      </c>
      <c r="BK209" s="288">
        <f t="shared" si="99"/>
        <v>0.93225608666072812</v>
      </c>
      <c r="BL209" s="197">
        <f t="shared" si="100"/>
        <v>0.40128560611061725</v>
      </c>
      <c r="BM209" s="197">
        <f t="shared" si="101"/>
        <v>7.934117272716984E-2</v>
      </c>
      <c r="BN209" s="197">
        <f t="shared" si="102"/>
        <v>54.760470363630191</v>
      </c>
      <c r="BO209" s="197">
        <f t="shared" si="130"/>
        <v>0.20843944426321787</v>
      </c>
      <c r="BP209" s="197">
        <f t="shared" si="103"/>
        <v>65.632958319741334</v>
      </c>
      <c r="BQ209" s="197">
        <f t="shared" si="104"/>
        <v>9.7946939999999982E-2</v>
      </c>
      <c r="BR209" s="288">
        <f t="shared" si="105"/>
        <v>0.18226327257895181</v>
      </c>
      <c r="BS209" s="197">
        <f t="shared" si="106"/>
        <v>0.14147810170460615</v>
      </c>
      <c r="BT209" s="197">
        <f t="shared" si="107"/>
        <v>0.3881146752791938</v>
      </c>
      <c r="BU209" s="197">
        <f t="shared" si="108"/>
        <v>0.25246539743139412</v>
      </c>
      <c r="BV209" s="197">
        <f t="shared" si="109"/>
        <v>0.69258439689771423</v>
      </c>
      <c r="BW209" s="194"/>
      <c r="BX209" s="194"/>
      <c r="BY209" s="194"/>
      <c r="BZ209" s="194"/>
      <c r="CA209" s="194"/>
      <c r="CB209" s="194"/>
      <c r="CC209" s="194"/>
      <c r="CD209" s="194"/>
      <c r="CE209" s="194"/>
      <c r="CF209" s="194"/>
      <c r="CG209" s="194"/>
      <c r="CH209" s="194"/>
      <c r="CI209" s="194"/>
      <c r="CJ209" s="194"/>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row>
    <row r="210" spans="2:110" s="192" customFormat="1" hidden="1" x14ac:dyDescent="0.35">
      <c r="B210" s="289"/>
      <c r="C210" s="289"/>
      <c r="Q210" s="193"/>
      <c r="R210" s="194">
        <f t="shared" si="110"/>
        <v>16.999999999999986</v>
      </c>
      <c r="S210" s="197">
        <f t="shared" si="76"/>
        <v>0.41176470588235325</v>
      </c>
      <c r="T210" s="194">
        <f t="shared" si="131"/>
        <v>0.69</v>
      </c>
      <c r="U210" s="194">
        <f t="shared" si="132"/>
        <v>1.4999999999999999E-4</v>
      </c>
      <c r="V210" s="197">
        <f t="shared" si="111"/>
        <v>0.41176470588235325</v>
      </c>
      <c r="W210" s="197">
        <f t="shared" si="77"/>
        <v>4.6117647058823569E-3</v>
      </c>
      <c r="X210" s="286">
        <f t="shared" si="78"/>
        <v>1</v>
      </c>
      <c r="Y210" s="286">
        <f t="shared" si="79"/>
        <v>0.21966404051955893</v>
      </c>
      <c r="Z210" s="286">
        <f t="shared" si="80"/>
        <v>0.56396589504531414</v>
      </c>
      <c r="AA210" s="286">
        <f t="shared" si="112"/>
        <v>0.21966404051955893</v>
      </c>
      <c r="AB210" s="197">
        <f t="shared" si="81"/>
        <v>0.38581099391943713</v>
      </c>
      <c r="AC210" s="287">
        <f t="shared" si="82"/>
        <v>5.6324112953733057E-7</v>
      </c>
      <c r="AD210" s="197">
        <f t="shared" si="113"/>
        <v>11.038898938991606</v>
      </c>
      <c r="AE210" s="197">
        <f t="shared" si="114"/>
        <v>33.116696816974816</v>
      </c>
      <c r="AF210" s="197">
        <f t="shared" si="115"/>
        <v>8.5178571428571437E-2</v>
      </c>
      <c r="AG210" s="197">
        <f t="shared" si="116"/>
        <v>0.25553571428571425</v>
      </c>
      <c r="AH210" s="197">
        <f t="shared" si="83"/>
        <v>0.13939331445982078</v>
      </c>
      <c r="AI210" s="197">
        <f t="shared" si="117"/>
        <v>0.13939331445982078</v>
      </c>
      <c r="AJ210" s="218">
        <f t="shared" si="84"/>
        <v>390</v>
      </c>
      <c r="AK210" s="197">
        <f t="shared" si="118"/>
        <v>6.4546179282721827E-2</v>
      </c>
      <c r="AL210" s="197">
        <f t="shared" si="119"/>
        <v>0.10191233801645509</v>
      </c>
      <c r="AM210" s="197">
        <f t="shared" si="120"/>
        <v>4.3210831318976966E-3</v>
      </c>
      <c r="AN210" s="197">
        <f t="shared" si="85"/>
        <v>24.05</v>
      </c>
      <c r="AO210" s="197">
        <f t="shared" si="86"/>
        <v>21.69</v>
      </c>
      <c r="AP210" s="197">
        <f t="shared" si="121"/>
        <v>7.8489911376867047E-2</v>
      </c>
      <c r="AQ210" s="197">
        <f t="shared" si="122"/>
        <v>0.45550765114934755</v>
      </c>
      <c r="AR210" s="197">
        <f t="shared" si="123"/>
        <v>0.31611433668952671</v>
      </c>
      <c r="AS210" s="258">
        <f t="shared" si="124"/>
        <v>0.18180401874065699</v>
      </c>
      <c r="AT210" s="197">
        <f t="shared" si="87"/>
        <v>3.7019025377883546E-4</v>
      </c>
      <c r="AU210" s="194">
        <f t="shared" si="88"/>
        <v>21.19</v>
      </c>
      <c r="AV210" s="197">
        <f t="shared" si="89"/>
        <v>2.5499999999999978E-2</v>
      </c>
      <c r="AW210" s="197">
        <f t="shared" si="90"/>
        <v>3.4259999999999998E-3</v>
      </c>
      <c r="AX210" s="197">
        <f t="shared" si="125"/>
        <v>5.8241999999999947E-2</v>
      </c>
      <c r="AY210" s="197">
        <f t="shared" si="91"/>
        <v>2.8867475999999996E-3</v>
      </c>
      <c r="AZ210" s="197">
        <f t="shared" si="92"/>
        <v>0</v>
      </c>
      <c r="BA210" s="197">
        <f t="shared" si="126"/>
        <v>7.2596939999999999E-2</v>
      </c>
      <c r="BB210" s="258">
        <f t="shared" si="93"/>
        <v>0.38790376517736774</v>
      </c>
      <c r="BC210" s="197">
        <f t="shared" si="94"/>
        <v>2.5173519082787636E-2</v>
      </c>
      <c r="BD210" s="197">
        <f t="shared" si="127"/>
        <v>5.0347038165575279E-3</v>
      </c>
      <c r="BE210" s="197">
        <f t="shared" si="128"/>
        <v>3.0208222899345164E-2</v>
      </c>
      <c r="BF210" s="197">
        <f t="shared" si="95"/>
        <v>0.20773291256157636</v>
      </c>
      <c r="BG210" s="197">
        <f t="shared" si="96"/>
        <v>6.9194172763661064E-4</v>
      </c>
      <c r="BH210" s="197">
        <f t="shared" si="97"/>
        <v>3.9746615746092423E-2</v>
      </c>
      <c r="BI210" s="197">
        <f t="shared" si="129"/>
        <v>0.4582234821652964</v>
      </c>
      <c r="BJ210" s="197">
        <f t="shared" si="98"/>
        <v>6.7805295166480555</v>
      </c>
      <c r="BK210" s="288">
        <f t="shared" si="99"/>
        <v>0.93242069354019741</v>
      </c>
      <c r="BL210" s="197">
        <f t="shared" si="100"/>
        <v>0.39885467744988595</v>
      </c>
      <c r="BM210" s="197">
        <f t="shared" si="101"/>
        <v>7.8860101630645885E-2</v>
      </c>
      <c r="BN210" s="197">
        <f t="shared" si="102"/>
        <v>54.73160609783875</v>
      </c>
      <c r="BO210" s="197">
        <f t="shared" si="130"/>
        <v>0.20842485428921298</v>
      </c>
      <c r="BP210" s="197">
        <f t="shared" si="103"/>
        <v>65.63186407169097</v>
      </c>
      <c r="BQ210" s="197">
        <f t="shared" si="104"/>
        <v>9.809693999999998E-2</v>
      </c>
      <c r="BR210" s="288">
        <f t="shared" si="105"/>
        <v>0.18064974385997942</v>
      </c>
      <c r="BS210" s="197">
        <f t="shared" si="106"/>
        <v>0.13939331445982078</v>
      </c>
      <c r="BT210" s="197">
        <f t="shared" si="107"/>
        <v>0.38581099391943713</v>
      </c>
      <c r="BU210" s="197">
        <f t="shared" si="108"/>
        <v>0.2450630968725265</v>
      </c>
      <c r="BV210" s="197">
        <f t="shared" si="109"/>
        <v>0.67828243659861909</v>
      </c>
      <c r="BW210" s="194"/>
      <c r="BX210" s="194"/>
      <c r="BY210" s="194"/>
      <c r="BZ210" s="194"/>
      <c r="CA210" s="194"/>
      <c r="CB210" s="194"/>
      <c r="CC210" s="194"/>
      <c r="CD210" s="194"/>
      <c r="CE210" s="194"/>
      <c r="CF210" s="194"/>
      <c r="CG210" s="194"/>
      <c r="CH210" s="194"/>
      <c r="CI210" s="194"/>
      <c r="CJ210" s="194"/>
      <c r="CK210" s="194"/>
      <c r="CL210" s="194"/>
      <c r="CM210" s="194"/>
      <c r="CN210" s="194"/>
      <c r="CO210" s="194"/>
      <c r="CP210" s="194"/>
      <c r="CQ210" s="194"/>
      <c r="CR210" s="194"/>
      <c r="CS210" s="194"/>
      <c r="CT210" s="194"/>
      <c r="CU210" s="194"/>
      <c r="CV210" s="194"/>
      <c r="CW210" s="194"/>
      <c r="CX210" s="194"/>
      <c r="CY210" s="194"/>
      <c r="CZ210" s="194"/>
      <c r="DA210" s="194"/>
      <c r="DB210" s="194"/>
      <c r="DC210" s="194"/>
      <c r="DD210" s="194"/>
      <c r="DE210" s="194"/>
      <c r="DF210" s="194"/>
    </row>
    <row r="211" spans="2:110" s="192" customFormat="1" hidden="1" x14ac:dyDescent="0.35">
      <c r="B211" s="289"/>
      <c r="C211" s="289"/>
      <c r="Q211" s="193"/>
      <c r="R211" s="194">
        <f t="shared" si="110"/>
        <v>17.099999999999987</v>
      </c>
      <c r="S211" s="197">
        <f t="shared" si="76"/>
        <v>0.40935672514619909</v>
      </c>
      <c r="T211" s="194">
        <f t="shared" si="131"/>
        <v>0.69</v>
      </c>
      <c r="U211" s="194">
        <f t="shared" si="132"/>
        <v>1.4999999999999999E-4</v>
      </c>
      <c r="V211" s="197">
        <f t="shared" si="111"/>
        <v>0.40935672514619909</v>
      </c>
      <c r="W211" s="197">
        <f t="shared" si="77"/>
        <v>4.5847953216374302E-3</v>
      </c>
      <c r="X211" s="286">
        <f t="shared" si="78"/>
        <v>1</v>
      </c>
      <c r="Y211" s="286">
        <f t="shared" si="79"/>
        <v>0.21503255212898154</v>
      </c>
      <c r="Z211" s="286">
        <f t="shared" si="80"/>
        <v>0.56250035384693087</v>
      </c>
      <c r="AA211" s="286">
        <f t="shared" si="112"/>
        <v>0.21503255212898154</v>
      </c>
      <c r="AB211" s="197">
        <f t="shared" si="81"/>
        <v>0.38353462036516894</v>
      </c>
      <c r="AC211" s="287">
        <f t="shared" si="82"/>
        <v>5.5136551827943986E-7</v>
      </c>
      <c r="AD211" s="197">
        <f t="shared" si="113"/>
        <v>11.104417555248554</v>
      </c>
      <c r="AE211" s="197">
        <f t="shared" si="114"/>
        <v>33.313252665745665</v>
      </c>
      <c r="AF211" s="197">
        <f t="shared" si="115"/>
        <v>8.5178571428571437E-2</v>
      </c>
      <c r="AG211" s="197">
        <f t="shared" si="116"/>
        <v>0.25553571428571431</v>
      </c>
      <c r="AH211" s="197">
        <f t="shared" si="83"/>
        <v>0.13727330144024361</v>
      </c>
      <c r="AI211" s="197">
        <f t="shared" si="117"/>
        <v>0.13727330144024361</v>
      </c>
      <c r="AJ211" s="218">
        <f t="shared" si="84"/>
        <v>390</v>
      </c>
      <c r="AK211" s="197">
        <f t="shared" si="118"/>
        <v>6.4165341987092769E-2</v>
      </c>
      <c r="AL211" s="197">
        <f t="shared" si="119"/>
        <v>0.10131103179457293</v>
      </c>
      <c r="AM211" s="197">
        <f t="shared" si="120"/>
        <v>4.295587748089893E-3</v>
      </c>
      <c r="AN211" s="197">
        <f t="shared" si="85"/>
        <v>24.05</v>
      </c>
      <c r="AO211" s="197">
        <f t="shared" si="86"/>
        <v>21.69</v>
      </c>
      <c r="AP211" s="197">
        <f t="shared" si="121"/>
        <v>7.8026802856500571E-2</v>
      </c>
      <c r="AQ211" s="197">
        <f t="shared" si="122"/>
        <v>0.45217127108529076</v>
      </c>
      <c r="AR211" s="197">
        <f t="shared" si="123"/>
        <v>0.31489796964504713</v>
      </c>
      <c r="AS211" s="258">
        <f t="shared" si="124"/>
        <v>0.17879794046105849</v>
      </c>
      <c r="AT211" s="197">
        <f t="shared" si="87"/>
        <v>3.5804947934690168E-4</v>
      </c>
      <c r="AU211" s="194">
        <f t="shared" si="88"/>
        <v>21.19</v>
      </c>
      <c r="AV211" s="197">
        <f t="shared" si="89"/>
        <v>2.5649999999999982E-2</v>
      </c>
      <c r="AW211" s="197">
        <f t="shared" si="90"/>
        <v>3.4259999999999998E-3</v>
      </c>
      <c r="AX211" s="197">
        <f t="shared" si="125"/>
        <v>5.8584599999999952E-2</v>
      </c>
      <c r="AY211" s="197">
        <f t="shared" si="91"/>
        <v>2.8867475999999996E-3</v>
      </c>
      <c r="AZ211" s="197">
        <f t="shared" si="92"/>
        <v>0</v>
      </c>
      <c r="BA211" s="197">
        <f t="shared" si="126"/>
        <v>7.2596939999999999E-2</v>
      </c>
      <c r="BB211" s="258">
        <f t="shared" si="93"/>
        <v>0.38557636722100364</v>
      </c>
      <c r="BC211" s="197">
        <f t="shared" si="94"/>
        <v>2.4872346278698627E-2</v>
      </c>
      <c r="BD211" s="197">
        <f t="shared" si="127"/>
        <v>4.9744692557397259E-3</v>
      </c>
      <c r="BE211" s="197">
        <f t="shared" si="128"/>
        <v>2.9846815534438353E-2</v>
      </c>
      <c r="BF211" s="197">
        <f t="shared" si="95"/>
        <v>0.20773291256157636</v>
      </c>
      <c r="BG211" s="197">
        <f t="shared" si="96"/>
        <v>6.773525392062918E-4</v>
      </c>
      <c r="BH211" s="197">
        <f t="shared" si="97"/>
        <v>3.9271092253412215E-2</v>
      </c>
      <c r="BI211" s="197">
        <f t="shared" si="129"/>
        <v>0.45704671282448073</v>
      </c>
      <c r="BJ211" s="197">
        <f t="shared" si="98"/>
        <v>6.7793527473072395</v>
      </c>
      <c r="BK211" s="288">
        <f t="shared" si="99"/>
        <v>0.93258254440204202</v>
      </c>
      <c r="BL211" s="197">
        <f t="shared" si="100"/>
        <v>0.39645337703551137</v>
      </c>
      <c r="BM211" s="197">
        <f t="shared" si="101"/>
        <v>7.838485233584748E-2</v>
      </c>
      <c r="BN211" s="197">
        <f t="shared" si="102"/>
        <v>54.703091140150846</v>
      </c>
      <c r="BO211" s="197">
        <f t="shared" si="130"/>
        <v>0.20841026510078264</v>
      </c>
      <c r="BP211" s="197">
        <f t="shared" si="103"/>
        <v>65.630769882558695</v>
      </c>
      <c r="BQ211" s="197">
        <f t="shared" si="104"/>
        <v>9.8246939999999977E-2</v>
      </c>
      <c r="BR211" s="288">
        <f t="shared" si="105"/>
        <v>0.17895816199010103</v>
      </c>
      <c r="BS211" s="197">
        <f t="shared" si="106"/>
        <v>0.13727330144024361</v>
      </c>
      <c r="BT211" s="197">
        <f t="shared" si="107"/>
        <v>0.38353462036516894</v>
      </c>
      <c r="BU211" s="197">
        <f t="shared" si="108"/>
        <v>0.23764972689126956</v>
      </c>
      <c r="BV211" s="197">
        <f t="shared" si="109"/>
        <v>0.66398124636644118</v>
      </c>
      <c r="BW211" s="194"/>
      <c r="BX211" s="194"/>
      <c r="BY211" s="194"/>
      <c r="BZ211" s="194"/>
      <c r="CA211" s="194"/>
      <c r="CB211" s="194"/>
      <c r="CC211" s="194"/>
      <c r="CD211" s="194"/>
      <c r="CE211" s="194"/>
      <c r="CF211" s="194"/>
      <c r="CG211" s="194"/>
      <c r="CH211" s="194"/>
      <c r="CI211" s="194"/>
      <c r="CJ211" s="194"/>
      <c r="CK211" s="194"/>
      <c r="CL211" s="194"/>
      <c r="CM211" s="194"/>
      <c r="CN211" s="194"/>
      <c r="CO211" s="194"/>
      <c r="CP211" s="194"/>
      <c r="CQ211" s="194"/>
      <c r="CR211" s="194"/>
      <c r="CS211" s="194"/>
      <c r="CT211" s="194"/>
      <c r="CU211" s="194"/>
      <c r="CV211" s="194"/>
      <c r="CW211" s="194"/>
      <c r="CX211" s="194"/>
      <c r="CY211" s="194"/>
      <c r="CZ211" s="194"/>
      <c r="DA211" s="194"/>
      <c r="DB211" s="194"/>
      <c r="DC211" s="194"/>
      <c r="DD211" s="194"/>
      <c r="DE211" s="194"/>
      <c r="DF211" s="194"/>
    </row>
    <row r="212" spans="2:110" s="192" customFormat="1" hidden="1" x14ac:dyDescent="0.35">
      <c r="B212" s="289"/>
      <c r="C212" s="289"/>
      <c r="Q212" s="193"/>
      <c r="R212" s="194">
        <f t="shared" si="110"/>
        <v>17.199999999999989</v>
      </c>
      <c r="S212" s="197">
        <f t="shared" si="76"/>
        <v>0.40697674418604679</v>
      </c>
      <c r="T212" s="194">
        <f t="shared" si="131"/>
        <v>0.69</v>
      </c>
      <c r="U212" s="194">
        <f t="shared" si="132"/>
        <v>1.4999999999999999E-4</v>
      </c>
      <c r="V212" s="197">
        <f t="shared" si="111"/>
        <v>0.40697674418604679</v>
      </c>
      <c r="W212" s="197">
        <f t="shared" si="77"/>
        <v>4.5581395348837251E-3</v>
      </c>
      <c r="X212" s="286">
        <f t="shared" si="78"/>
        <v>1</v>
      </c>
      <c r="Y212" s="286">
        <f t="shared" si="79"/>
        <v>0.21040130877643823</v>
      </c>
      <c r="Z212" s="286">
        <f t="shared" si="80"/>
        <v>0.56104248547349211</v>
      </c>
      <c r="AA212" s="286">
        <f t="shared" si="112"/>
        <v>0.21040130877643823</v>
      </c>
      <c r="AB212" s="197">
        <f t="shared" si="81"/>
        <v>0.38128506982667459</v>
      </c>
      <c r="AC212" s="287">
        <f t="shared" si="82"/>
        <v>5.3949053532420054E-7</v>
      </c>
      <c r="AD212" s="197">
        <f t="shared" si="113"/>
        <v>11.169932705113801</v>
      </c>
      <c r="AE212" s="197">
        <f t="shared" si="114"/>
        <v>33.509798115341404</v>
      </c>
      <c r="AF212" s="197">
        <f t="shared" si="115"/>
        <v>8.5178571428571437E-2</v>
      </c>
      <c r="AG212" s="197">
        <f t="shared" si="116"/>
        <v>0.25553571428571431</v>
      </c>
      <c r="AH212" s="197">
        <f t="shared" si="83"/>
        <v>0.13511807074516366</v>
      </c>
      <c r="AI212" s="197">
        <f t="shared" si="117"/>
        <v>0.13511807074516366</v>
      </c>
      <c r="AJ212" s="218">
        <f t="shared" si="84"/>
        <v>390.00000000000006</v>
      </c>
      <c r="AK212" s="197">
        <f t="shared" si="118"/>
        <v>6.3788992182002666E-2</v>
      </c>
      <c r="AL212" s="197">
        <f t="shared" si="119"/>
        <v>0.10071681089761216</v>
      </c>
      <c r="AM212" s="197">
        <f t="shared" si="120"/>
        <v>4.2703927820587559E-3</v>
      </c>
      <c r="AN212" s="197">
        <f t="shared" si="85"/>
        <v>24.05</v>
      </c>
      <c r="AO212" s="197">
        <f t="shared" si="86"/>
        <v>21.69</v>
      </c>
      <c r="AP212" s="197">
        <f t="shared" si="121"/>
        <v>7.7569151246808327E-2</v>
      </c>
      <c r="AQ212" s="197">
        <f t="shared" si="122"/>
        <v>0.44884410519925644</v>
      </c>
      <c r="AR212" s="197">
        <f t="shared" si="123"/>
        <v>0.31372603445409275</v>
      </c>
      <c r="AS212" s="258">
        <f t="shared" si="124"/>
        <v>0.17580640406788242</v>
      </c>
      <c r="AT212" s="197">
        <f t="shared" si="87"/>
        <v>3.4616838716633095E-4</v>
      </c>
      <c r="AU212" s="194">
        <f t="shared" si="88"/>
        <v>21.19</v>
      </c>
      <c r="AV212" s="197">
        <f t="shared" si="89"/>
        <v>2.5799999999999983E-2</v>
      </c>
      <c r="AW212" s="197">
        <f t="shared" si="90"/>
        <v>3.4260000000000002E-3</v>
      </c>
      <c r="AX212" s="197">
        <f t="shared" si="125"/>
        <v>5.8927199999999964E-2</v>
      </c>
      <c r="AY212" s="197">
        <f t="shared" si="91"/>
        <v>2.8867476000000005E-3</v>
      </c>
      <c r="AZ212" s="197">
        <f t="shared" si="92"/>
        <v>0</v>
      </c>
      <c r="BA212" s="197">
        <f t="shared" si="126"/>
        <v>7.2596940000000013E-2</v>
      </c>
      <c r="BB212" s="258">
        <f t="shared" si="93"/>
        <v>0.38327498252067455</v>
      </c>
      <c r="BC212" s="197">
        <f t="shared" si="94"/>
        <v>2.4576321855447173E-2</v>
      </c>
      <c r="BD212" s="197">
        <f t="shared" si="127"/>
        <v>4.9152643710894351E-3</v>
      </c>
      <c r="BE212" s="197">
        <f t="shared" si="128"/>
        <v>2.9491586226536609E-2</v>
      </c>
      <c r="BF212" s="197">
        <f t="shared" si="95"/>
        <v>0.20773291256157636</v>
      </c>
      <c r="BG212" s="197">
        <f t="shared" si="96"/>
        <v>6.627641226457804E-4</v>
      </c>
      <c r="BH212" s="197">
        <f t="shared" si="97"/>
        <v>3.8803697569191081E-2</v>
      </c>
      <c r="BI212" s="197">
        <f t="shared" si="129"/>
        <v>0.45588996771392454</v>
      </c>
      <c r="BJ212" s="197">
        <f t="shared" si="98"/>
        <v>6.7781960021966832</v>
      </c>
      <c r="BK212" s="288">
        <f t="shared" si="99"/>
        <v>0.93274169593706369</v>
      </c>
      <c r="BL212" s="197">
        <f t="shared" si="100"/>
        <v>0.39408116291841205</v>
      </c>
      <c r="BM212" s="197">
        <f t="shared" si="101"/>
        <v>7.7915319633974661E-2</v>
      </c>
      <c r="BN212" s="197">
        <f t="shared" si="102"/>
        <v>54.674919178038479</v>
      </c>
      <c r="BO212" s="197">
        <f t="shared" si="130"/>
        <v>0.20839567668422215</v>
      </c>
      <c r="BP212" s="197">
        <f t="shared" si="103"/>
        <v>65.629675751316654</v>
      </c>
      <c r="BQ212" s="197">
        <f t="shared" si="104"/>
        <v>9.8396939999999988E-2</v>
      </c>
      <c r="BR212" s="288">
        <f t="shared" si="105"/>
        <v>0.177187728340092</v>
      </c>
      <c r="BS212" s="197">
        <f t="shared" si="106"/>
        <v>0.13511807074516366</v>
      </c>
      <c r="BT212" s="197">
        <f t="shared" si="107"/>
        <v>0.38128506982667459</v>
      </c>
      <c r="BU212" s="197">
        <f t="shared" si="108"/>
        <v>0.23023093472064368</v>
      </c>
      <c r="BV212" s="197">
        <f t="shared" si="109"/>
        <v>0.64968081276695744</v>
      </c>
      <c r="BW212" s="194"/>
      <c r="BX212" s="194"/>
      <c r="BY212" s="194"/>
      <c r="BZ212" s="194"/>
      <c r="CA212" s="194"/>
      <c r="CB212" s="194"/>
      <c r="CC212" s="194"/>
      <c r="CD212" s="194"/>
      <c r="CE212" s="194"/>
      <c r="CF212" s="194"/>
      <c r="CG212" s="194"/>
      <c r="CH212" s="194"/>
      <c r="CI212" s="194"/>
      <c r="CJ212" s="194"/>
      <c r="CK212" s="194"/>
      <c r="CL212" s="194"/>
      <c r="CM212" s="194"/>
      <c r="CN212" s="194"/>
      <c r="CO212" s="194"/>
      <c r="CP212" s="194"/>
      <c r="CQ212" s="194"/>
      <c r="CR212" s="194"/>
      <c r="CS212" s="194"/>
      <c r="CT212" s="194"/>
      <c r="CU212" s="194"/>
      <c r="CV212" s="194"/>
      <c r="CW212" s="194"/>
      <c r="CX212" s="194"/>
      <c r="CY212" s="194"/>
      <c r="CZ212" s="194"/>
      <c r="DA212" s="194"/>
      <c r="DB212" s="194"/>
      <c r="DC212" s="194"/>
      <c r="DD212" s="194"/>
      <c r="DE212" s="194"/>
      <c r="DF212" s="194"/>
    </row>
    <row r="213" spans="2:110" s="192" customFormat="1" hidden="1" x14ac:dyDescent="0.35">
      <c r="B213" s="289"/>
      <c r="C213" s="289"/>
      <c r="Q213" s="193"/>
      <c r="R213" s="194">
        <f t="shared" si="110"/>
        <v>17.29999999999999</v>
      </c>
      <c r="S213" s="197">
        <f t="shared" si="76"/>
        <v>0.40462427745664753</v>
      </c>
      <c r="T213" s="194">
        <f t="shared" si="131"/>
        <v>0.69</v>
      </c>
      <c r="U213" s="194">
        <f t="shared" si="132"/>
        <v>1.4999999999999999E-4</v>
      </c>
      <c r="V213" s="197">
        <f t="shared" si="111"/>
        <v>0.40462427745664753</v>
      </c>
      <c r="W213" s="197">
        <f t="shared" si="77"/>
        <v>4.5317919075144528E-3</v>
      </c>
      <c r="X213" s="286">
        <f t="shared" si="78"/>
        <v>1</v>
      </c>
      <c r="Y213" s="286">
        <f t="shared" si="79"/>
        <v>0.20577030621182657</v>
      </c>
      <c r="Z213" s="286">
        <f t="shared" si="80"/>
        <v>0.55959222852915824</v>
      </c>
      <c r="AA213" s="286">
        <f t="shared" si="112"/>
        <v>0.20577030621182657</v>
      </c>
      <c r="AB213" s="197">
        <f t="shared" si="81"/>
        <v>0.37906186896925814</v>
      </c>
      <c r="AC213" s="287">
        <f t="shared" si="82"/>
        <v>5.2761616977391424E-7</v>
      </c>
      <c r="AD213" s="197">
        <f t="shared" si="113"/>
        <v>11.235444448710746</v>
      </c>
      <c r="AE213" s="197">
        <f t="shared" si="114"/>
        <v>33.70633334613224</v>
      </c>
      <c r="AF213" s="197">
        <f t="shared" si="115"/>
        <v>8.5178571428571437E-2</v>
      </c>
      <c r="AG213" s="197">
        <f t="shared" si="116"/>
        <v>0.25553571428571431</v>
      </c>
      <c r="AH213" s="197">
        <f t="shared" si="83"/>
        <v>0.13292763028258378</v>
      </c>
      <c r="AI213" s="197">
        <f t="shared" si="117"/>
        <v>0.13292763028258378</v>
      </c>
      <c r="AJ213" s="218">
        <f t="shared" si="84"/>
        <v>390.00000000000006</v>
      </c>
      <c r="AK213" s="197">
        <f t="shared" si="118"/>
        <v>6.3417050678556894E-2</v>
      </c>
      <c r="AL213" s="197">
        <f t="shared" si="119"/>
        <v>0.1001295502937663</v>
      </c>
      <c r="AM213" s="197">
        <f t="shared" si="120"/>
        <v>4.2454929324556917E-3</v>
      </c>
      <c r="AN213" s="197">
        <f t="shared" si="85"/>
        <v>24.05</v>
      </c>
      <c r="AO213" s="197">
        <f t="shared" si="86"/>
        <v>21.69</v>
      </c>
      <c r="AP213" s="197">
        <f t="shared" si="121"/>
        <v>7.7116860251938354E-2</v>
      </c>
      <c r="AQ213" s="197">
        <f t="shared" si="122"/>
        <v>0.44552568411055005</v>
      </c>
      <c r="AR213" s="197">
        <f t="shared" si="123"/>
        <v>0.31259805382796624</v>
      </c>
      <c r="AS213" s="258">
        <f t="shared" si="124"/>
        <v>0.17282851575784808</v>
      </c>
      <c r="AT213" s="197">
        <f t="shared" si="87"/>
        <v>3.3454059362148035E-4</v>
      </c>
      <c r="AU213" s="194">
        <f t="shared" si="88"/>
        <v>21.19</v>
      </c>
      <c r="AV213" s="197">
        <f t="shared" si="89"/>
        <v>2.5949999999999987E-2</v>
      </c>
      <c r="AW213" s="197">
        <f t="shared" si="90"/>
        <v>3.4260000000000002E-3</v>
      </c>
      <c r="AX213" s="197">
        <f t="shared" si="125"/>
        <v>5.926979999999997E-2</v>
      </c>
      <c r="AY213" s="197">
        <f t="shared" si="91"/>
        <v>2.8867476000000005E-3</v>
      </c>
      <c r="AZ213" s="197">
        <f t="shared" si="92"/>
        <v>0</v>
      </c>
      <c r="BA213" s="197">
        <f t="shared" si="126"/>
        <v>7.2596940000000013E-2</v>
      </c>
      <c r="BB213" s="258">
        <f t="shared" si="93"/>
        <v>0.38099918645693409</v>
      </c>
      <c r="BC213" s="197">
        <f t="shared" si="94"/>
        <v>2.4285331587525476E-2</v>
      </c>
      <c r="BD213" s="197">
        <f t="shared" si="127"/>
        <v>4.8570663175050953E-3</v>
      </c>
      <c r="BE213" s="197">
        <f t="shared" si="128"/>
        <v>2.9142397905030572E-2</v>
      </c>
      <c r="BF213" s="197">
        <f t="shared" si="95"/>
        <v>0.20773291256157633</v>
      </c>
      <c r="BG213" s="197">
        <f t="shared" si="96"/>
        <v>6.4817646456725357E-4</v>
      </c>
      <c r="BH213" s="197">
        <f t="shared" si="97"/>
        <v>3.8344251342110169E-2</v>
      </c>
      <c r="BI213" s="197">
        <f t="shared" si="129"/>
        <v>0.45475282671884421</v>
      </c>
      <c r="BJ213" s="197">
        <f t="shared" si="98"/>
        <v>6.7770588612016036</v>
      </c>
      <c r="BK213" s="288">
        <f t="shared" si="99"/>
        <v>0.93289820318334749</v>
      </c>
      <c r="BL213" s="197">
        <f t="shared" si="100"/>
        <v>0.39173750642783861</v>
      </c>
      <c r="BM213" s="197">
        <f t="shared" si="101"/>
        <v>7.7451400845559834E-2</v>
      </c>
      <c r="BN213" s="197">
        <f t="shared" si="102"/>
        <v>54.647084050733589</v>
      </c>
      <c r="BO213" s="197">
        <f t="shared" si="130"/>
        <v>0.20838108902614358</v>
      </c>
      <c r="BP213" s="197">
        <f t="shared" si="103"/>
        <v>65.628581676960764</v>
      </c>
      <c r="BQ213" s="197">
        <f t="shared" si="104"/>
        <v>9.854694E-2</v>
      </c>
      <c r="BR213" s="288">
        <f t="shared" si="105"/>
        <v>0.17533764427959936</v>
      </c>
      <c r="BS213" s="197">
        <f t="shared" si="106"/>
        <v>0.13292763028258378</v>
      </c>
      <c r="BT213" s="197">
        <f t="shared" si="107"/>
        <v>0.37906186896925814</v>
      </c>
      <c r="BU213" s="197">
        <f t="shared" si="108"/>
        <v>0.2228124585396942</v>
      </c>
      <c r="BV213" s="197">
        <f t="shared" si="109"/>
        <v>0.63538112267662816</v>
      </c>
      <c r="BW213" s="194"/>
      <c r="BX213" s="194"/>
      <c r="BY213" s="194"/>
      <c r="BZ213" s="194"/>
      <c r="CA213" s="194"/>
      <c r="CB213" s="194"/>
      <c r="CC213" s="194"/>
      <c r="CD213" s="194"/>
      <c r="CE213" s="194"/>
      <c r="CF213" s="194"/>
      <c r="CG213" s="194"/>
      <c r="CH213" s="194"/>
      <c r="CI213" s="194"/>
      <c r="CJ213" s="194"/>
      <c r="CK213" s="194"/>
      <c r="CL213" s="194"/>
      <c r="CM213" s="194"/>
      <c r="CN213" s="194"/>
      <c r="CO213" s="194"/>
      <c r="CP213" s="194"/>
      <c r="CQ213" s="194"/>
      <c r="CR213" s="194"/>
      <c r="CS213" s="194"/>
      <c r="CT213" s="194"/>
      <c r="CU213" s="194"/>
      <c r="CV213" s="194"/>
      <c r="CW213" s="194"/>
      <c r="CX213" s="194"/>
      <c r="CY213" s="194"/>
      <c r="CZ213" s="194"/>
      <c r="DA213" s="194"/>
      <c r="DB213" s="194"/>
      <c r="DC213" s="194"/>
      <c r="DD213" s="194"/>
      <c r="DE213" s="194"/>
      <c r="DF213" s="194"/>
    </row>
    <row r="214" spans="2:110" s="192" customFormat="1" hidden="1" x14ac:dyDescent="0.35">
      <c r="B214" s="289"/>
      <c r="C214" s="289"/>
      <c r="Q214" s="193"/>
      <c r="R214" s="194">
        <f t="shared" si="110"/>
        <v>17.399999999999991</v>
      </c>
      <c r="S214" s="197">
        <f t="shared" si="76"/>
        <v>0.40229885057471282</v>
      </c>
      <c r="T214" s="194">
        <f t="shared" si="131"/>
        <v>0.69</v>
      </c>
      <c r="U214" s="194">
        <f t="shared" si="132"/>
        <v>1.4999999999999999E-4</v>
      </c>
      <c r="V214" s="197">
        <f t="shared" si="111"/>
        <v>0.40229885057471282</v>
      </c>
      <c r="W214" s="197">
        <f t="shared" si="77"/>
        <v>4.5057471264367838E-3</v>
      </c>
      <c r="X214" s="286">
        <f t="shared" si="78"/>
        <v>1</v>
      </c>
      <c r="Y214" s="286">
        <f t="shared" si="79"/>
        <v>0.2011395402827679</v>
      </c>
      <c r="Z214" s="286">
        <f t="shared" si="80"/>
        <v>0.55814952230050974</v>
      </c>
      <c r="AA214" s="286">
        <f t="shared" si="112"/>
        <v>0.2011395402827679</v>
      </c>
      <c r="AB214" s="197">
        <f t="shared" si="81"/>
        <v>0.37686455557556547</v>
      </c>
      <c r="AC214" s="287">
        <f t="shared" si="82"/>
        <v>5.1574241098145611E-7</v>
      </c>
      <c r="AD214" s="197">
        <f t="shared" si="113"/>
        <v>11.300952844780356</v>
      </c>
      <c r="AE214" s="197">
        <f t="shared" si="114"/>
        <v>33.902858534341071</v>
      </c>
      <c r="AF214" s="197">
        <f t="shared" si="115"/>
        <v>8.5178571428571437E-2</v>
      </c>
      <c r="AG214" s="197">
        <f t="shared" si="116"/>
        <v>0.25553571428571431</v>
      </c>
      <c r="AH214" s="197">
        <f t="shared" si="83"/>
        <v>0.13070198777485614</v>
      </c>
      <c r="AI214" s="197">
        <f t="shared" si="117"/>
        <v>0.13070198777485614</v>
      </c>
      <c r="AJ214" s="218">
        <f t="shared" si="84"/>
        <v>390</v>
      </c>
      <c r="AK214" s="197">
        <f t="shared" si="118"/>
        <v>6.304944014779211E-2</v>
      </c>
      <c r="AL214" s="197">
        <f t="shared" si="119"/>
        <v>9.9549127887885225E-2</v>
      </c>
      <c r="AM214" s="197">
        <f t="shared" si="120"/>
        <v>4.2208830224463338E-3</v>
      </c>
      <c r="AN214" s="197">
        <f t="shared" si="85"/>
        <v>24.05</v>
      </c>
      <c r="AO214" s="197">
        <f t="shared" si="86"/>
        <v>21.69</v>
      </c>
      <c r="AP214" s="197">
        <f t="shared" si="121"/>
        <v>7.6669835837765835E-2</v>
      </c>
      <c r="AQ214" s="197">
        <f t="shared" si="122"/>
        <v>0.44221554946299357</v>
      </c>
      <c r="AR214" s="197">
        <f t="shared" si="123"/>
        <v>0.31151356168813737</v>
      </c>
      <c r="AS214" s="258">
        <f t="shared" si="124"/>
        <v>0.16986336589800374</v>
      </c>
      <c r="AT214" s="197">
        <f t="shared" si="87"/>
        <v>3.2315990643102995E-4</v>
      </c>
      <c r="AU214" s="194">
        <f t="shared" si="88"/>
        <v>21.19</v>
      </c>
      <c r="AV214" s="197">
        <f t="shared" si="89"/>
        <v>2.6099999999999988E-2</v>
      </c>
      <c r="AW214" s="197">
        <f t="shared" si="90"/>
        <v>3.4259999999999998E-3</v>
      </c>
      <c r="AX214" s="197">
        <f t="shared" si="125"/>
        <v>5.9612399999999968E-2</v>
      </c>
      <c r="AY214" s="197">
        <f t="shared" si="91"/>
        <v>2.8867475999999996E-3</v>
      </c>
      <c r="AZ214" s="197">
        <f t="shared" si="92"/>
        <v>0</v>
      </c>
      <c r="BA214" s="197">
        <f t="shared" si="126"/>
        <v>7.2596939999999999E-2</v>
      </c>
      <c r="BB214" s="258">
        <f t="shared" si="93"/>
        <v>0.37874856749985647</v>
      </c>
      <c r="BC214" s="197">
        <f t="shared" si="94"/>
        <v>2.3999264866208243E-2</v>
      </c>
      <c r="BD214" s="197">
        <f t="shared" si="127"/>
        <v>4.799852973241649E-3</v>
      </c>
      <c r="BE214" s="197">
        <f t="shared" si="128"/>
        <v>2.8799117839449891E-2</v>
      </c>
      <c r="BF214" s="197">
        <f t="shared" si="95"/>
        <v>0.20773291256157633</v>
      </c>
      <c r="BG214" s="197">
        <f t="shared" si="96"/>
        <v>6.3358955189071883E-4</v>
      </c>
      <c r="BH214" s="197">
        <f t="shared" si="97"/>
        <v>3.7892578931409557E-2</v>
      </c>
      <c r="BI214" s="197">
        <f t="shared" si="129"/>
        <v>0.45363488222852338</v>
      </c>
      <c r="BJ214" s="197">
        <f t="shared" si="98"/>
        <v>6.7759409167112823</v>
      </c>
      <c r="BK214" s="288">
        <f t="shared" si="99"/>
        <v>0.93305211957947587</v>
      </c>
      <c r="BL214" s="197">
        <f t="shared" si="100"/>
        <v>0.3894218917650164</v>
      </c>
      <c r="BM214" s="197">
        <f t="shared" si="101"/>
        <v>7.6992995744196865E-2</v>
      </c>
      <c r="BN214" s="197">
        <f t="shared" si="102"/>
        <v>54.619579744651816</v>
      </c>
      <c r="BO214" s="197">
        <f t="shared" si="130"/>
        <v>0.20836650211346705</v>
      </c>
      <c r="BP214" s="197">
        <f t="shared" si="103"/>
        <v>65.627487658510034</v>
      </c>
      <c r="BQ214" s="197">
        <f t="shared" si="104"/>
        <v>9.8696939999999983E-2</v>
      </c>
      <c r="BR214" s="288">
        <f t="shared" si="105"/>
        <v>0.17340711117717325</v>
      </c>
      <c r="BS214" s="197">
        <f t="shared" si="106"/>
        <v>0.13070198777485614</v>
      </c>
      <c r="BT214" s="197">
        <f t="shared" si="107"/>
        <v>0.37686455557556547</v>
      </c>
      <c r="BU214" s="197">
        <f t="shared" si="108"/>
        <v>0.21540012747391177</v>
      </c>
      <c r="BV214" s="197">
        <f t="shared" si="109"/>
        <v>0.62108216327366617</v>
      </c>
      <c r="BW214" s="194"/>
      <c r="BX214" s="194"/>
      <c r="BY214" s="194"/>
      <c r="BZ214" s="194"/>
      <c r="CA214" s="194"/>
      <c r="CB214" s="194"/>
      <c r="CC214" s="194"/>
      <c r="CD214" s="194"/>
      <c r="CE214" s="194"/>
      <c r="CF214" s="194"/>
      <c r="CG214" s="194"/>
      <c r="CH214" s="194"/>
      <c r="CI214" s="194"/>
      <c r="CJ214" s="194"/>
      <c r="CK214" s="194"/>
      <c r="CL214" s="194"/>
      <c r="CM214" s="194"/>
      <c r="CN214" s="194"/>
      <c r="CO214" s="194"/>
      <c r="CP214" s="194"/>
      <c r="CQ214" s="194"/>
      <c r="CR214" s="194"/>
      <c r="CS214" s="194"/>
      <c r="CT214" s="194"/>
      <c r="CU214" s="194"/>
      <c r="CV214" s="194"/>
      <c r="CW214" s="194"/>
      <c r="CX214" s="194"/>
      <c r="CY214" s="194"/>
      <c r="CZ214" s="194"/>
      <c r="DA214" s="194"/>
      <c r="DB214" s="194"/>
      <c r="DC214" s="194"/>
      <c r="DD214" s="194"/>
      <c r="DE214" s="194"/>
      <c r="DF214" s="194"/>
    </row>
    <row r="215" spans="2:110" s="192" customFormat="1" hidden="1" x14ac:dyDescent="0.35">
      <c r="B215" s="289"/>
      <c r="C215" s="289"/>
      <c r="Q215" s="193"/>
      <c r="R215" s="194">
        <f t="shared" si="110"/>
        <v>17.499999999999993</v>
      </c>
      <c r="S215" s="197">
        <f t="shared" si="76"/>
        <v>0.40000000000000008</v>
      </c>
      <c r="T215" s="194">
        <f t="shared" si="131"/>
        <v>0.69</v>
      </c>
      <c r="U215" s="194">
        <f t="shared" si="132"/>
        <v>1.4999999999999999E-4</v>
      </c>
      <c r="V215" s="197">
        <f t="shared" si="111"/>
        <v>0.40000000000000008</v>
      </c>
      <c r="W215" s="197">
        <f t="shared" si="77"/>
        <v>4.4800000000000013E-3</v>
      </c>
      <c r="X215" s="286">
        <f t="shared" si="78"/>
        <v>1</v>
      </c>
      <c r="Y215" s="286">
        <f t="shared" si="79"/>
        <v>0.19650900693181469</v>
      </c>
      <c r="Z215" s="286">
        <f t="shared" si="80"/>
        <v>0.55671430674629585</v>
      </c>
      <c r="AA215" s="286">
        <f t="shared" si="112"/>
        <v>0.19650900693181469</v>
      </c>
      <c r="AB215" s="197">
        <f t="shared" si="81"/>
        <v>0.37469267821982677</v>
      </c>
      <c r="AC215" s="287">
        <f t="shared" si="82"/>
        <v>5.0386924854311456E-7</v>
      </c>
      <c r="AD215" s="197">
        <f t="shared" si="113"/>
        <v>11.366457950720669</v>
      </c>
      <c r="AE215" s="197">
        <f t="shared" si="114"/>
        <v>34.09937385216201</v>
      </c>
      <c r="AF215" s="197">
        <f t="shared" si="115"/>
        <v>8.5178571428571423E-2</v>
      </c>
      <c r="AG215" s="197">
        <f t="shared" si="116"/>
        <v>0.25553571428571431</v>
      </c>
      <c r="AH215" s="197">
        <f t="shared" si="83"/>
        <v>0.12844115076411927</v>
      </c>
      <c r="AI215" s="197">
        <f t="shared" si="117"/>
        <v>0.12844115076411927</v>
      </c>
      <c r="AJ215" s="218">
        <f t="shared" si="84"/>
        <v>390.00000000000006</v>
      </c>
      <c r="AK215" s="197">
        <f t="shared" si="118"/>
        <v>6.2686085066177025E-2</v>
      </c>
      <c r="AL215" s="197">
        <f t="shared" si="119"/>
        <v>9.8975424435425938E-2</v>
      </c>
      <c r="AM215" s="197">
        <f t="shared" si="120"/>
        <v>4.1965579960620602E-3</v>
      </c>
      <c r="AN215" s="197">
        <f t="shared" si="85"/>
        <v>24.05</v>
      </c>
      <c r="AO215" s="197">
        <f t="shared" si="86"/>
        <v>21.69</v>
      </c>
      <c r="AP215" s="197">
        <f t="shared" si="121"/>
        <v>7.6227986165620557E-2</v>
      </c>
      <c r="AQ215" s="197">
        <f t="shared" si="122"/>
        <v>0.43891325360188638</v>
      </c>
      <c r="AR215" s="197">
        <f t="shared" si="123"/>
        <v>0.31047210283776716</v>
      </c>
      <c r="AS215" s="258">
        <f t="shared" si="124"/>
        <v>0.16691002638913027</v>
      </c>
      <c r="AT215" s="197">
        <f t="shared" si="87"/>
        <v>3.1202031738326592E-4</v>
      </c>
      <c r="AU215" s="194">
        <f t="shared" si="88"/>
        <v>21.19</v>
      </c>
      <c r="AV215" s="197">
        <f t="shared" si="89"/>
        <v>2.6249999999999989E-2</v>
      </c>
      <c r="AW215" s="197">
        <f t="shared" si="90"/>
        <v>3.4260000000000002E-3</v>
      </c>
      <c r="AX215" s="197">
        <f t="shared" si="125"/>
        <v>5.9954999999999981E-2</v>
      </c>
      <c r="AY215" s="197">
        <f t="shared" si="91"/>
        <v>2.8867476000000005E-3</v>
      </c>
      <c r="AZ215" s="197">
        <f t="shared" si="92"/>
        <v>0</v>
      </c>
      <c r="BA215" s="197">
        <f t="shared" si="126"/>
        <v>7.2596940000000013E-2</v>
      </c>
      <c r="BB215" s="258">
        <f t="shared" si="93"/>
        <v>0.37652272690903299</v>
      </c>
      <c r="BC215" s="197">
        <f t="shared" si="94"/>
        <v>2.371801457695908E-2</v>
      </c>
      <c r="BD215" s="197">
        <f t="shared" si="127"/>
        <v>4.7436029153918166E-3</v>
      </c>
      <c r="BE215" s="197">
        <f t="shared" si="128"/>
        <v>2.8461617492350898E-2</v>
      </c>
      <c r="BF215" s="197">
        <f t="shared" si="95"/>
        <v>0.20773291256157633</v>
      </c>
      <c r="BG215" s="197">
        <f t="shared" si="96"/>
        <v>6.1900337183521629E-4</v>
      </c>
      <c r="BH215" s="197">
        <f t="shared" si="97"/>
        <v>3.7448511213324515E-2</v>
      </c>
      <c r="BI215" s="197">
        <f t="shared" si="129"/>
        <v>0.45253573872209085</v>
      </c>
      <c r="BJ215" s="197">
        <f t="shared" si="98"/>
        <v>6.7748417732048498</v>
      </c>
      <c r="BK215" s="288">
        <f t="shared" si="99"/>
        <v>0.93320349701569227</v>
      </c>
      <c r="BL215" s="197">
        <f t="shared" si="100"/>
        <v>0.38713381561170584</v>
      </c>
      <c r="BM215" s="197">
        <f t="shared" si="101"/>
        <v>7.6540006483003825E-2</v>
      </c>
      <c r="BN215" s="197">
        <f t="shared" si="102"/>
        <v>54.592400388980231</v>
      </c>
      <c r="BO215" s="197">
        <f t="shared" si="130"/>
        <v>0.20835191593341154</v>
      </c>
      <c r="BP215" s="197">
        <f t="shared" si="103"/>
        <v>65.626393695005873</v>
      </c>
      <c r="BQ215" s="197">
        <f t="shared" si="104"/>
        <v>9.8846939999999994E-2</v>
      </c>
      <c r="BR215" s="288">
        <f t="shared" si="105"/>
        <v>0.1713953304002977</v>
      </c>
      <c r="BS215" s="197">
        <f t="shared" si="106"/>
        <v>0.12844115076411927</v>
      </c>
      <c r="BT215" s="197">
        <f t="shared" si="107"/>
        <v>0.37469267821982677</v>
      </c>
      <c r="BU215" s="197">
        <f t="shared" si="108"/>
        <v>0.20799986159563993</v>
      </c>
      <c r="BV215" s="197">
        <f t="shared" si="109"/>
        <v>0.60678392202941445</v>
      </c>
      <c r="BW215" s="194"/>
      <c r="BX215" s="194"/>
      <c r="BY215" s="194"/>
      <c r="BZ215" s="194"/>
      <c r="CA215" s="194"/>
      <c r="CB215" s="194"/>
      <c r="CC215" s="194"/>
      <c r="CD215" s="194"/>
      <c r="CE215" s="194"/>
      <c r="CF215" s="194"/>
      <c r="CG215" s="194"/>
      <c r="CH215" s="194"/>
      <c r="CI215" s="194"/>
      <c r="CJ215" s="194"/>
      <c r="CK215" s="194"/>
      <c r="CL215" s="194"/>
      <c r="CM215" s="194"/>
      <c r="CN215" s="194"/>
      <c r="CO215" s="194"/>
      <c r="CP215" s="194"/>
      <c r="CQ215" s="194"/>
      <c r="CR215" s="194"/>
      <c r="CS215" s="194"/>
      <c r="CT215" s="194"/>
      <c r="CU215" s="194"/>
      <c r="CV215" s="194"/>
      <c r="CW215" s="194"/>
      <c r="CX215" s="194"/>
      <c r="CY215" s="194"/>
      <c r="CZ215" s="194"/>
      <c r="DA215" s="194"/>
      <c r="DB215" s="194"/>
      <c r="DC215" s="194"/>
      <c r="DD215" s="194"/>
      <c r="DE215" s="194"/>
      <c r="DF215" s="194"/>
    </row>
    <row r="216" spans="2:110" s="192" customFormat="1" hidden="1" x14ac:dyDescent="0.35">
      <c r="B216" s="289"/>
      <c r="C216" s="289"/>
      <c r="Q216" s="193"/>
      <c r="R216" s="194">
        <f t="shared" si="110"/>
        <v>17.599999999999994</v>
      </c>
      <c r="S216" s="197">
        <f t="shared" si="76"/>
        <v>0.39772727272727287</v>
      </c>
      <c r="T216" s="194">
        <f t="shared" si="131"/>
        <v>0.69</v>
      </c>
      <c r="U216" s="194">
        <f t="shared" si="132"/>
        <v>1.4999999999999999E-4</v>
      </c>
      <c r="V216" s="197">
        <f t="shared" si="111"/>
        <v>0.39772727272727287</v>
      </c>
      <c r="W216" s="197">
        <f t="shared" si="77"/>
        <v>4.4545454545454567E-3</v>
      </c>
      <c r="X216" s="286">
        <f t="shared" si="78"/>
        <v>1</v>
      </c>
      <c r="Y216" s="286">
        <f t="shared" si="79"/>
        <v>0.19187870219375311</v>
      </c>
      <c r="Z216" s="286">
        <f t="shared" si="80"/>
        <v>0.55528652248739219</v>
      </c>
      <c r="AA216" s="286">
        <f t="shared" si="112"/>
        <v>0.19187870219375311</v>
      </c>
      <c r="AB216" s="197">
        <f t="shared" si="81"/>
        <v>0.37254579595352838</v>
      </c>
      <c r="AC216" s="287">
        <f t="shared" si="82"/>
        <v>4.9199667229167464E-7</v>
      </c>
      <c r="AD216" s="197">
        <f t="shared" si="113"/>
        <v>11.431959822624957</v>
      </c>
      <c r="AE216" s="197">
        <f t="shared" si="114"/>
        <v>34.295879467874869</v>
      </c>
      <c r="AF216" s="197">
        <f t="shared" si="115"/>
        <v>8.5178571428571437E-2</v>
      </c>
      <c r="AG216" s="197">
        <f t="shared" si="116"/>
        <v>0.25553571428571425</v>
      </c>
      <c r="AH216" s="197">
        <f t="shared" si="83"/>
        <v>0.1261451266175441</v>
      </c>
      <c r="AI216" s="197">
        <f t="shared" si="117"/>
        <v>0.1261451266175441</v>
      </c>
      <c r="AJ216" s="218">
        <f t="shared" si="84"/>
        <v>390</v>
      </c>
      <c r="AK216" s="197">
        <f t="shared" si="118"/>
        <v>6.23269116630253E-2</v>
      </c>
      <c r="AL216" s="197">
        <f t="shared" si="119"/>
        <v>9.8408323459422589E-2</v>
      </c>
      <c r="AM216" s="197">
        <f t="shared" si="120"/>
        <v>4.1725129146795185E-3</v>
      </c>
      <c r="AN216" s="197">
        <f t="shared" si="85"/>
        <v>24.05</v>
      </c>
      <c r="AO216" s="197">
        <f t="shared" si="86"/>
        <v>21.69</v>
      </c>
      <c r="AP216" s="197">
        <f t="shared" si="121"/>
        <v>7.5791221528339323E-2</v>
      </c>
      <c r="AQ216" s="197">
        <f t="shared" si="122"/>
        <v>0.43561835926230041</v>
      </c>
      <c r="AR216" s="197">
        <f t="shared" si="123"/>
        <v>0.30947323264475635</v>
      </c>
      <c r="AS216" s="258">
        <f t="shared" si="124"/>
        <v>0.16396754779246409</v>
      </c>
      <c r="AT216" s="197">
        <f t="shared" si="87"/>
        <v>3.0111599536562881E-4</v>
      </c>
      <c r="AU216" s="194">
        <f t="shared" si="88"/>
        <v>21.19</v>
      </c>
      <c r="AV216" s="197">
        <f t="shared" si="89"/>
        <v>2.6399999999999993E-2</v>
      </c>
      <c r="AW216" s="197">
        <f t="shared" si="90"/>
        <v>3.4259999999999998E-3</v>
      </c>
      <c r="AX216" s="197">
        <f t="shared" si="125"/>
        <v>6.0297599999999979E-2</v>
      </c>
      <c r="AY216" s="197">
        <f t="shared" si="91"/>
        <v>2.8867475999999996E-3</v>
      </c>
      <c r="AZ216" s="197">
        <f t="shared" si="92"/>
        <v>0</v>
      </c>
      <c r="BA216" s="197">
        <f t="shared" si="126"/>
        <v>7.2596939999999999E-2</v>
      </c>
      <c r="BB216" s="258">
        <f t="shared" si="93"/>
        <v>0.37432127844508256</v>
      </c>
      <c r="BC216" s="197">
        <f t="shared" si="94"/>
        <v>2.3441476981808124E-2</v>
      </c>
      <c r="BD216" s="197">
        <f t="shared" si="127"/>
        <v>4.6882953963616253E-3</v>
      </c>
      <c r="BE216" s="197">
        <f t="shared" si="128"/>
        <v>2.812977237816975E-2</v>
      </c>
      <c r="BF216" s="197">
        <f t="shared" si="95"/>
        <v>0.20773291256157633</v>
      </c>
      <c r="BG216" s="197">
        <f t="shared" si="96"/>
        <v>6.0441791191032232E-4</v>
      </c>
      <c r="BH216" s="197">
        <f t="shared" si="97"/>
        <v>3.7011884395370842E-2</v>
      </c>
      <c r="BI216" s="197">
        <f t="shared" si="129"/>
        <v>0.45145501237073221</v>
      </c>
      <c r="BJ216" s="197">
        <f t="shared" si="98"/>
        <v>6.7737610468534912</v>
      </c>
      <c r="BK216" s="288">
        <f t="shared" si="99"/>
        <v>0.93335238588310709</v>
      </c>
      <c r="BL216" s="197">
        <f t="shared" si="100"/>
        <v>0.38487278675303938</v>
      </c>
      <c r="BM216" s="197">
        <f t="shared" si="101"/>
        <v>7.609233752370495E-2</v>
      </c>
      <c r="BN216" s="197">
        <f t="shared" si="102"/>
        <v>54.565540251422298</v>
      </c>
      <c r="BO216" s="197">
        <f t="shared" si="130"/>
        <v>0.20833733047348665</v>
      </c>
      <c r="BP216" s="197">
        <f t="shared" si="103"/>
        <v>65.625299785511501</v>
      </c>
      <c r="BQ216" s="197">
        <f t="shared" si="104"/>
        <v>9.8996939999999992E-2</v>
      </c>
      <c r="BR216" s="288">
        <f t="shared" si="105"/>
        <v>0.16930150331541993</v>
      </c>
      <c r="BS216" s="197">
        <f t="shared" si="106"/>
        <v>0.1261451266175441</v>
      </c>
      <c r="BT216" s="197">
        <f t="shared" si="107"/>
        <v>0.37254579595352838</v>
      </c>
      <c r="BU216" s="197">
        <f t="shared" si="108"/>
        <v>0.2006176719244683</v>
      </c>
      <c r="BV216" s="197">
        <f t="shared" si="109"/>
        <v>0.5924863867000173</v>
      </c>
      <c r="BW216" s="194"/>
      <c r="BX216" s="194"/>
      <c r="BY216" s="194"/>
      <c r="BZ216" s="194"/>
      <c r="CA216" s="194"/>
      <c r="CB216" s="194"/>
      <c r="CC216" s="194"/>
      <c r="CD216" s="194"/>
      <c r="CE216" s="194"/>
      <c r="CF216" s="194"/>
      <c r="CG216" s="194"/>
      <c r="CH216" s="194"/>
      <c r="CI216" s="194"/>
      <c r="CJ216" s="194"/>
      <c r="CK216" s="194"/>
      <c r="CL216" s="194"/>
      <c r="CM216" s="194"/>
      <c r="CN216" s="194"/>
      <c r="CO216" s="194"/>
      <c r="CP216" s="194"/>
      <c r="CQ216" s="194"/>
      <c r="CR216" s="194"/>
      <c r="CS216" s="194"/>
      <c r="CT216" s="194"/>
      <c r="CU216" s="194"/>
      <c r="CV216" s="194"/>
      <c r="CW216" s="194"/>
      <c r="CX216" s="194"/>
      <c r="CY216" s="194"/>
      <c r="CZ216" s="194"/>
      <c r="DA216" s="194"/>
      <c r="DB216" s="194"/>
      <c r="DC216" s="194"/>
      <c r="DD216" s="194"/>
      <c r="DE216" s="194"/>
      <c r="DF216" s="194"/>
    </row>
    <row r="217" spans="2:110" s="192" customFormat="1" hidden="1" x14ac:dyDescent="0.35">
      <c r="B217" s="289"/>
      <c r="C217" s="289"/>
      <c r="Q217" s="193"/>
      <c r="R217" s="194">
        <f t="shared" si="110"/>
        <v>17.699999999999996</v>
      </c>
      <c r="S217" s="197">
        <f t="shared" si="76"/>
        <v>0.3954802259887007</v>
      </c>
      <c r="T217" s="194">
        <f t="shared" si="131"/>
        <v>0.69</v>
      </c>
      <c r="U217" s="194">
        <f t="shared" si="132"/>
        <v>1.4999999999999999E-4</v>
      </c>
      <c r="V217" s="197">
        <f t="shared" si="111"/>
        <v>0.3954802259887007</v>
      </c>
      <c r="W217" s="197">
        <f t="shared" si="77"/>
        <v>4.4293785310734485E-3</v>
      </c>
      <c r="X217" s="286">
        <f t="shared" si="78"/>
        <v>1</v>
      </c>
      <c r="Y217" s="286">
        <f t="shared" si="79"/>
        <v>0.18724862219299684</v>
      </c>
      <c r="Z217" s="286">
        <f t="shared" si="80"/>
        <v>0.55386611079696224</v>
      </c>
      <c r="AA217" s="286">
        <f t="shared" si="112"/>
        <v>0.18724862219299684</v>
      </c>
      <c r="AB217" s="197">
        <f t="shared" si="81"/>
        <v>0.37042347800204795</v>
      </c>
      <c r="AC217" s="287">
        <f t="shared" si="82"/>
        <v>4.8012467228973545E-7</v>
      </c>
      <c r="AD217" s="197">
        <f t="shared" si="113"/>
        <v>11.497458515318582</v>
      </c>
      <c r="AE217" s="197">
        <f t="shared" si="114"/>
        <v>34.492375545955738</v>
      </c>
      <c r="AF217" s="197">
        <f t="shared" si="115"/>
        <v>8.5178571428571437E-2</v>
      </c>
      <c r="AG217" s="197">
        <f t="shared" si="116"/>
        <v>0.25553571428571425</v>
      </c>
      <c r="AH217" s="197">
        <f t="shared" si="83"/>
        <v>0.12381392253239736</v>
      </c>
      <c r="AI217" s="197">
        <f t="shared" si="117"/>
        <v>0.12381392253239736</v>
      </c>
      <c r="AJ217" s="218">
        <f t="shared" si="84"/>
        <v>390.00000000000006</v>
      </c>
      <c r="AK217" s="197">
        <f t="shared" si="118"/>
        <v>6.1971847869742622E-2</v>
      </c>
      <c r="AL217" s="197">
        <f t="shared" si="119"/>
        <v>9.7847711170352292E-2</v>
      </c>
      <c r="AM217" s="197">
        <f t="shared" si="120"/>
        <v>4.148742953622938E-3</v>
      </c>
      <c r="AN217" s="197">
        <f t="shared" si="85"/>
        <v>24.05</v>
      </c>
      <c r="AO217" s="197">
        <f t="shared" si="86"/>
        <v>21.69</v>
      </c>
      <c r="AP217" s="197">
        <f t="shared" si="121"/>
        <v>7.5359454288549343E-2</v>
      </c>
      <c r="AQ217" s="197">
        <f t="shared" si="122"/>
        <v>0.4323304392682466</v>
      </c>
      <c r="AR217" s="197">
        <f t="shared" si="123"/>
        <v>0.30851651673584929</v>
      </c>
      <c r="AS217" s="258">
        <f t="shared" si="124"/>
        <v>0.16103495618596422</v>
      </c>
      <c r="AT217" s="197">
        <f t="shared" si="87"/>
        <v>2.9044127967473271E-4</v>
      </c>
      <c r="AU217" s="194">
        <f t="shared" si="88"/>
        <v>21.19</v>
      </c>
      <c r="AV217" s="197">
        <f t="shared" si="89"/>
        <v>2.6549999999999994E-2</v>
      </c>
      <c r="AW217" s="197">
        <f t="shared" si="90"/>
        <v>3.4260000000000002E-3</v>
      </c>
      <c r="AX217" s="197">
        <f t="shared" si="125"/>
        <v>6.0640199999999991E-2</v>
      </c>
      <c r="AY217" s="197">
        <f t="shared" si="91"/>
        <v>2.8867476000000005E-3</v>
      </c>
      <c r="AZ217" s="197">
        <f t="shared" si="92"/>
        <v>0</v>
      </c>
      <c r="BA217" s="197">
        <f t="shared" si="126"/>
        <v>7.2596940000000013E-2</v>
      </c>
      <c r="BB217" s="258">
        <f t="shared" si="93"/>
        <v>0.37214384809220197</v>
      </c>
      <c r="BC217" s="197">
        <f t="shared" si="94"/>
        <v>2.316955160647147E-2</v>
      </c>
      <c r="BD217" s="197">
        <f t="shared" si="127"/>
        <v>4.6339103212942939E-3</v>
      </c>
      <c r="BE217" s="197">
        <f t="shared" si="128"/>
        <v>2.7803461927765765E-2</v>
      </c>
      <c r="BF217" s="197">
        <f t="shared" si="95"/>
        <v>0.20773291256157633</v>
      </c>
      <c r="BG217" s="197">
        <f t="shared" si="96"/>
        <v>5.8983315990793997E-4</v>
      </c>
      <c r="BH217" s="197">
        <f t="shared" si="97"/>
        <v>3.6582539838117108E-2</v>
      </c>
      <c r="BI217" s="197">
        <f t="shared" si="129"/>
        <v>0.4503923306555912</v>
      </c>
      <c r="BJ217" s="197">
        <f t="shared" si="98"/>
        <v>6.7726983651383499</v>
      </c>
      <c r="BK217" s="288">
        <f t="shared" si="99"/>
        <v>0.93349883512103071</v>
      </c>
      <c r="BL217" s="197">
        <f t="shared" si="100"/>
        <v>0.38263832571403117</v>
      </c>
      <c r="BM217" s="197">
        <f t="shared" si="101"/>
        <v>7.5649895568224074E-2</v>
      </c>
      <c r="BN217" s="197">
        <f t="shared" si="102"/>
        <v>54.538993734093445</v>
      </c>
      <c r="BO217" s="197">
        <f t="shared" si="130"/>
        <v>0.20832274572148426</v>
      </c>
      <c r="BP217" s="197">
        <f t="shared" si="103"/>
        <v>65.624205929111326</v>
      </c>
      <c r="BQ217" s="197">
        <f t="shared" si="104"/>
        <v>9.9146940000000003E-2</v>
      </c>
      <c r="BR217" s="288">
        <f t="shared" si="105"/>
        <v>0.16712483128797903</v>
      </c>
      <c r="BS217" s="197">
        <f t="shared" si="106"/>
        <v>0.12381392253239736</v>
      </c>
      <c r="BT217" s="197">
        <f t="shared" si="107"/>
        <v>0.37042347800204795</v>
      </c>
      <c r="BU217" s="197">
        <f t="shared" si="108"/>
        <v>0.19325966042761233</v>
      </c>
      <c r="BV217" s="197">
        <f t="shared" si="109"/>
        <v>0.57818954531837163</v>
      </c>
      <c r="BW217" s="194"/>
      <c r="BX217" s="194"/>
      <c r="BY217" s="194"/>
      <c r="BZ217" s="194"/>
      <c r="CA217" s="194"/>
      <c r="CB217" s="194"/>
      <c r="CC217" s="194"/>
      <c r="CD217" s="194"/>
      <c r="CE217" s="194"/>
      <c r="CF217" s="194"/>
      <c r="CG217" s="194"/>
      <c r="CH217" s="194"/>
      <c r="CI217" s="194"/>
      <c r="CJ217" s="194"/>
      <c r="CK217" s="194"/>
      <c r="CL217" s="194"/>
      <c r="CM217" s="194"/>
      <c r="CN217" s="194"/>
      <c r="CO217" s="194"/>
      <c r="CP217" s="194"/>
      <c r="CQ217" s="194"/>
      <c r="CR217" s="194"/>
      <c r="CS217" s="194"/>
      <c r="CT217" s="194"/>
      <c r="CU217" s="194"/>
      <c r="CV217" s="194"/>
      <c r="CW217" s="194"/>
      <c r="CX217" s="194"/>
      <c r="CY217" s="194"/>
      <c r="CZ217" s="194"/>
      <c r="DA217" s="194"/>
      <c r="DB217" s="194"/>
      <c r="DC217" s="194"/>
      <c r="DD217" s="194"/>
      <c r="DE217" s="194"/>
      <c r="DF217" s="194"/>
    </row>
    <row r="218" spans="2:110" s="192" customFormat="1" hidden="1" x14ac:dyDescent="0.35">
      <c r="B218" s="289"/>
      <c r="C218" s="289"/>
      <c r="Q218" s="193"/>
      <c r="R218" s="194">
        <f t="shared" si="110"/>
        <v>17.799999999999997</v>
      </c>
      <c r="S218" s="197">
        <f t="shared" si="76"/>
        <v>0.39325842696629215</v>
      </c>
      <c r="T218" s="194">
        <f t="shared" si="131"/>
        <v>0.69</v>
      </c>
      <c r="U218" s="194">
        <f t="shared" si="132"/>
        <v>1.4999999999999999E-4</v>
      </c>
      <c r="V218" s="197">
        <f t="shared" si="111"/>
        <v>0.39325842696629215</v>
      </c>
      <c r="W218" s="197">
        <f t="shared" si="77"/>
        <v>4.4044943820224728E-3</v>
      </c>
      <c r="X218" s="286">
        <f t="shared" si="78"/>
        <v>1</v>
      </c>
      <c r="Y218" s="286">
        <f t="shared" si="79"/>
        <v>0.18261876314106928</v>
      </c>
      <c r="Z218" s="286">
        <f t="shared" si="80"/>
        <v>0.552453013590815</v>
      </c>
      <c r="AA218" s="286">
        <f t="shared" si="112"/>
        <v>0.18261876314106928</v>
      </c>
      <c r="AB218" s="197">
        <f t="shared" si="81"/>
        <v>0.36832530347180698</v>
      </c>
      <c r="AC218" s="287">
        <f t="shared" si="82"/>
        <v>4.6825323882325458E-7</v>
      </c>
      <c r="AD218" s="197">
        <f t="shared" si="113"/>
        <v>11.562954082394629</v>
      </c>
      <c r="AE218" s="197">
        <f t="shared" si="114"/>
        <v>34.688862247183891</v>
      </c>
      <c r="AF218" s="197">
        <f t="shared" si="115"/>
        <v>8.5178571428571423E-2</v>
      </c>
      <c r="AG218" s="197">
        <f t="shared" si="116"/>
        <v>0.25553571428571431</v>
      </c>
      <c r="AH218" s="197">
        <f t="shared" si="83"/>
        <v>0.12144754554092979</v>
      </c>
      <c r="AI218" s="197">
        <f t="shared" si="117"/>
        <v>0.12144754554092979</v>
      </c>
      <c r="AJ218" s="218">
        <f t="shared" si="84"/>
        <v>389.99999999999994</v>
      </c>
      <c r="AK218" s="197">
        <f t="shared" si="118"/>
        <v>6.1620823270833305E-2</v>
      </c>
      <c r="AL218" s="197">
        <f t="shared" si="119"/>
        <v>9.7293476388779193E-2</v>
      </c>
      <c r="AM218" s="197">
        <f t="shared" si="120"/>
        <v>4.1252433988842388E-3</v>
      </c>
      <c r="AN218" s="197">
        <f t="shared" si="85"/>
        <v>24.05</v>
      </c>
      <c r="AO218" s="197">
        <f t="shared" si="86"/>
        <v>21.69</v>
      </c>
      <c r="AP218" s="197">
        <f t="shared" si="121"/>
        <v>7.4932598819090604E-2</v>
      </c>
      <c r="AQ218" s="197">
        <f t="shared" si="122"/>
        <v>0.42904907624227184</v>
      </c>
      <c r="AR218" s="197">
        <f t="shared" si="123"/>
        <v>0.30760153070134211</v>
      </c>
      <c r="AS218" s="258">
        <f t="shared" si="124"/>
        <v>0.15811124971095103</v>
      </c>
      <c r="AT218" s="197">
        <f t="shared" si="87"/>
        <v>2.7999067359377763E-4</v>
      </c>
      <c r="AU218" s="194">
        <f t="shared" si="88"/>
        <v>21.19</v>
      </c>
      <c r="AV218" s="197">
        <f t="shared" si="89"/>
        <v>2.6699999999999995E-2</v>
      </c>
      <c r="AW218" s="197">
        <f t="shared" si="90"/>
        <v>3.4259999999999994E-3</v>
      </c>
      <c r="AX218" s="197">
        <f t="shared" si="125"/>
        <v>6.0982799999999976E-2</v>
      </c>
      <c r="AY218" s="197">
        <f t="shared" si="91"/>
        <v>2.8867475999999992E-3</v>
      </c>
      <c r="AZ218" s="197">
        <f t="shared" si="92"/>
        <v>0</v>
      </c>
      <c r="BA218" s="197">
        <f t="shared" si="126"/>
        <v>7.2596939999999985E-2</v>
      </c>
      <c r="BB218" s="258">
        <f t="shared" si="93"/>
        <v>0.36999007379130017</v>
      </c>
      <c r="BC218" s="197">
        <f t="shared" si="94"/>
        <v>2.2902141131994548E-2</v>
      </c>
      <c r="BD218" s="197">
        <f t="shared" si="127"/>
        <v>4.5804282263989101E-3</v>
      </c>
      <c r="BE218" s="197">
        <f t="shared" si="128"/>
        <v>2.7482569358393459E-2</v>
      </c>
      <c r="BF218" s="197">
        <f t="shared" si="95"/>
        <v>0.20773291256157633</v>
      </c>
      <c r="BG218" s="197">
        <f t="shared" si="96"/>
        <v>5.7524910389436816E-4</v>
      </c>
      <c r="BH218" s="197">
        <f t="shared" si="97"/>
        <v>3.6160323884099704E-2</v>
      </c>
      <c r="BI218" s="197">
        <f t="shared" si="129"/>
        <v>0.44934733200064825</v>
      </c>
      <c r="BJ218" s="197">
        <f t="shared" si="98"/>
        <v>6.7716533664834078</v>
      </c>
      <c r="BK218" s="288">
        <f t="shared" si="99"/>
        <v>0.93364289226251407</v>
      </c>
      <c r="BL218" s="197">
        <f t="shared" si="100"/>
        <v>0.38042996440918025</v>
      </c>
      <c r="BM218" s="197">
        <f t="shared" si="101"/>
        <v>7.5212589492684376E-2</v>
      </c>
      <c r="BN218" s="197">
        <f t="shared" si="102"/>
        <v>54.512755369561063</v>
      </c>
      <c r="BO218" s="197">
        <f t="shared" si="130"/>
        <v>0.2083081616654707</v>
      </c>
      <c r="BP218" s="197">
        <f t="shared" si="103"/>
        <v>65.623112124910307</v>
      </c>
      <c r="BQ218" s="197">
        <f t="shared" si="104"/>
        <v>9.9296939999999972E-2</v>
      </c>
      <c r="BR218" s="288">
        <f t="shared" si="105"/>
        <v>0.16486451568243377</v>
      </c>
      <c r="BS218" s="197">
        <f t="shared" si="106"/>
        <v>0.12144754554092979</v>
      </c>
      <c r="BT218" s="197">
        <f t="shared" si="107"/>
        <v>0.36832530347180698</v>
      </c>
      <c r="BU218" s="197">
        <f t="shared" si="108"/>
        <v>0.1859320200202817</v>
      </c>
      <c r="BV218" s="197">
        <f t="shared" si="109"/>
        <v>0.56389338618635421</v>
      </c>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94"/>
      <c r="DB218" s="194"/>
      <c r="DC218" s="194"/>
      <c r="DD218" s="194"/>
      <c r="DE218" s="194"/>
      <c r="DF218" s="194"/>
    </row>
    <row r="219" spans="2:110" s="192" customFormat="1" hidden="1" x14ac:dyDescent="0.35">
      <c r="B219" s="289"/>
      <c r="C219" s="289"/>
      <c r="Q219" s="193"/>
      <c r="R219" s="194">
        <f t="shared" si="110"/>
        <v>17.899999999999999</v>
      </c>
      <c r="S219" s="197">
        <f t="shared" si="76"/>
        <v>0.3910614525139664</v>
      </c>
      <c r="T219" s="194">
        <f t="shared" si="131"/>
        <v>0.69</v>
      </c>
      <c r="U219" s="194">
        <f t="shared" si="132"/>
        <v>1.4999999999999999E-4</v>
      </c>
      <c r="V219" s="197">
        <f t="shared" si="111"/>
        <v>0.3910614525139664</v>
      </c>
      <c r="W219" s="197">
        <f t="shared" si="77"/>
        <v>4.3798882681564243E-3</v>
      </c>
      <c r="X219" s="286">
        <f t="shared" si="78"/>
        <v>1</v>
      </c>
      <c r="Y219" s="286">
        <f t="shared" si="79"/>
        <v>0.17798912133416944</v>
      </c>
      <c r="Z219" s="286">
        <f t="shared" si="80"/>
        <v>0.55104717341795662</v>
      </c>
      <c r="AA219" s="286">
        <f t="shared" si="112"/>
        <v>0.17798912133416944</v>
      </c>
      <c r="AB219" s="197">
        <f t="shared" si="81"/>
        <v>0.36625086106751692</v>
      </c>
      <c r="AC219" s="287">
        <f t="shared" si="82"/>
        <v>4.5638236239530626E-7</v>
      </c>
      <c r="AD219" s="197">
        <f t="shared" si="113"/>
        <v>11.628446576248336</v>
      </c>
      <c r="AE219" s="197">
        <f t="shared" si="114"/>
        <v>34.885339728745009</v>
      </c>
      <c r="AF219" s="197">
        <f t="shared" si="115"/>
        <v>8.5178571428571437E-2</v>
      </c>
      <c r="AG219" s="197">
        <f t="shared" si="116"/>
        <v>0.25553571428571431</v>
      </c>
      <c r="AH219" s="197">
        <f t="shared" si="83"/>
        <v>0.11904600251509526</v>
      </c>
      <c r="AI219" s="197">
        <f t="shared" si="117"/>
        <v>0.11904600251509526</v>
      </c>
      <c r="AJ219" s="218">
        <f t="shared" si="84"/>
        <v>390</v>
      </c>
      <c r="AK219" s="197">
        <f t="shared" si="118"/>
        <v>6.1273769056595581E-2</v>
      </c>
      <c r="AL219" s="197">
        <f t="shared" si="119"/>
        <v>9.6745510470664847E-2</v>
      </c>
      <c r="AM219" s="197">
        <f t="shared" si="120"/>
        <v>4.1020096439561898E-3</v>
      </c>
      <c r="AN219" s="197">
        <f t="shared" si="85"/>
        <v>24.05</v>
      </c>
      <c r="AO219" s="197">
        <f t="shared" si="86"/>
        <v>21.69</v>
      </c>
      <c r="AP219" s="197">
        <f t="shared" si="121"/>
        <v>7.4510571445492391E-2</v>
      </c>
      <c r="AQ219" s="197">
        <f t="shared" si="122"/>
        <v>0.42577386232506453</v>
      </c>
      <c r="AR219" s="197">
        <f t="shared" si="123"/>
        <v>0.30672785980996931</v>
      </c>
      <c r="AS219" s="258">
        <f t="shared" si="124"/>
        <v>0.15519539476350375</v>
      </c>
      <c r="AT219" s="197">
        <f t="shared" si="87"/>
        <v>2.6975883822495742E-4</v>
      </c>
      <c r="AU219" s="194">
        <f t="shared" si="88"/>
        <v>21.19</v>
      </c>
      <c r="AV219" s="197">
        <f t="shared" si="89"/>
        <v>2.6849999999999999E-2</v>
      </c>
      <c r="AW219" s="197">
        <f t="shared" si="90"/>
        <v>3.4259999999999998E-3</v>
      </c>
      <c r="AX219" s="197">
        <f t="shared" si="125"/>
        <v>6.1325399999999988E-2</v>
      </c>
      <c r="AY219" s="197">
        <f t="shared" si="91"/>
        <v>2.8867475999999996E-3</v>
      </c>
      <c r="AZ219" s="197">
        <f t="shared" si="92"/>
        <v>0</v>
      </c>
      <c r="BA219" s="197">
        <f t="shared" si="126"/>
        <v>7.2596939999999999E-2</v>
      </c>
      <c r="BB219" s="258">
        <f t="shared" si="93"/>
        <v>0.36785960518328126</v>
      </c>
      <c r="BC219" s="197">
        <f t="shared" si="94"/>
        <v>2.2639151290712811E-2</v>
      </c>
      <c r="BD219" s="197">
        <f t="shared" si="127"/>
        <v>4.5278302581425621E-3</v>
      </c>
      <c r="BE219" s="197">
        <f t="shared" si="128"/>
        <v>2.7166981548855374E-2</v>
      </c>
      <c r="BF219" s="197">
        <f t="shared" si="95"/>
        <v>0.20773291256157636</v>
      </c>
      <c r="BG219" s="197">
        <f t="shared" si="96"/>
        <v>5.6066573220263372E-4</v>
      </c>
      <c r="BH219" s="197">
        <f t="shared" si="97"/>
        <v>3.5745087693554604E-2</v>
      </c>
      <c r="BI219" s="197">
        <f t="shared" si="129"/>
        <v>0.44831966541990631</v>
      </c>
      <c r="BJ219" s="197">
        <f t="shared" si="98"/>
        <v>6.7706256999026655</v>
      </c>
      <c r="BK219" s="288">
        <f t="shared" si="99"/>
        <v>0.93378460347817616</v>
      </c>
      <c r="BL219" s="197">
        <f t="shared" si="100"/>
        <v>0.37824724580461822</v>
      </c>
      <c r="BM219" s="197">
        <f t="shared" si="101"/>
        <v>7.4780330283717347E-2</v>
      </c>
      <c r="BN219" s="197">
        <f t="shared" si="102"/>
        <v>54.48681981702304</v>
      </c>
      <c r="BO219" s="197">
        <f t="shared" si="130"/>
        <v>0.20829357829377898</v>
      </c>
      <c r="BP219" s="197">
        <f t="shared" si="103"/>
        <v>65.622018372033423</v>
      </c>
      <c r="BQ219" s="197">
        <f t="shared" si="104"/>
        <v>9.9446939999999998E-2</v>
      </c>
      <c r="BR219" s="288">
        <f t="shared" si="105"/>
        <v>0.16251975786228881</v>
      </c>
      <c r="BS219" s="197">
        <f t="shared" si="106"/>
        <v>0.11904600251509526</v>
      </c>
      <c r="BT219" s="197">
        <f t="shared" si="107"/>
        <v>0.36625086106751692</v>
      </c>
      <c r="BU219" s="197">
        <f t="shared" si="108"/>
        <v>0.17864103456603411</v>
      </c>
      <c r="BV219" s="197">
        <f t="shared" si="109"/>
        <v>0.54959789786730329</v>
      </c>
      <c r="BW219" s="194"/>
      <c r="BX219" s="194"/>
      <c r="BY219" s="194"/>
      <c r="BZ219" s="194"/>
      <c r="CA219" s="194"/>
      <c r="CB219" s="194"/>
      <c r="CC219" s="194"/>
      <c r="CD219" s="194"/>
      <c r="CE219" s="194"/>
      <c r="CF219" s="194"/>
      <c r="CG219" s="194"/>
      <c r="CH219" s="194"/>
      <c r="CI219" s="194"/>
      <c r="CJ219" s="194"/>
      <c r="CK219" s="194"/>
      <c r="CL219" s="194"/>
      <c r="CM219" s="194"/>
      <c r="CN219" s="194"/>
      <c r="CO219" s="194"/>
      <c r="CP219" s="194"/>
      <c r="CQ219" s="194"/>
      <c r="CR219" s="194"/>
      <c r="CS219" s="194"/>
      <c r="CT219" s="194"/>
      <c r="CU219" s="194"/>
      <c r="CV219" s="194"/>
      <c r="CW219" s="194"/>
      <c r="CX219" s="194"/>
      <c r="CY219" s="194"/>
      <c r="CZ219" s="194"/>
      <c r="DA219" s="194"/>
      <c r="DB219" s="194"/>
      <c r="DC219" s="194"/>
      <c r="DD219" s="194"/>
      <c r="DE219" s="194"/>
      <c r="DF219" s="194"/>
    </row>
    <row r="220" spans="2:110" s="192" customFormat="1" hidden="1" x14ac:dyDescent="0.35">
      <c r="B220" s="289"/>
      <c r="C220" s="289"/>
      <c r="Q220" s="193"/>
      <c r="R220" s="194">
        <f t="shared" si="110"/>
        <v>18</v>
      </c>
      <c r="S220" s="197">
        <f t="shared" si="76"/>
        <v>0.3888888888888889</v>
      </c>
      <c r="T220" s="194">
        <f t="shared" si="131"/>
        <v>0.69</v>
      </c>
      <c r="U220" s="194">
        <f t="shared" si="132"/>
        <v>1.4999999999999999E-4</v>
      </c>
      <c r="V220" s="197">
        <f t="shared" si="111"/>
        <v>0.3888888888888889</v>
      </c>
      <c r="W220" s="197">
        <f t="shared" si="77"/>
        <v>4.3555555555555561E-3</v>
      </c>
      <c r="X220" s="286">
        <f t="shared" si="78"/>
        <v>1</v>
      </c>
      <c r="Y220" s="286">
        <f t="shared" si="79"/>
        <v>0.17335969315081967</v>
      </c>
      <c r="Z220" s="286">
        <f t="shared" si="80"/>
        <v>0.54964853345132902</v>
      </c>
      <c r="AA220" s="286">
        <f t="shared" si="112"/>
        <v>0.17335969315081967</v>
      </c>
      <c r="AB220" s="197">
        <f t="shared" si="81"/>
        <v>0.36419974881911377</v>
      </c>
      <c r="AC220" s="287">
        <f t="shared" si="82"/>
        <v>4.4451203372005044E-7</v>
      </c>
      <c r="AD220" s="197">
        <f t="shared" si="113"/>
        <v>11.693936048110356</v>
      </c>
      <c r="AE220" s="197">
        <f t="shared" si="114"/>
        <v>35.08180814433107</v>
      </c>
      <c r="AF220" s="197">
        <f t="shared" si="115"/>
        <v>8.5178571428571423E-2</v>
      </c>
      <c r="AG220" s="197">
        <f t="shared" si="116"/>
        <v>0.25553571428571431</v>
      </c>
      <c r="AH220" s="197">
        <f t="shared" si="83"/>
        <v>0.11660930017110901</v>
      </c>
      <c r="AI220" s="197">
        <f t="shared" si="117"/>
        <v>0.11660930017110901</v>
      </c>
      <c r="AJ220" s="218">
        <f t="shared" si="84"/>
        <v>390.00000000000006</v>
      </c>
      <c r="AK220" s="197">
        <f t="shared" si="118"/>
        <v>6.0930617977437734E-2</v>
      </c>
      <c r="AL220" s="197">
        <f t="shared" si="119"/>
        <v>9.6203707235237593E-2</v>
      </c>
      <c r="AM220" s="197">
        <f t="shared" si="120"/>
        <v>4.0790371867740751E-3</v>
      </c>
      <c r="AN220" s="197">
        <f t="shared" si="85"/>
        <v>24.05</v>
      </c>
      <c r="AO220" s="197">
        <f t="shared" si="86"/>
        <v>21.69</v>
      </c>
      <c r="AP220" s="197">
        <f t="shared" si="121"/>
        <v>7.4093290390420161E-2</v>
      </c>
      <c r="AQ220" s="197">
        <f t="shared" si="122"/>
        <v>0.42250439890466829</v>
      </c>
      <c r="AR220" s="197">
        <f t="shared" si="123"/>
        <v>0.30589509873355925</v>
      </c>
      <c r="AS220" s="258">
        <f t="shared" si="124"/>
        <v>0.15228632177729159</v>
      </c>
      <c r="AT220" s="197">
        <f t="shared" si="87"/>
        <v>2.5974058656511614E-4</v>
      </c>
      <c r="AU220" s="194">
        <f t="shared" si="88"/>
        <v>21.19</v>
      </c>
      <c r="AV220" s="197">
        <f t="shared" si="89"/>
        <v>2.7E-2</v>
      </c>
      <c r="AW220" s="197">
        <f t="shared" si="90"/>
        <v>3.4260000000000002E-3</v>
      </c>
      <c r="AX220" s="197">
        <f t="shared" si="125"/>
        <v>6.1668000000000001E-2</v>
      </c>
      <c r="AY220" s="197">
        <f t="shared" si="91"/>
        <v>2.8867476000000005E-3</v>
      </c>
      <c r="AZ220" s="197">
        <f t="shared" si="92"/>
        <v>0</v>
      </c>
      <c r="BA220" s="197">
        <f t="shared" si="126"/>
        <v>7.2596940000000013E-2</v>
      </c>
      <c r="BB220" s="258">
        <f t="shared" si="93"/>
        <v>0.36575210336206115</v>
      </c>
      <c r="BC220" s="197">
        <f t="shared" si="94"/>
        <v>2.2380490766334034E-2</v>
      </c>
      <c r="BD220" s="197">
        <f t="shared" si="127"/>
        <v>4.4760981532668068E-3</v>
      </c>
      <c r="BE220" s="197">
        <f t="shared" si="128"/>
        <v>2.6856588919600841E-2</v>
      </c>
      <c r="BF220" s="197">
        <f t="shared" si="95"/>
        <v>0.20773291256157633</v>
      </c>
      <c r="BG220" s="197">
        <f t="shared" si="96"/>
        <v>5.4608303342508187E-4</v>
      </c>
      <c r="BH220" s="197">
        <f t="shared" si="97"/>
        <v>3.5336687086656722E-2</v>
      </c>
      <c r="BI220" s="197">
        <f t="shared" si="129"/>
        <v>0.44730899017824427</v>
      </c>
      <c r="BJ220" s="197">
        <f t="shared" si="98"/>
        <v>6.769615024661003</v>
      </c>
      <c r="BK220" s="288">
        <f t="shared" si="99"/>
        <v>0.93392401361838984</v>
      </c>
      <c r="BL220" s="197">
        <f t="shared" si="100"/>
        <v>0.37608972359227794</v>
      </c>
      <c r="BM220" s="197">
        <f t="shared" si="101"/>
        <v>7.4353030976985271E-2</v>
      </c>
      <c r="BN220" s="197">
        <f t="shared" si="102"/>
        <v>54.461181858619113</v>
      </c>
      <c r="BO220" s="197">
        <f t="shared" si="130"/>
        <v>0.2082789955950014</v>
      </c>
      <c r="BP220" s="197">
        <f t="shared" si="103"/>
        <v>65.620924669625111</v>
      </c>
      <c r="BQ220" s="197">
        <f t="shared" si="104"/>
        <v>9.9596940000000009E-2</v>
      </c>
      <c r="BR220" s="288">
        <f t="shared" si="105"/>
        <v>0.16008975919012108</v>
      </c>
      <c r="BS220" s="197">
        <f t="shared" si="106"/>
        <v>0.11660930017110901</v>
      </c>
      <c r="BT220" s="197">
        <f t="shared" si="107"/>
        <v>0.36419974881911377</v>
      </c>
      <c r="BU220" s="197">
        <f t="shared" si="108"/>
        <v>0.1713930788771201</v>
      </c>
      <c r="BV220" s="197">
        <f t="shared" si="109"/>
        <v>0.53530306917875781</v>
      </c>
      <c r="BW220" s="194"/>
      <c r="BX220" s="194"/>
      <c r="BY220" s="194"/>
      <c r="BZ220" s="194"/>
      <c r="CA220" s="194"/>
      <c r="CB220" s="194"/>
      <c r="CC220" s="194"/>
      <c r="CD220" s="194"/>
      <c r="CE220" s="194"/>
      <c r="CF220" s="194"/>
      <c r="CG220" s="194"/>
      <c r="CH220" s="194"/>
      <c r="CI220" s="194"/>
      <c r="CJ220" s="194"/>
      <c r="CK220" s="194"/>
      <c r="CL220" s="194"/>
      <c r="CM220" s="194"/>
      <c r="CN220" s="194"/>
      <c r="CO220" s="194"/>
      <c r="CP220" s="194"/>
      <c r="CQ220" s="194"/>
      <c r="CR220" s="194"/>
      <c r="CS220" s="194"/>
      <c r="CT220" s="194"/>
      <c r="CU220" s="194"/>
      <c r="CV220" s="194"/>
      <c r="CW220" s="194"/>
      <c r="CX220" s="194"/>
      <c r="CY220" s="194"/>
      <c r="CZ220" s="194"/>
      <c r="DA220" s="194"/>
      <c r="DB220" s="194"/>
      <c r="DC220" s="194"/>
      <c r="DD220" s="194"/>
      <c r="DE220" s="194"/>
      <c r="DF220" s="194"/>
    </row>
    <row r="221" spans="2:110" s="192" customFormat="1" hidden="1" x14ac:dyDescent="0.35">
      <c r="B221" s="289"/>
      <c r="C221" s="289"/>
      <c r="Q221" s="193"/>
      <c r="R221" s="194">
        <f t="shared" si="110"/>
        <v>18</v>
      </c>
      <c r="S221" s="197">
        <f t="shared" si="76"/>
        <v>0.3888888888888889</v>
      </c>
      <c r="T221" s="194">
        <f t="shared" si="131"/>
        <v>0.69</v>
      </c>
      <c r="U221" s="194">
        <f t="shared" si="132"/>
        <v>1.4999999999999999E-4</v>
      </c>
      <c r="V221" s="197">
        <f t="shared" si="111"/>
        <v>0.3888888888888889</v>
      </c>
      <c r="W221" s="197">
        <f t="shared" si="77"/>
        <v>4.3555555555555561E-3</v>
      </c>
      <c r="X221" s="286">
        <f t="shared" si="78"/>
        <v>1</v>
      </c>
      <c r="Y221" s="286">
        <f t="shared" si="79"/>
        <v>0.17335969315081967</v>
      </c>
      <c r="Z221" s="286">
        <f t="shared" si="80"/>
        <v>0.54964853345132902</v>
      </c>
      <c r="AA221" s="286">
        <f t="shared" si="112"/>
        <v>0.17335969315081967</v>
      </c>
      <c r="AB221" s="197">
        <f t="shared" si="81"/>
        <v>0.36419974881911377</v>
      </c>
      <c r="AC221" s="287">
        <f t="shared" si="82"/>
        <v>4.4451203372005044E-7</v>
      </c>
      <c r="AD221" s="197">
        <f t="shared" si="113"/>
        <v>11.693936048110356</v>
      </c>
      <c r="AE221" s="197">
        <f t="shared" si="114"/>
        <v>35.08180814433107</v>
      </c>
      <c r="AF221" s="197">
        <f t="shared" si="115"/>
        <v>8.5178571428571423E-2</v>
      </c>
      <c r="AG221" s="197">
        <f t="shared" si="116"/>
        <v>0.25553571428571431</v>
      </c>
      <c r="AH221" s="197">
        <f t="shared" si="83"/>
        <v>0.11660930017110901</v>
      </c>
      <c r="AI221" s="197">
        <f t="shared" si="117"/>
        <v>0.11660930017110901</v>
      </c>
      <c r="AJ221" s="218">
        <f t="shared" si="84"/>
        <v>390.00000000000006</v>
      </c>
      <c r="AK221" s="197">
        <f t="shared" si="118"/>
        <v>6.0930617977437734E-2</v>
      </c>
      <c r="AL221" s="197">
        <f t="shared" si="119"/>
        <v>9.6203707235237593E-2</v>
      </c>
      <c r="AM221" s="197">
        <f t="shared" si="120"/>
        <v>4.0790371867740751E-3</v>
      </c>
      <c r="AN221" s="197">
        <f t="shared" si="85"/>
        <v>24.05</v>
      </c>
      <c r="AO221" s="197">
        <f t="shared" si="86"/>
        <v>21.69</v>
      </c>
      <c r="AP221" s="197">
        <f t="shared" si="121"/>
        <v>7.4093290390420161E-2</v>
      </c>
      <c r="AQ221" s="197">
        <f t="shared" si="122"/>
        <v>0.42250439890466829</v>
      </c>
      <c r="AR221" s="197">
        <f t="shared" si="123"/>
        <v>0.30589509873355925</v>
      </c>
      <c r="AS221" s="258">
        <f t="shared" si="124"/>
        <v>0.15228632177729159</v>
      </c>
      <c r="AT221" s="197">
        <f t="shared" si="87"/>
        <v>2.5974058656511614E-4</v>
      </c>
      <c r="AU221" s="194">
        <f t="shared" si="88"/>
        <v>21.19</v>
      </c>
      <c r="AV221" s="197">
        <f t="shared" si="89"/>
        <v>2.7E-2</v>
      </c>
      <c r="AW221" s="197">
        <f t="shared" si="90"/>
        <v>3.4260000000000002E-3</v>
      </c>
      <c r="AX221" s="197">
        <f t="shared" si="125"/>
        <v>6.1668000000000001E-2</v>
      </c>
      <c r="AY221" s="197">
        <f t="shared" si="91"/>
        <v>2.8867476000000005E-3</v>
      </c>
      <c r="AZ221" s="197">
        <f t="shared" si="92"/>
        <v>0</v>
      </c>
      <c r="BA221" s="197">
        <f t="shared" si="126"/>
        <v>7.2596940000000013E-2</v>
      </c>
      <c r="BB221" s="258">
        <f t="shared" si="93"/>
        <v>0.36575210336206115</v>
      </c>
      <c r="BC221" s="197">
        <f t="shared" si="94"/>
        <v>2.2380490766334034E-2</v>
      </c>
      <c r="BD221" s="197">
        <f t="shared" si="127"/>
        <v>4.4760981532668068E-3</v>
      </c>
      <c r="BE221" s="197">
        <f t="shared" si="128"/>
        <v>2.6856588919600841E-2</v>
      </c>
      <c r="BF221" s="197">
        <f t="shared" si="95"/>
        <v>0.20773291256157633</v>
      </c>
      <c r="BG221" s="197">
        <f t="shared" si="96"/>
        <v>5.4608303342508187E-4</v>
      </c>
      <c r="BH221" s="197">
        <f t="shared" si="97"/>
        <v>3.5336687086656722E-2</v>
      </c>
      <c r="BI221" s="197">
        <f t="shared" si="129"/>
        <v>0.44730899017824427</v>
      </c>
      <c r="BJ221" s="197">
        <f t="shared" si="98"/>
        <v>6.769615024661003</v>
      </c>
      <c r="BK221" s="288">
        <f t="shared" si="99"/>
        <v>0.93392401361838984</v>
      </c>
      <c r="BL221" s="197">
        <f t="shared" si="100"/>
        <v>0.37608972359227794</v>
      </c>
      <c r="BM221" s="197">
        <f t="shared" si="101"/>
        <v>7.4353030976985271E-2</v>
      </c>
      <c r="BN221" s="197">
        <f t="shared" si="102"/>
        <v>54.461181858619113</v>
      </c>
      <c r="BO221" s="197">
        <f t="shared" si="130"/>
        <v>0.2082789955950014</v>
      </c>
      <c r="BP221" s="197">
        <f t="shared" si="103"/>
        <v>65.620924669625111</v>
      </c>
      <c r="BQ221" s="197">
        <f t="shared" si="104"/>
        <v>9.9596940000000009E-2</v>
      </c>
      <c r="BR221" s="288">
        <f t="shared" si="105"/>
        <v>0.16008975919012108</v>
      </c>
      <c r="BS221" s="197">
        <f t="shared" si="106"/>
        <v>0.11660930017110901</v>
      </c>
      <c r="BT221" s="197">
        <f t="shared" si="107"/>
        <v>0.36419974881911377</v>
      </c>
      <c r="BU221" s="197">
        <f t="shared" si="108"/>
        <v>0.1713930788771201</v>
      </c>
      <c r="BV221" s="197">
        <f t="shared" si="109"/>
        <v>0.53530306917875781</v>
      </c>
      <c r="BW221" s="194"/>
      <c r="BX221" s="194"/>
      <c r="BY221" s="194"/>
      <c r="BZ221" s="194"/>
      <c r="CA221" s="194"/>
      <c r="CB221" s="194"/>
      <c r="CC221" s="194"/>
      <c r="CD221" s="194"/>
      <c r="CE221" s="194"/>
      <c r="CF221" s="194"/>
      <c r="CG221" s="194"/>
      <c r="CH221" s="194"/>
      <c r="CI221" s="194"/>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row>
    <row r="222" spans="2:110" s="192" customFormat="1" hidden="1" x14ac:dyDescent="0.35">
      <c r="B222" s="289"/>
      <c r="C222" s="289"/>
      <c r="Q222" s="193"/>
      <c r="R222" s="194">
        <f t="shared" si="110"/>
        <v>18</v>
      </c>
      <c r="S222" s="197">
        <f t="shared" si="76"/>
        <v>0.3888888888888889</v>
      </c>
      <c r="T222" s="194">
        <f t="shared" si="131"/>
        <v>0.69</v>
      </c>
      <c r="U222" s="194">
        <f t="shared" si="132"/>
        <v>1.4999999999999999E-4</v>
      </c>
      <c r="V222" s="197">
        <f t="shared" si="111"/>
        <v>0.3888888888888889</v>
      </c>
      <c r="W222" s="197">
        <f t="shared" si="77"/>
        <v>4.3555555555555561E-3</v>
      </c>
      <c r="X222" s="286">
        <f t="shared" si="78"/>
        <v>1</v>
      </c>
      <c r="Y222" s="286">
        <f t="shared" si="79"/>
        <v>0.17335969315081967</v>
      </c>
      <c r="Z222" s="286">
        <f t="shared" si="80"/>
        <v>0.54964853345132902</v>
      </c>
      <c r="AA222" s="286">
        <f t="shared" si="112"/>
        <v>0.17335969315081967</v>
      </c>
      <c r="AB222" s="197">
        <f t="shared" si="81"/>
        <v>0.36419974881911377</v>
      </c>
      <c r="AC222" s="287">
        <f t="shared" si="82"/>
        <v>4.4451203372005044E-7</v>
      </c>
      <c r="AD222" s="197">
        <f t="shared" si="113"/>
        <v>11.693936048110356</v>
      </c>
      <c r="AE222" s="197">
        <f t="shared" si="114"/>
        <v>35.08180814433107</v>
      </c>
      <c r="AF222" s="197">
        <f t="shared" si="115"/>
        <v>8.5178571428571423E-2</v>
      </c>
      <c r="AG222" s="197">
        <f t="shared" si="116"/>
        <v>0.25553571428571431</v>
      </c>
      <c r="AH222" s="197">
        <f t="shared" si="83"/>
        <v>0.11660930017110901</v>
      </c>
      <c r="AI222" s="197">
        <f t="shared" si="117"/>
        <v>0.11660930017110901</v>
      </c>
      <c r="AJ222" s="218">
        <f t="shared" si="84"/>
        <v>390.00000000000006</v>
      </c>
      <c r="AK222" s="197">
        <f t="shared" si="118"/>
        <v>6.0930617977437734E-2</v>
      </c>
      <c r="AL222" s="197">
        <f t="shared" si="119"/>
        <v>9.6203707235237593E-2</v>
      </c>
      <c r="AM222" s="197">
        <f t="shared" si="120"/>
        <v>4.0790371867740751E-3</v>
      </c>
      <c r="AN222" s="197">
        <f t="shared" si="85"/>
        <v>24.05</v>
      </c>
      <c r="AO222" s="197">
        <f t="shared" si="86"/>
        <v>21.69</v>
      </c>
      <c r="AP222" s="197">
        <f t="shared" si="121"/>
        <v>7.4093290390420161E-2</v>
      </c>
      <c r="AQ222" s="197">
        <f t="shared" si="122"/>
        <v>0.42250439890466829</v>
      </c>
      <c r="AR222" s="197">
        <f t="shared" si="123"/>
        <v>0.30589509873355925</v>
      </c>
      <c r="AS222" s="258">
        <f t="shared" si="124"/>
        <v>0.15228632177729159</v>
      </c>
      <c r="AT222" s="197">
        <f t="shared" si="87"/>
        <v>2.5974058656511614E-4</v>
      </c>
      <c r="AU222" s="194">
        <f t="shared" si="88"/>
        <v>21.19</v>
      </c>
      <c r="AV222" s="197">
        <f t="shared" si="89"/>
        <v>2.7E-2</v>
      </c>
      <c r="AW222" s="197">
        <f t="shared" si="90"/>
        <v>3.4260000000000002E-3</v>
      </c>
      <c r="AX222" s="197">
        <f t="shared" si="125"/>
        <v>6.1668000000000001E-2</v>
      </c>
      <c r="AY222" s="197">
        <f t="shared" si="91"/>
        <v>2.8867476000000005E-3</v>
      </c>
      <c r="AZ222" s="197">
        <f t="shared" si="92"/>
        <v>0</v>
      </c>
      <c r="BA222" s="197">
        <f t="shared" si="126"/>
        <v>7.2596940000000013E-2</v>
      </c>
      <c r="BB222" s="258">
        <f t="shared" si="93"/>
        <v>0.36575210336206115</v>
      </c>
      <c r="BC222" s="197">
        <f t="shared" si="94"/>
        <v>2.2380490766334034E-2</v>
      </c>
      <c r="BD222" s="197">
        <f t="shared" si="127"/>
        <v>4.4760981532668068E-3</v>
      </c>
      <c r="BE222" s="197">
        <f t="shared" si="128"/>
        <v>2.6856588919600841E-2</v>
      </c>
      <c r="BF222" s="197">
        <f t="shared" si="95"/>
        <v>0.20773291256157633</v>
      </c>
      <c r="BG222" s="197">
        <f t="shared" si="96"/>
        <v>5.4608303342508187E-4</v>
      </c>
      <c r="BH222" s="197">
        <f t="shared" si="97"/>
        <v>3.5336687086656722E-2</v>
      </c>
      <c r="BI222" s="197">
        <f t="shared" si="129"/>
        <v>0.44730899017824427</v>
      </c>
      <c r="BJ222" s="197">
        <f t="shared" si="98"/>
        <v>6.769615024661003</v>
      </c>
      <c r="BK222" s="288">
        <f t="shared" si="99"/>
        <v>0.93392401361838984</v>
      </c>
      <c r="BL222" s="197">
        <f t="shared" si="100"/>
        <v>0.37608972359227794</v>
      </c>
      <c r="BM222" s="197">
        <f t="shared" si="101"/>
        <v>7.4353030976985271E-2</v>
      </c>
      <c r="BN222" s="197">
        <f t="shared" si="102"/>
        <v>54.461181858619113</v>
      </c>
      <c r="BO222" s="197">
        <f t="shared" si="130"/>
        <v>0.2082789955950014</v>
      </c>
      <c r="BP222" s="197">
        <f t="shared" si="103"/>
        <v>65.620924669625111</v>
      </c>
      <c r="BQ222" s="197">
        <f t="shared" si="104"/>
        <v>9.9596940000000009E-2</v>
      </c>
      <c r="BR222" s="288">
        <f t="shared" si="105"/>
        <v>0.16008975919012108</v>
      </c>
      <c r="BS222" s="197">
        <f t="shared" si="106"/>
        <v>0.11660930017110901</v>
      </c>
      <c r="BT222" s="197">
        <f t="shared" si="107"/>
        <v>0.36419974881911377</v>
      </c>
      <c r="BU222" s="197">
        <f t="shared" si="108"/>
        <v>0.1713930788771201</v>
      </c>
      <c r="BV222" s="197">
        <f t="shared" si="109"/>
        <v>0.53530306917875781</v>
      </c>
      <c r="BW222" s="194"/>
      <c r="BX222" s="194"/>
      <c r="BY222" s="194"/>
      <c r="BZ222" s="194"/>
      <c r="CA222" s="194"/>
      <c r="CB222" s="194"/>
      <c r="CC222" s="194"/>
      <c r="CD222" s="194"/>
      <c r="CE222" s="194"/>
      <c r="CF222" s="194"/>
      <c r="CG222" s="194"/>
      <c r="CH222" s="194"/>
      <c r="CI222" s="194"/>
      <c r="CJ222" s="194"/>
      <c r="CK222" s="194"/>
      <c r="CL222" s="194"/>
      <c r="CM222" s="194"/>
      <c r="CN222" s="194"/>
      <c r="CO222" s="194"/>
      <c r="CP222" s="194"/>
      <c r="CQ222" s="194"/>
      <c r="CR222" s="194"/>
      <c r="CS222" s="194"/>
      <c r="CT222" s="194"/>
      <c r="CU222" s="194"/>
      <c r="CV222" s="194"/>
      <c r="CW222" s="194"/>
      <c r="CX222" s="194"/>
      <c r="CY222" s="194"/>
      <c r="CZ222" s="194"/>
      <c r="DA222" s="194"/>
      <c r="DB222" s="194"/>
      <c r="DC222" s="194"/>
      <c r="DD222" s="194"/>
      <c r="DE222" s="194"/>
      <c r="DF222" s="194"/>
    </row>
    <row r="223" spans="2:110" s="192" customFormat="1" hidden="1" x14ac:dyDescent="0.35">
      <c r="B223" s="289"/>
      <c r="C223" s="289"/>
      <c r="Q223" s="193"/>
      <c r="R223" s="194">
        <f t="shared" si="110"/>
        <v>18</v>
      </c>
      <c r="S223" s="197">
        <f t="shared" si="76"/>
        <v>0.3888888888888889</v>
      </c>
      <c r="T223" s="194">
        <f t="shared" si="131"/>
        <v>0.69</v>
      </c>
      <c r="U223" s="194">
        <f t="shared" si="132"/>
        <v>1.4999999999999999E-4</v>
      </c>
      <c r="V223" s="197">
        <f t="shared" si="111"/>
        <v>0.3888888888888889</v>
      </c>
      <c r="W223" s="197">
        <f t="shared" si="77"/>
        <v>4.3555555555555561E-3</v>
      </c>
      <c r="X223" s="286">
        <f t="shared" si="78"/>
        <v>1</v>
      </c>
      <c r="Y223" s="286">
        <f t="shared" si="79"/>
        <v>0.17335969315081967</v>
      </c>
      <c r="Z223" s="286">
        <f t="shared" si="80"/>
        <v>0.54964853345132902</v>
      </c>
      <c r="AA223" s="286">
        <f t="shared" si="112"/>
        <v>0.17335969315081967</v>
      </c>
      <c r="AB223" s="197">
        <f t="shared" si="81"/>
        <v>0.36419974881911377</v>
      </c>
      <c r="AC223" s="287">
        <f t="shared" si="82"/>
        <v>4.4451203372005044E-7</v>
      </c>
      <c r="AD223" s="197">
        <f t="shared" si="113"/>
        <v>11.693936048110356</v>
      </c>
      <c r="AE223" s="197">
        <f t="shared" si="114"/>
        <v>35.08180814433107</v>
      </c>
      <c r="AF223" s="197">
        <f t="shared" si="115"/>
        <v>8.5178571428571423E-2</v>
      </c>
      <c r="AG223" s="197">
        <f t="shared" si="116"/>
        <v>0.25553571428571431</v>
      </c>
      <c r="AH223" s="197">
        <f t="shared" si="83"/>
        <v>0.11660930017110901</v>
      </c>
      <c r="AI223" s="197">
        <f t="shared" si="117"/>
        <v>0.11660930017110901</v>
      </c>
      <c r="AJ223" s="218">
        <f t="shared" si="84"/>
        <v>390.00000000000006</v>
      </c>
      <c r="AK223" s="197">
        <f t="shared" si="118"/>
        <v>6.0930617977437734E-2</v>
      </c>
      <c r="AL223" s="197">
        <f t="shared" si="119"/>
        <v>9.6203707235237593E-2</v>
      </c>
      <c r="AM223" s="197">
        <f t="shared" si="120"/>
        <v>4.0790371867740751E-3</v>
      </c>
      <c r="AN223" s="197">
        <f t="shared" si="85"/>
        <v>24.05</v>
      </c>
      <c r="AO223" s="197">
        <f t="shared" si="86"/>
        <v>21.69</v>
      </c>
      <c r="AP223" s="197">
        <f t="shared" si="121"/>
        <v>7.4093290390420161E-2</v>
      </c>
      <c r="AQ223" s="197">
        <f t="shared" si="122"/>
        <v>0.42250439890466829</v>
      </c>
      <c r="AR223" s="197">
        <f t="shared" si="123"/>
        <v>0.30589509873355925</v>
      </c>
      <c r="AS223" s="258">
        <f t="shared" si="124"/>
        <v>0.15228632177729159</v>
      </c>
      <c r="AT223" s="197">
        <f t="shared" si="87"/>
        <v>2.5974058656511614E-4</v>
      </c>
      <c r="AU223" s="194">
        <f t="shared" si="88"/>
        <v>21.19</v>
      </c>
      <c r="AV223" s="197">
        <f t="shared" si="89"/>
        <v>2.7E-2</v>
      </c>
      <c r="AW223" s="197">
        <f t="shared" si="90"/>
        <v>3.4260000000000002E-3</v>
      </c>
      <c r="AX223" s="197">
        <f t="shared" si="125"/>
        <v>6.1668000000000001E-2</v>
      </c>
      <c r="AY223" s="197">
        <f t="shared" si="91"/>
        <v>2.8867476000000005E-3</v>
      </c>
      <c r="AZ223" s="197">
        <f t="shared" si="92"/>
        <v>0</v>
      </c>
      <c r="BA223" s="197">
        <f t="shared" si="126"/>
        <v>7.2596940000000013E-2</v>
      </c>
      <c r="BB223" s="258">
        <f t="shared" si="93"/>
        <v>0.36575210336206115</v>
      </c>
      <c r="BC223" s="197">
        <f t="shared" si="94"/>
        <v>2.2380490766334034E-2</v>
      </c>
      <c r="BD223" s="197">
        <f t="shared" si="127"/>
        <v>4.4760981532668068E-3</v>
      </c>
      <c r="BE223" s="197">
        <f t="shared" si="128"/>
        <v>2.6856588919600841E-2</v>
      </c>
      <c r="BF223" s="197">
        <f t="shared" si="95"/>
        <v>0.20773291256157633</v>
      </c>
      <c r="BG223" s="197">
        <f t="shared" si="96"/>
        <v>5.4608303342508187E-4</v>
      </c>
      <c r="BH223" s="197">
        <f t="shared" si="97"/>
        <v>3.5336687086656722E-2</v>
      </c>
      <c r="BI223" s="197">
        <f t="shared" si="129"/>
        <v>0.44730899017824427</v>
      </c>
      <c r="BJ223" s="197">
        <f t="shared" si="98"/>
        <v>6.769615024661003</v>
      </c>
      <c r="BK223" s="288">
        <f t="shared" si="99"/>
        <v>0.93392401361838984</v>
      </c>
      <c r="BL223" s="197">
        <f t="shared" si="100"/>
        <v>0.37608972359227794</v>
      </c>
      <c r="BM223" s="197">
        <f t="shared" si="101"/>
        <v>7.4353030976985271E-2</v>
      </c>
      <c r="BN223" s="197">
        <f t="shared" si="102"/>
        <v>54.461181858619113</v>
      </c>
      <c r="BO223" s="197">
        <f t="shared" si="130"/>
        <v>0.2082789955950014</v>
      </c>
      <c r="BP223" s="197">
        <f t="shared" si="103"/>
        <v>65.620924669625111</v>
      </c>
      <c r="BQ223" s="197">
        <f t="shared" si="104"/>
        <v>9.9596940000000009E-2</v>
      </c>
      <c r="BR223" s="288">
        <f t="shared" si="105"/>
        <v>0.16008975919012108</v>
      </c>
      <c r="BS223" s="197">
        <f t="shared" si="106"/>
        <v>0.11660930017110901</v>
      </c>
      <c r="BT223" s="197">
        <f t="shared" si="107"/>
        <v>0.36419974881911377</v>
      </c>
      <c r="BU223" s="197">
        <f t="shared" si="108"/>
        <v>0.1713930788771201</v>
      </c>
      <c r="BV223" s="197">
        <f t="shared" si="109"/>
        <v>0.53530306917875781</v>
      </c>
      <c r="BW223" s="194"/>
      <c r="BX223" s="194"/>
      <c r="BY223" s="194"/>
      <c r="BZ223" s="194"/>
      <c r="CA223" s="194"/>
      <c r="CB223" s="194"/>
      <c r="CC223" s="194"/>
      <c r="CD223" s="194"/>
      <c r="CE223" s="194"/>
      <c r="CF223" s="194"/>
      <c r="CG223" s="194"/>
      <c r="CH223" s="194"/>
      <c r="CI223" s="194"/>
      <c r="CJ223" s="194"/>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row>
    <row r="224" spans="2:110" s="192" customFormat="1" hidden="1" x14ac:dyDescent="0.35">
      <c r="B224" s="289"/>
      <c r="C224" s="289"/>
      <c r="Q224" s="193"/>
      <c r="R224" s="194">
        <f t="shared" si="110"/>
        <v>18</v>
      </c>
      <c r="S224" s="197">
        <f t="shared" si="76"/>
        <v>0.3888888888888889</v>
      </c>
      <c r="T224" s="194">
        <f t="shared" si="131"/>
        <v>0.69</v>
      </c>
      <c r="U224" s="194">
        <f t="shared" si="132"/>
        <v>1.4999999999999999E-4</v>
      </c>
      <c r="V224" s="197">
        <f t="shared" si="111"/>
        <v>0.3888888888888889</v>
      </c>
      <c r="W224" s="197">
        <f t="shared" si="77"/>
        <v>4.3555555555555561E-3</v>
      </c>
      <c r="X224" s="286">
        <f t="shared" si="78"/>
        <v>1</v>
      </c>
      <c r="Y224" s="286">
        <f t="shared" si="79"/>
        <v>0.17335969315081967</v>
      </c>
      <c r="Z224" s="286">
        <f t="shared" si="80"/>
        <v>0.54964853345132902</v>
      </c>
      <c r="AA224" s="286">
        <f t="shared" si="112"/>
        <v>0.17335969315081967</v>
      </c>
      <c r="AB224" s="197">
        <f t="shared" si="81"/>
        <v>0.36419974881911377</v>
      </c>
      <c r="AC224" s="287">
        <f t="shared" si="82"/>
        <v>4.4451203372005044E-7</v>
      </c>
      <c r="AD224" s="197">
        <f t="shared" si="113"/>
        <v>11.693936048110356</v>
      </c>
      <c r="AE224" s="197">
        <f t="shared" si="114"/>
        <v>35.08180814433107</v>
      </c>
      <c r="AF224" s="197">
        <f t="shared" si="115"/>
        <v>8.5178571428571423E-2</v>
      </c>
      <c r="AG224" s="197">
        <f t="shared" si="116"/>
        <v>0.25553571428571431</v>
      </c>
      <c r="AH224" s="197">
        <f t="shared" si="83"/>
        <v>0.11660930017110901</v>
      </c>
      <c r="AI224" s="197">
        <f t="shared" si="117"/>
        <v>0.11660930017110901</v>
      </c>
      <c r="AJ224" s="218">
        <f t="shared" si="84"/>
        <v>390.00000000000006</v>
      </c>
      <c r="AK224" s="197">
        <f t="shared" si="118"/>
        <v>6.0930617977437734E-2</v>
      </c>
      <c r="AL224" s="197">
        <f t="shared" si="119"/>
        <v>9.6203707235237593E-2</v>
      </c>
      <c r="AM224" s="197">
        <f t="shared" si="120"/>
        <v>4.0790371867740751E-3</v>
      </c>
      <c r="AN224" s="197">
        <f t="shared" si="85"/>
        <v>24.05</v>
      </c>
      <c r="AO224" s="197">
        <f t="shared" si="86"/>
        <v>21.69</v>
      </c>
      <c r="AP224" s="197">
        <f t="shared" si="121"/>
        <v>7.4093290390420161E-2</v>
      </c>
      <c r="AQ224" s="197">
        <f t="shared" si="122"/>
        <v>0.42250439890466829</v>
      </c>
      <c r="AR224" s="197">
        <f t="shared" si="123"/>
        <v>0.30589509873355925</v>
      </c>
      <c r="AS224" s="258">
        <f t="shared" si="124"/>
        <v>0.15228632177729159</v>
      </c>
      <c r="AT224" s="197">
        <f t="shared" si="87"/>
        <v>2.5974058656511614E-4</v>
      </c>
      <c r="AU224" s="194">
        <f t="shared" si="88"/>
        <v>21.19</v>
      </c>
      <c r="AV224" s="197">
        <f t="shared" si="89"/>
        <v>2.7E-2</v>
      </c>
      <c r="AW224" s="197">
        <f t="shared" si="90"/>
        <v>3.4260000000000002E-3</v>
      </c>
      <c r="AX224" s="197">
        <f t="shared" si="125"/>
        <v>6.1668000000000001E-2</v>
      </c>
      <c r="AY224" s="197">
        <f t="shared" si="91"/>
        <v>2.8867476000000005E-3</v>
      </c>
      <c r="AZ224" s="197">
        <f t="shared" si="92"/>
        <v>0</v>
      </c>
      <c r="BA224" s="197">
        <f t="shared" si="126"/>
        <v>7.2596940000000013E-2</v>
      </c>
      <c r="BB224" s="258">
        <f t="shared" si="93"/>
        <v>0.36575210336206115</v>
      </c>
      <c r="BC224" s="197">
        <f t="shared" si="94"/>
        <v>2.2380490766334034E-2</v>
      </c>
      <c r="BD224" s="197">
        <f t="shared" si="127"/>
        <v>4.4760981532668068E-3</v>
      </c>
      <c r="BE224" s="197">
        <f t="shared" si="128"/>
        <v>2.6856588919600841E-2</v>
      </c>
      <c r="BF224" s="197">
        <f t="shared" si="95"/>
        <v>0.20773291256157633</v>
      </c>
      <c r="BG224" s="197">
        <f t="shared" si="96"/>
        <v>5.4608303342508187E-4</v>
      </c>
      <c r="BH224" s="197">
        <f t="shared" si="97"/>
        <v>3.5336687086656722E-2</v>
      </c>
      <c r="BI224" s="197">
        <f t="shared" si="129"/>
        <v>0.44730899017824427</v>
      </c>
      <c r="BJ224" s="197">
        <f t="shared" si="98"/>
        <v>6.769615024661003</v>
      </c>
      <c r="BK224" s="288">
        <f t="shared" si="99"/>
        <v>0.93392401361838984</v>
      </c>
      <c r="BL224" s="197">
        <f t="shared" si="100"/>
        <v>0.37608972359227794</v>
      </c>
      <c r="BM224" s="197">
        <f t="shared" si="101"/>
        <v>7.4353030976985271E-2</v>
      </c>
      <c r="BN224" s="197">
        <f t="shared" si="102"/>
        <v>54.461181858619113</v>
      </c>
      <c r="BO224" s="197">
        <f t="shared" si="130"/>
        <v>0.2082789955950014</v>
      </c>
      <c r="BP224" s="197">
        <f t="shared" si="103"/>
        <v>65.620924669625111</v>
      </c>
      <c r="BQ224" s="197">
        <f t="shared" si="104"/>
        <v>9.9596940000000009E-2</v>
      </c>
      <c r="BR224" s="288">
        <f t="shared" si="105"/>
        <v>0.16008975919012108</v>
      </c>
      <c r="BS224" s="197">
        <f t="shared" si="106"/>
        <v>0.11660930017110901</v>
      </c>
      <c r="BT224" s="197">
        <f t="shared" si="107"/>
        <v>0.36419974881911377</v>
      </c>
      <c r="BU224" s="197">
        <f t="shared" si="108"/>
        <v>0.1713930788771201</v>
      </c>
      <c r="BV224" s="197">
        <f t="shared" si="109"/>
        <v>0.53530306917875781</v>
      </c>
      <c r="BW224" s="194"/>
      <c r="BX224" s="194"/>
      <c r="BY224" s="194"/>
      <c r="BZ224" s="194"/>
      <c r="CA224" s="194"/>
      <c r="CB224" s="194"/>
      <c r="CC224" s="194"/>
      <c r="CD224" s="194"/>
      <c r="CE224" s="194"/>
      <c r="CF224" s="194"/>
      <c r="CG224" s="194"/>
      <c r="CH224" s="194"/>
      <c r="CI224" s="194"/>
      <c r="CJ224" s="194"/>
      <c r="CK224" s="194"/>
      <c r="CL224" s="194"/>
      <c r="CM224" s="194"/>
      <c r="CN224" s="194"/>
      <c r="CO224" s="194"/>
      <c r="CP224" s="194"/>
      <c r="CQ224" s="194"/>
      <c r="CR224" s="194"/>
      <c r="CS224" s="194"/>
      <c r="CT224" s="194"/>
      <c r="CU224" s="194"/>
      <c r="CV224" s="194"/>
      <c r="CW224" s="194"/>
      <c r="CX224" s="194"/>
      <c r="CY224" s="194"/>
      <c r="CZ224" s="194"/>
      <c r="DA224" s="194"/>
      <c r="DB224" s="194"/>
      <c r="DC224" s="194"/>
      <c r="DD224" s="194"/>
      <c r="DE224" s="194"/>
      <c r="DF224" s="194"/>
    </row>
    <row r="225" spans="2:110" s="192" customFormat="1" hidden="1" x14ac:dyDescent="0.35">
      <c r="B225" s="289"/>
      <c r="C225" s="289"/>
      <c r="Q225" s="193"/>
      <c r="R225" s="194">
        <f t="shared" si="110"/>
        <v>18</v>
      </c>
      <c r="S225" s="197">
        <f t="shared" si="76"/>
        <v>0.3888888888888889</v>
      </c>
      <c r="T225" s="194">
        <f t="shared" si="131"/>
        <v>0.69</v>
      </c>
      <c r="U225" s="194">
        <f t="shared" si="132"/>
        <v>1.4999999999999999E-4</v>
      </c>
      <c r="V225" s="197">
        <f t="shared" si="111"/>
        <v>0.3888888888888889</v>
      </c>
      <c r="W225" s="197">
        <f t="shared" si="77"/>
        <v>4.3555555555555561E-3</v>
      </c>
      <c r="X225" s="286">
        <f t="shared" si="78"/>
        <v>1</v>
      </c>
      <c r="Y225" s="286">
        <f t="shared" si="79"/>
        <v>0.17335969315081967</v>
      </c>
      <c r="Z225" s="286">
        <f t="shared" si="80"/>
        <v>0.54964853345132902</v>
      </c>
      <c r="AA225" s="286">
        <f t="shared" si="112"/>
        <v>0.17335969315081967</v>
      </c>
      <c r="AB225" s="197">
        <f t="shared" si="81"/>
        <v>0.36419974881911377</v>
      </c>
      <c r="AC225" s="287">
        <f t="shared" si="82"/>
        <v>4.4451203372005044E-7</v>
      </c>
      <c r="AD225" s="197">
        <f t="shared" si="113"/>
        <v>11.693936048110356</v>
      </c>
      <c r="AE225" s="197">
        <f t="shared" si="114"/>
        <v>35.08180814433107</v>
      </c>
      <c r="AF225" s="197">
        <f t="shared" si="115"/>
        <v>8.5178571428571423E-2</v>
      </c>
      <c r="AG225" s="197">
        <f t="shared" si="116"/>
        <v>0.25553571428571431</v>
      </c>
      <c r="AH225" s="197">
        <f t="shared" si="83"/>
        <v>0.11660930017110901</v>
      </c>
      <c r="AI225" s="197">
        <f t="shared" si="117"/>
        <v>0.11660930017110901</v>
      </c>
      <c r="AJ225" s="218">
        <f t="shared" si="84"/>
        <v>390.00000000000006</v>
      </c>
      <c r="AK225" s="197">
        <f t="shared" si="118"/>
        <v>6.0930617977437734E-2</v>
      </c>
      <c r="AL225" s="197">
        <f t="shared" si="119"/>
        <v>9.6203707235237593E-2</v>
      </c>
      <c r="AM225" s="197">
        <f t="shared" si="120"/>
        <v>4.0790371867740751E-3</v>
      </c>
      <c r="AN225" s="197">
        <f t="shared" si="85"/>
        <v>24.05</v>
      </c>
      <c r="AO225" s="197">
        <f t="shared" si="86"/>
        <v>21.69</v>
      </c>
      <c r="AP225" s="197">
        <f t="shared" si="121"/>
        <v>7.4093290390420161E-2</v>
      </c>
      <c r="AQ225" s="197">
        <f t="shared" si="122"/>
        <v>0.42250439890466829</v>
      </c>
      <c r="AR225" s="197">
        <f t="shared" si="123"/>
        <v>0.30589509873355925</v>
      </c>
      <c r="AS225" s="258">
        <f t="shared" si="124"/>
        <v>0.15228632177729159</v>
      </c>
      <c r="AT225" s="197">
        <f t="shared" si="87"/>
        <v>2.5974058656511614E-4</v>
      </c>
      <c r="AU225" s="194">
        <f t="shared" si="88"/>
        <v>21.19</v>
      </c>
      <c r="AV225" s="197">
        <f t="shared" si="89"/>
        <v>2.7E-2</v>
      </c>
      <c r="AW225" s="197">
        <f t="shared" si="90"/>
        <v>3.4260000000000002E-3</v>
      </c>
      <c r="AX225" s="197">
        <f t="shared" si="125"/>
        <v>6.1668000000000001E-2</v>
      </c>
      <c r="AY225" s="197">
        <f t="shared" si="91"/>
        <v>2.8867476000000005E-3</v>
      </c>
      <c r="AZ225" s="197">
        <f t="shared" si="92"/>
        <v>0</v>
      </c>
      <c r="BA225" s="197">
        <f t="shared" si="126"/>
        <v>7.2596940000000013E-2</v>
      </c>
      <c r="BB225" s="258">
        <f t="shared" si="93"/>
        <v>0.36575210336206115</v>
      </c>
      <c r="BC225" s="197">
        <f t="shared" si="94"/>
        <v>2.2380490766334034E-2</v>
      </c>
      <c r="BD225" s="197">
        <f t="shared" si="127"/>
        <v>4.4760981532668068E-3</v>
      </c>
      <c r="BE225" s="197">
        <f t="shared" si="128"/>
        <v>2.6856588919600841E-2</v>
      </c>
      <c r="BF225" s="197">
        <f t="shared" si="95"/>
        <v>0.20773291256157633</v>
      </c>
      <c r="BG225" s="197">
        <f t="shared" si="96"/>
        <v>5.4608303342508187E-4</v>
      </c>
      <c r="BH225" s="197">
        <f t="shared" si="97"/>
        <v>3.5336687086656722E-2</v>
      </c>
      <c r="BI225" s="197">
        <f t="shared" si="129"/>
        <v>0.44730899017824427</v>
      </c>
      <c r="BJ225" s="197">
        <f t="shared" si="98"/>
        <v>6.769615024661003</v>
      </c>
      <c r="BK225" s="288">
        <f t="shared" si="99"/>
        <v>0.93392401361838984</v>
      </c>
      <c r="BL225" s="197">
        <f t="shared" si="100"/>
        <v>0.37608972359227794</v>
      </c>
      <c r="BM225" s="197">
        <f t="shared" si="101"/>
        <v>7.4353030976985271E-2</v>
      </c>
      <c r="BN225" s="197">
        <f t="shared" si="102"/>
        <v>54.461181858619113</v>
      </c>
      <c r="BO225" s="197">
        <f t="shared" si="130"/>
        <v>0.2082789955950014</v>
      </c>
      <c r="BP225" s="197">
        <f t="shared" si="103"/>
        <v>65.620924669625111</v>
      </c>
      <c r="BQ225" s="197">
        <f t="shared" si="104"/>
        <v>9.9596940000000009E-2</v>
      </c>
      <c r="BR225" s="288">
        <f t="shared" si="105"/>
        <v>0.16008975919012108</v>
      </c>
      <c r="BS225" s="197">
        <f t="shared" si="106"/>
        <v>0.11660930017110901</v>
      </c>
      <c r="BT225" s="197">
        <f t="shared" si="107"/>
        <v>0.36419974881911377</v>
      </c>
      <c r="BU225" s="197">
        <f t="shared" si="108"/>
        <v>0.1713930788771201</v>
      </c>
      <c r="BV225" s="197">
        <f t="shared" si="109"/>
        <v>0.53530306917875781</v>
      </c>
      <c r="BW225" s="194"/>
      <c r="BX225" s="194"/>
      <c r="BY225" s="194"/>
      <c r="BZ225" s="194"/>
      <c r="CA225" s="194"/>
      <c r="CB225" s="194"/>
      <c r="CC225" s="194"/>
      <c r="CD225" s="194"/>
      <c r="CE225" s="194"/>
      <c r="CF225" s="194"/>
      <c r="CG225" s="194"/>
      <c r="CH225" s="194"/>
      <c r="CI225" s="194"/>
      <c r="CJ225" s="194"/>
      <c r="CK225" s="194"/>
      <c r="CL225" s="194"/>
      <c r="CM225" s="194"/>
      <c r="CN225" s="194"/>
      <c r="CO225" s="194"/>
      <c r="CP225" s="194"/>
      <c r="CQ225" s="194"/>
      <c r="CR225" s="194"/>
      <c r="CS225" s="194"/>
      <c r="CT225" s="194"/>
      <c r="CU225" s="194"/>
      <c r="CV225" s="194"/>
      <c r="CW225" s="194"/>
      <c r="CX225" s="194"/>
      <c r="CY225" s="194"/>
      <c r="CZ225" s="194"/>
      <c r="DA225" s="194"/>
      <c r="DB225" s="194"/>
      <c r="DC225" s="194"/>
      <c r="DD225" s="194"/>
      <c r="DE225" s="194"/>
      <c r="DF225" s="194"/>
    </row>
    <row r="226" spans="2:110" s="192" customFormat="1" hidden="1" x14ac:dyDescent="0.35">
      <c r="B226" s="289"/>
      <c r="C226" s="289"/>
      <c r="Q226" s="193"/>
      <c r="R226" s="194">
        <f t="shared" si="110"/>
        <v>18</v>
      </c>
      <c r="S226" s="197">
        <f t="shared" si="76"/>
        <v>0.3888888888888889</v>
      </c>
      <c r="T226" s="194">
        <f t="shared" si="131"/>
        <v>0.69</v>
      </c>
      <c r="U226" s="194">
        <f t="shared" si="132"/>
        <v>1.4999999999999999E-4</v>
      </c>
      <c r="V226" s="197">
        <f t="shared" si="111"/>
        <v>0.3888888888888889</v>
      </c>
      <c r="W226" s="197">
        <f t="shared" si="77"/>
        <v>4.3555555555555561E-3</v>
      </c>
      <c r="X226" s="286">
        <f t="shared" si="78"/>
        <v>1</v>
      </c>
      <c r="Y226" s="286">
        <f t="shared" si="79"/>
        <v>0.17335969315081967</v>
      </c>
      <c r="Z226" s="286">
        <f t="shared" si="80"/>
        <v>0.54964853345132902</v>
      </c>
      <c r="AA226" s="286">
        <f t="shared" si="112"/>
        <v>0.17335969315081967</v>
      </c>
      <c r="AB226" s="197">
        <f t="shared" si="81"/>
        <v>0.36419974881911377</v>
      </c>
      <c r="AC226" s="287">
        <f t="shared" si="82"/>
        <v>4.4451203372005044E-7</v>
      </c>
      <c r="AD226" s="197">
        <f t="shared" si="113"/>
        <v>11.693936048110356</v>
      </c>
      <c r="AE226" s="197">
        <f t="shared" si="114"/>
        <v>35.08180814433107</v>
      </c>
      <c r="AF226" s="197">
        <f t="shared" si="115"/>
        <v>8.5178571428571423E-2</v>
      </c>
      <c r="AG226" s="197">
        <f t="shared" si="116"/>
        <v>0.25553571428571431</v>
      </c>
      <c r="AH226" s="197">
        <f t="shared" si="83"/>
        <v>0.11660930017110901</v>
      </c>
      <c r="AI226" s="197">
        <f t="shared" si="117"/>
        <v>0.11660930017110901</v>
      </c>
      <c r="AJ226" s="218">
        <f t="shared" si="84"/>
        <v>390.00000000000006</v>
      </c>
      <c r="AK226" s="197">
        <f t="shared" si="118"/>
        <v>6.0930617977437734E-2</v>
      </c>
      <c r="AL226" s="197">
        <f t="shared" si="119"/>
        <v>9.6203707235237593E-2</v>
      </c>
      <c r="AM226" s="197">
        <f t="shared" si="120"/>
        <v>4.0790371867740751E-3</v>
      </c>
      <c r="AN226" s="197">
        <f t="shared" si="85"/>
        <v>24.05</v>
      </c>
      <c r="AO226" s="197">
        <f t="shared" si="86"/>
        <v>21.69</v>
      </c>
      <c r="AP226" s="197">
        <f t="shared" si="121"/>
        <v>7.4093290390420161E-2</v>
      </c>
      <c r="AQ226" s="197">
        <f t="shared" si="122"/>
        <v>0.42250439890466829</v>
      </c>
      <c r="AR226" s="197">
        <f t="shared" si="123"/>
        <v>0.30589509873355925</v>
      </c>
      <c r="AS226" s="258">
        <f t="shared" si="124"/>
        <v>0.15228632177729159</v>
      </c>
      <c r="AT226" s="197">
        <f t="shared" si="87"/>
        <v>2.5974058656511614E-4</v>
      </c>
      <c r="AU226" s="194">
        <f t="shared" si="88"/>
        <v>21.19</v>
      </c>
      <c r="AV226" s="197">
        <f t="shared" si="89"/>
        <v>2.7E-2</v>
      </c>
      <c r="AW226" s="197">
        <f t="shared" si="90"/>
        <v>3.4260000000000002E-3</v>
      </c>
      <c r="AX226" s="197">
        <f t="shared" si="125"/>
        <v>6.1668000000000001E-2</v>
      </c>
      <c r="AY226" s="197">
        <f t="shared" si="91"/>
        <v>2.8867476000000005E-3</v>
      </c>
      <c r="AZ226" s="197">
        <f t="shared" si="92"/>
        <v>0</v>
      </c>
      <c r="BA226" s="197">
        <f t="shared" si="126"/>
        <v>7.2596940000000013E-2</v>
      </c>
      <c r="BB226" s="258">
        <f t="shared" si="93"/>
        <v>0.36575210336206115</v>
      </c>
      <c r="BC226" s="197">
        <f t="shared" si="94"/>
        <v>2.2380490766334034E-2</v>
      </c>
      <c r="BD226" s="197">
        <f t="shared" si="127"/>
        <v>4.4760981532668068E-3</v>
      </c>
      <c r="BE226" s="197">
        <f t="shared" si="128"/>
        <v>2.6856588919600841E-2</v>
      </c>
      <c r="BF226" s="197">
        <f t="shared" si="95"/>
        <v>0.20773291256157633</v>
      </c>
      <c r="BG226" s="197">
        <f t="shared" si="96"/>
        <v>5.4608303342508187E-4</v>
      </c>
      <c r="BH226" s="197">
        <f t="shared" si="97"/>
        <v>3.5336687086656722E-2</v>
      </c>
      <c r="BI226" s="197">
        <f t="shared" si="129"/>
        <v>0.44730899017824427</v>
      </c>
      <c r="BJ226" s="197">
        <f t="shared" si="98"/>
        <v>6.769615024661003</v>
      </c>
      <c r="BK226" s="288">
        <f t="shared" si="99"/>
        <v>0.93392401361838984</v>
      </c>
      <c r="BL226" s="197">
        <f t="shared" si="100"/>
        <v>0.37608972359227794</v>
      </c>
      <c r="BM226" s="197">
        <f t="shared" si="101"/>
        <v>7.4353030976985271E-2</v>
      </c>
      <c r="BN226" s="197">
        <f t="shared" si="102"/>
        <v>54.461181858619113</v>
      </c>
      <c r="BO226" s="197">
        <f t="shared" si="130"/>
        <v>0.2082789955950014</v>
      </c>
      <c r="BP226" s="197">
        <f t="shared" si="103"/>
        <v>65.620924669625111</v>
      </c>
      <c r="BQ226" s="197">
        <f t="shared" si="104"/>
        <v>9.9596940000000009E-2</v>
      </c>
      <c r="BR226" s="288">
        <f t="shared" si="105"/>
        <v>0.16008975919012108</v>
      </c>
      <c r="BS226" s="197">
        <f t="shared" si="106"/>
        <v>0.11660930017110901</v>
      </c>
      <c r="BT226" s="197">
        <f t="shared" si="107"/>
        <v>0.36419974881911377</v>
      </c>
      <c r="BU226" s="197">
        <f t="shared" si="108"/>
        <v>0.1713930788771201</v>
      </c>
      <c r="BV226" s="197">
        <f t="shared" si="109"/>
        <v>0.53530306917875781</v>
      </c>
      <c r="BW226" s="194"/>
      <c r="BX226" s="194"/>
      <c r="BY226" s="194"/>
      <c r="BZ226" s="194"/>
      <c r="CA226" s="194"/>
      <c r="CB226" s="194"/>
      <c r="CC226" s="194"/>
      <c r="CD226" s="194"/>
      <c r="CE226" s="194"/>
      <c r="CF226" s="194"/>
      <c r="CG226" s="194"/>
      <c r="CH226" s="194"/>
      <c r="CI226" s="194"/>
      <c r="CJ226" s="194"/>
      <c r="CK226" s="194"/>
      <c r="CL226" s="194"/>
      <c r="CM226" s="194"/>
      <c r="CN226" s="194"/>
      <c r="CO226" s="194"/>
      <c r="CP226" s="194"/>
      <c r="CQ226" s="194"/>
      <c r="CR226" s="194"/>
      <c r="CS226" s="194"/>
      <c r="CT226" s="194"/>
      <c r="CU226" s="194"/>
      <c r="CV226" s="194"/>
      <c r="CW226" s="194"/>
      <c r="CX226" s="194"/>
      <c r="CY226" s="194"/>
      <c r="CZ226" s="194"/>
      <c r="DA226" s="194"/>
      <c r="DB226" s="194"/>
      <c r="DC226" s="194"/>
      <c r="DD226" s="194"/>
      <c r="DE226" s="194"/>
      <c r="DF226" s="194"/>
    </row>
    <row r="227" spans="2:110" s="192" customFormat="1" hidden="1" x14ac:dyDescent="0.35">
      <c r="B227" s="289"/>
      <c r="C227" s="289"/>
      <c r="Q227" s="193"/>
      <c r="R227" s="194">
        <f t="shared" si="110"/>
        <v>18</v>
      </c>
      <c r="S227" s="197">
        <f t="shared" si="76"/>
        <v>0.3888888888888889</v>
      </c>
      <c r="T227" s="194">
        <f t="shared" si="131"/>
        <v>0.69</v>
      </c>
      <c r="U227" s="194">
        <f t="shared" si="132"/>
        <v>1.4999999999999999E-4</v>
      </c>
      <c r="V227" s="197">
        <f t="shared" si="111"/>
        <v>0.3888888888888889</v>
      </c>
      <c r="W227" s="197">
        <f t="shared" si="77"/>
        <v>4.3555555555555561E-3</v>
      </c>
      <c r="X227" s="286">
        <f t="shared" si="78"/>
        <v>1</v>
      </c>
      <c r="Y227" s="286">
        <f t="shared" si="79"/>
        <v>0.17335969315081967</v>
      </c>
      <c r="Z227" s="286">
        <f t="shared" si="80"/>
        <v>0.54964853345132902</v>
      </c>
      <c r="AA227" s="286">
        <f t="shared" si="112"/>
        <v>0.17335969315081967</v>
      </c>
      <c r="AB227" s="197">
        <f t="shared" si="81"/>
        <v>0.36419974881911377</v>
      </c>
      <c r="AC227" s="287">
        <f t="shared" si="82"/>
        <v>4.4451203372005044E-7</v>
      </c>
      <c r="AD227" s="197">
        <f t="shared" si="113"/>
        <v>11.693936048110356</v>
      </c>
      <c r="AE227" s="197">
        <f t="shared" si="114"/>
        <v>35.08180814433107</v>
      </c>
      <c r="AF227" s="197">
        <f t="shared" si="115"/>
        <v>8.5178571428571423E-2</v>
      </c>
      <c r="AG227" s="197">
        <f t="shared" si="116"/>
        <v>0.25553571428571431</v>
      </c>
      <c r="AH227" s="197">
        <f t="shared" si="83"/>
        <v>0.11660930017110901</v>
      </c>
      <c r="AI227" s="197">
        <f t="shared" si="117"/>
        <v>0.11660930017110901</v>
      </c>
      <c r="AJ227" s="218">
        <f t="shared" si="84"/>
        <v>390.00000000000006</v>
      </c>
      <c r="AK227" s="197">
        <f t="shared" si="118"/>
        <v>6.0930617977437734E-2</v>
      </c>
      <c r="AL227" s="197">
        <f t="shared" si="119"/>
        <v>9.6203707235237593E-2</v>
      </c>
      <c r="AM227" s="197">
        <f t="shared" si="120"/>
        <v>4.0790371867740751E-3</v>
      </c>
      <c r="AN227" s="197">
        <f t="shared" si="85"/>
        <v>24.05</v>
      </c>
      <c r="AO227" s="197">
        <f t="shared" si="86"/>
        <v>21.69</v>
      </c>
      <c r="AP227" s="197">
        <f t="shared" si="121"/>
        <v>7.4093290390420161E-2</v>
      </c>
      <c r="AQ227" s="197">
        <f t="shared" si="122"/>
        <v>0.42250439890466829</v>
      </c>
      <c r="AR227" s="197">
        <f t="shared" si="123"/>
        <v>0.30589509873355925</v>
      </c>
      <c r="AS227" s="258">
        <f t="shared" si="124"/>
        <v>0.15228632177729159</v>
      </c>
      <c r="AT227" s="197">
        <f t="shared" si="87"/>
        <v>2.5974058656511614E-4</v>
      </c>
      <c r="AU227" s="194">
        <f t="shared" si="88"/>
        <v>21.19</v>
      </c>
      <c r="AV227" s="197">
        <f t="shared" si="89"/>
        <v>2.7E-2</v>
      </c>
      <c r="AW227" s="197">
        <f t="shared" si="90"/>
        <v>3.4260000000000002E-3</v>
      </c>
      <c r="AX227" s="197">
        <f t="shared" si="125"/>
        <v>6.1668000000000001E-2</v>
      </c>
      <c r="AY227" s="197">
        <f t="shared" si="91"/>
        <v>2.8867476000000005E-3</v>
      </c>
      <c r="AZ227" s="197">
        <f t="shared" si="92"/>
        <v>0</v>
      </c>
      <c r="BA227" s="197">
        <f t="shared" si="126"/>
        <v>7.2596940000000013E-2</v>
      </c>
      <c r="BB227" s="258">
        <f t="shared" si="93"/>
        <v>0.36575210336206115</v>
      </c>
      <c r="BC227" s="197">
        <f t="shared" si="94"/>
        <v>2.2380490766334034E-2</v>
      </c>
      <c r="BD227" s="197">
        <f t="shared" si="127"/>
        <v>4.4760981532668068E-3</v>
      </c>
      <c r="BE227" s="197">
        <f t="shared" si="128"/>
        <v>2.6856588919600841E-2</v>
      </c>
      <c r="BF227" s="197">
        <f t="shared" si="95"/>
        <v>0.20773291256157633</v>
      </c>
      <c r="BG227" s="197">
        <f t="shared" si="96"/>
        <v>5.4608303342508187E-4</v>
      </c>
      <c r="BH227" s="197">
        <f t="shared" si="97"/>
        <v>3.5336687086656722E-2</v>
      </c>
      <c r="BI227" s="197">
        <f t="shared" si="129"/>
        <v>0.44730899017824427</v>
      </c>
      <c r="BJ227" s="197">
        <f t="shared" si="98"/>
        <v>6.769615024661003</v>
      </c>
      <c r="BK227" s="288">
        <f t="shared" si="99"/>
        <v>0.93392401361838984</v>
      </c>
      <c r="BL227" s="197">
        <f t="shared" si="100"/>
        <v>0.37608972359227794</v>
      </c>
      <c r="BM227" s="197">
        <f t="shared" si="101"/>
        <v>7.4353030976985271E-2</v>
      </c>
      <c r="BN227" s="197">
        <f t="shared" si="102"/>
        <v>54.461181858619113</v>
      </c>
      <c r="BO227" s="197">
        <f t="shared" si="130"/>
        <v>0.2082789955950014</v>
      </c>
      <c r="BP227" s="197">
        <f t="shared" si="103"/>
        <v>65.620924669625111</v>
      </c>
      <c r="BQ227" s="197">
        <f t="shared" si="104"/>
        <v>9.9596940000000009E-2</v>
      </c>
      <c r="BR227" s="288">
        <f t="shared" si="105"/>
        <v>0.16008975919012108</v>
      </c>
      <c r="BS227" s="197">
        <f t="shared" si="106"/>
        <v>0.11660930017110901</v>
      </c>
      <c r="BT227" s="197">
        <f t="shared" si="107"/>
        <v>0.36419974881911377</v>
      </c>
      <c r="BU227" s="197">
        <f t="shared" si="108"/>
        <v>0.1713930788771201</v>
      </c>
      <c r="BV227" s="197">
        <f t="shared" si="109"/>
        <v>0.53530306917875781</v>
      </c>
      <c r="BW227" s="194"/>
      <c r="BX227" s="194"/>
      <c r="BY227" s="194"/>
      <c r="BZ227" s="194"/>
      <c r="CA227" s="194"/>
      <c r="CB227" s="194"/>
      <c r="CC227" s="194"/>
      <c r="CD227" s="194"/>
      <c r="CE227" s="194"/>
      <c r="CF227" s="194"/>
      <c r="CG227" s="194"/>
      <c r="CH227" s="194"/>
      <c r="CI227" s="194"/>
      <c r="CJ227" s="194"/>
      <c r="CK227" s="194"/>
      <c r="CL227" s="194"/>
      <c r="CM227" s="194"/>
      <c r="CN227" s="194"/>
      <c r="CO227" s="194"/>
      <c r="CP227" s="194"/>
      <c r="CQ227" s="194"/>
      <c r="CR227" s="194"/>
      <c r="CS227" s="194"/>
      <c r="CT227" s="194"/>
      <c r="CU227" s="194"/>
      <c r="CV227" s="194"/>
      <c r="CW227" s="194"/>
      <c r="CX227" s="194"/>
      <c r="CY227" s="194"/>
      <c r="CZ227" s="194"/>
      <c r="DA227" s="194"/>
      <c r="DB227" s="194"/>
      <c r="DC227" s="194"/>
      <c r="DD227" s="194"/>
      <c r="DE227" s="194"/>
      <c r="DF227" s="194"/>
    </row>
    <row r="228" spans="2:110" s="192" customFormat="1" hidden="1" x14ac:dyDescent="0.35">
      <c r="B228" s="289"/>
      <c r="C228" s="289"/>
      <c r="Q228" s="193"/>
      <c r="R228" s="194">
        <f t="shared" si="110"/>
        <v>18</v>
      </c>
      <c r="S228" s="197">
        <f t="shared" si="76"/>
        <v>0.3888888888888889</v>
      </c>
      <c r="T228" s="194">
        <f t="shared" si="131"/>
        <v>0.69</v>
      </c>
      <c r="U228" s="194">
        <f t="shared" si="132"/>
        <v>1.4999999999999999E-4</v>
      </c>
      <c r="V228" s="197">
        <f t="shared" si="111"/>
        <v>0.3888888888888889</v>
      </c>
      <c r="W228" s="197">
        <f t="shared" si="77"/>
        <v>4.3555555555555561E-3</v>
      </c>
      <c r="X228" s="286">
        <f t="shared" si="78"/>
        <v>1</v>
      </c>
      <c r="Y228" s="286">
        <f t="shared" si="79"/>
        <v>0.17335969315081967</v>
      </c>
      <c r="Z228" s="286">
        <f t="shared" si="80"/>
        <v>0.54964853345132902</v>
      </c>
      <c r="AA228" s="286">
        <f t="shared" si="112"/>
        <v>0.17335969315081967</v>
      </c>
      <c r="AB228" s="197">
        <f t="shared" si="81"/>
        <v>0.36419974881911377</v>
      </c>
      <c r="AC228" s="287">
        <f t="shared" si="82"/>
        <v>4.4451203372005044E-7</v>
      </c>
      <c r="AD228" s="197">
        <f t="shared" si="113"/>
        <v>11.693936048110356</v>
      </c>
      <c r="AE228" s="197">
        <f t="shared" si="114"/>
        <v>35.08180814433107</v>
      </c>
      <c r="AF228" s="197">
        <f t="shared" si="115"/>
        <v>8.5178571428571423E-2</v>
      </c>
      <c r="AG228" s="197">
        <f t="shared" si="116"/>
        <v>0.25553571428571431</v>
      </c>
      <c r="AH228" s="197">
        <f t="shared" si="83"/>
        <v>0.11660930017110901</v>
      </c>
      <c r="AI228" s="197">
        <f t="shared" si="117"/>
        <v>0.11660930017110901</v>
      </c>
      <c r="AJ228" s="218">
        <f t="shared" si="84"/>
        <v>390.00000000000006</v>
      </c>
      <c r="AK228" s="197">
        <f t="shared" si="118"/>
        <v>6.0930617977437734E-2</v>
      </c>
      <c r="AL228" s="197">
        <f t="shared" si="119"/>
        <v>9.6203707235237593E-2</v>
      </c>
      <c r="AM228" s="197">
        <f t="shared" si="120"/>
        <v>4.0790371867740751E-3</v>
      </c>
      <c r="AN228" s="197">
        <f t="shared" si="85"/>
        <v>24.05</v>
      </c>
      <c r="AO228" s="197">
        <f t="shared" si="86"/>
        <v>21.69</v>
      </c>
      <c r="AP228" s="197">
        <f t="shared" si="121"/>
        <v>7.4093290390420161E-2</v>
      </c>
      <c r="AQ228" s="197">
        <f t="shared" si="122"/>
        <v>0.42250439890466829</v>
      </c>
      <c r="AR228" s="197">
        <f t="shared" si="123"/>
        <v>0.30589509873355925</v>
      </c>
      <c r="AS228" s="258">
        <f t="shared" si="124"/>
        <v>0.15228632177729159</v>
      </c>
      <c r="AT228" s="197">
        <f t="shared" si="87"/>
        <v>2.5974058656511614E-4</v>
      </c>
      <c r="AU228" s="194">
        <f t="shared" si="88"/>
        <v>21.19</v>
      </c>
      <c r="AV228" s="197">
        <f t="shared" si="89"/>
        <v>2.7E-2</v>
      </c>
      <c r="AW228" s="197">
        <f t="shared" si="90"/>
        <v>3.4260000000000002E-3</v>
      </c>
      <c r="AX228" s="197">
        <f t="shared" si="125"/>
        <v>6.1668000000000001E-2</v>
      </c>
      <c r="AY228" s="197">
        <f t="shared" si="91"/>
        <v>2.8867476000000005E-3</v>
      </c>
      <c r="AZ228" s="197">
        <f t="shared" si="92"/>
        <v>0</v>
      </c>
      <c r="BA228" s="197">
        <f t="shared" si="126"/>
        <v>7.2596940000000013E-2</v>
      </c>
      <c r="BB228" s="258">
        <f t="shared" si="93"/>
        <v>0.36575210336206115</v>
      </c>
      <c r="BC228" s="197">
        <f t="shared" si="94"/>
        <v>2.2380490766334034E-2</v>
      </c>
      <c r="BD228" s="197">
        <f t="shared" si="127"/>
        <v>4.4760981532668068E-3</v>
      </c>
      <c r="BE228" s="197">
        <f t="shared" si="128"/>
        <v>2.6856588919600841E-2</v>
      </c>
      <c r="BF228" s="197">
        <f t="shared" si="95"/>
        <v>0.20773291256157633</v>
      </c>
      <c r="BG228" s="197">
        <f t="shared" si="96"/>
        <v>5.4608303342508187E-4</v>
      </c>
      <c r="BH228" s="197">
        <f t="shared" si="97"/>
        <v>3.5336687086656722E-2</v>
      </c>
      <c r="BI228" s="197">
        <f t="shared" si="129"/>
        <v>0.44730899017824427</v>
      </c>
      <c r="BJ228" s="197">
        <f t="shared" si="98"/>
        <v>6.769615024661003</v>
      </c>
      <c r="BK228" s="288">
        <f t="shared" si="99"/>
        <v>0.93392401361838984</v>
      </c>
      <c r="BL228" s="197">
        <f t="shared" si="100"/>
        <v>0.37608972359227794</v>
      </c>
      <c r="BM228" s="197">
        <f t="shared" si="101"/>
        <v>7.4353030976985271E-2</v>
      </c>
      <c r="BN228" s="197">
        <f t="shared" si="102"/>
        <v>54.461181858619113</v>
      </c>
      <c r="BO228" s="197">
        <f t="shared" si="130"/>
        <v>0.2082789955950014</v>
      </c>
      <c r="BP228" s="197">
        <f t="shared" si="103"/>
        <v>65.620924669625111</v>
      </c>
      <c r="BQ228" s="197">
        <f t="shared" si="104"/>
        <v>9.9596940000000009E-2</v>
      </c>
      <c r="BR228" s="288">
        <f t="shared" si="105"/>
        <v>0.16008975919012108</v>
      </c>
      <c r="BS228" s="197">
        <f t="shared" si="106"/>
        <v>0.11660930017110901</v>
      </c>
      <c r="BT228" s="197">
        <f t="shared" si="107"/>
        <v>0.36419974881911377</v>
      </c>
      <c r="BU228" s="197">
        <f t="shared" si="108"/>
        <v>0.1713930788771201</v>
      </c>
      <c r="BV228" s="197">
        <f t="shared" si="109"/>
        <v>0.53530306917875781</v>
      </c>
      <c r="BW228" s="194"/>
      <c r="BX228" s="194"/>
      <c r="BY228" s="194"/>
      <c r="BZ228" s="194"/>
      <c r="CA228" s="194"/>
      <c r="CB228" s="194"/>
      <c r="CC228" s="194"/>
      <c r="CD228" s="194"/>
      <c r="CE228" s="194"/>
      <c r="CF228" s="194"/>
      <c r="CG228" s="194"/>
      <c r="CH228" s="194"/>
      <c r="CI228" s="194"/>
      <c r="CJ228" s="194"/>
      <c r="CK228" s="194"/>
      <c r="CL228" s="194"/>
      <c r="CM228" s="194"/>
      <c r="CN228" s="194"/>
      <c r="CO228" s="194"/>
      <c r="CP228" s="194"/>
      <c r="CQ228" s="194"/>
      <c r="CR228" s="194"/>
      <c r="CS228" s="194"/>
      <c r="CT228" s="194"/>
      <c r="CU228" s="194"/>
      <c r="CV228" s="194"/>
      <c r="CW228" s="194"/>
      <c r="CX228" s="194"/>
      <c r="CY228" s="194"/>
      <c r="CZ228" s="194"/>
      <c r="DA228" s="194"/>
      <c r="DB228" s="194"/>
      <c r="DC228" s="194"/>
      <c r="DD228" s="194"/>
      <c r="DE228" s="194"/>
      <c r="DF228" s="194"/>
    </row>
    <row r="229" spans="2:110" s="192" customFormat="1" hidden="1" x14ac:dyDescent="0.35">
      <c r="B229" s="289"/>
      <c r="C229" s="289"/>
      <c r="Q229" s="193"/>
      <c r="R229" s="194">
        <f t="shared" si="110"/>
        <v>18</v>
      </c>
      <c r="S229" s="197">
        <f t="shared" si="76"/>
        <v>0.3888888888888889</v>
      </c>
      <c r="T229" s="194">
        <f t="shared" si="131"/>
        <v>0.69</v>
      </c>
      <c r="U229" s="194">
        <f t="shared" si="132"/>
        <v>1.4999999999999999E-4</v>
      </c>
      <c r="V229" s="197">
        <f t="shared" si="111"/>
        <v>0.3888888888888889</v>
      </c>
      <c r="W229" s="197">
        <f t="shared" si="77"/>
        <v>4.3555555555555561E-3</v>
      </c>
      <c r="X229" s="286">
        <f t="shared" si="78"/>
        <v>1</v>
      </c>
      <c r="Y229" s="286">
        <f t="shared" si="79"/>
        <v>0.17335969315081967</v>
      </c>
      <c r="Z229" s="286">
        <f t="shared" si="80"/>
        <v>0.54964853345132902</v>
      </c>
      <c r="AA229" s="286">
        <f t="shared" si="112"/>
        <v>0.17335969315081967</v>
      </c>
      <c r="AB229" s="197">
        <f t="shared" si="81"/>
        <v>0.36419974881911377</v>
      </c>
      <c r="AC229" s="287">
        <f t="shared" si="82"/>
        <v>4.4451203372005044E-7</v>
      </c>
      <c r="AD229" s="197">
        <f t="shared" si="113"/>
        <v>11.693936048110356</v>
      </c>
      <c r="AE229" s="197">
        <f t="shared" si="114"/>
        <v>35.08180814433107</v>
      </c>
      <c r="AF229" s="197">
        <f t="shared" si="115"/>
        <v>8.5178571428571423E-2</v>
      </c>
      <c r="AG229" s="197">
        <f t="shared" si="116"/>
        <v>0.25553571428571431</v>
      </c>
      <c r="AH229" s="197">
        <f t="shared" si="83"/>
        <v>0.11660930017110901</v>
      </c>
      <c r="AI229" s="197">
        <f t="shared" si="117"/>
        <v>0.11660930017110901</v>
      </c>
      <c r="AJ229" s="218">
        <f t="shared" si="84"/>
        <v>390.00000000000006</v>
      </c>
      <c r="AK229" s="197">
        <f t="shared" si="118"/>
        <v>6.0930617977437734E-2</v>
      </c>
      <c r="AL229" s="197">
        <f t="shared" si="119"/>
        <v>9.6203707235237593E-2</v>
      </c>
      <c r="AM229" s="197">
        <f t="shared" si="120"/>
        <v>4.0790371867740751E-3</v>
      </c>
      <c r="AN229" s="197">
        <f t="shared" si="85"/>
        <v>24.05</v>
      </c>
      <c r="AO229" s="197">
        <f t="shared" si="86"/>
        <v>21.69</v>
      </c>
      <c r="AP229" s="197">
        <f t="shared" si="121"/>
        <v>7.4093290390420161E-2</v>
      </c>
      <c r="AQ229" s="197">
        <f t="shared" si="122"/>
        <v>0.42250439890466829</v>
      </c>
      <c r="AR229" s="197">
        <f t="shared" si="123"/>
        <v>0.30589509873355925</v>
      </c>
      <c r="AS229" s="258">
        <f t="shared" si="124"/>
        <v>0.15228632177729159</v>
      </c>
      <c r="AT229" s="197">
        <f t="shared" si="87"/>
        <v>2.5974058656511614E-4</v>
      </c>
      <c r="AU229" s="194">
        <f t="shared" si="88"/>
        <v>21.19</v>
      </c>
      <c r="AV229" s="197">
        <f t="shared" si="89"/>
        <v>2.7E-2</v>
      </c>
      <c r="AW229" s="197">
        <f t="shared" si="90"/>
        <v>3.4260000000000002E-3</v>
      </c>
      <c r="AX229" s="197">
        <f t="shared" si="125"/>
        <v>6.1668000000000001E-2</v>
      </c>
      <c r="AY229" s="197">
        <f t="shared" si="91"/>
        <v>2.8867476000000005E-3</v>
      </c>
      <c r="AZ229" s="197">
        <f t="shared" si="92"/>
        <v>0</v>
      </c>
      <c r="BA229" s="197">
        <f t="shared" si="126"/>
        <v>7.2596940000000013E-2</v>
      </c>
      <c r="BB229" s="258">
        <f t="shared" si="93"/>
        <v>0.36575210336206115</v>
      </c>
      <c r="BC229" s="197">
        <f t="shared" si="94"/>
        <v>2.2380490766334034E-2</v>
      </c>
      <c r="BD229" s="197">
        <f t="shared" si="127"/>
        <v>4.4760981532668068E-3</v>
      </c>
      <c r="BE229" s="197">
        <f t="shared" si="128"/>
        <v>2.6856588919600841E-2</v>
      </c>
      <c r="BF229" s="197">
        <f t="shared" si="95"/>
        <v>0.20773291256157633</v>
      </c>
      <c r="BG229" s="197">
        <f t="shared" si="96"/>
        <v>5.4608303342508187E-4</v>
      </c>
      <c r="BH229" s="197">
        <f t="shared" si="97"/>
        <v>3.5336687086656722E-2</v>
      </c>
      <c r="BI229" s="197">
        <f t="shared" si="129"/>
        <v>0.44730899017824427</v>
      </c>
      <c r="BJ229" s="197">
        <f t="shared" si="98"/>
        <v>6.769615024661003</v>
      </c>
      <c r="BK229" s="288">
        <f t="shared" si="99"/>
        <v>0.93392401361838984</v>
      </c>
      <c r="BL229" s="197">
        <f t="shared" si="100"/>
        <v>0.37608972359227794</v>
      </c>
      <c r="BM229" s="197">
        <f t="shared" si="101"/>
        <v>7.4353030976985271E-2</v>
      </c>
      <c r="BN229" s="197">
        <f t="shared" si="102"/>
        <v>54.461181858619113</v>
      </c>
      <c r="BO229" s="197">
        <f t="shared" si="130"/>
        <v>0.2082789955950014</v>
      </c>
      <c r="BP229" s="197">
        <f t="shared" si="103"/>
        <v>65.620924669625111</v>
      </c>
      <c r="BQ229" s="197">
        <f t="shared" si="104"/>
        <v>9.9596940000000009E-2</v>
      </c>
      <c r="BR229" s="288">
        <f t="shared" si="105"/>
        <v>0.16008975919012108</v>
      </c>
      <c r="BS229" s="197">
        <f t="shared" si="106"/>
        <v>0.11660930017110901</v>
      </c>
      <c r="BT229" s="197">
        <f t="shared" si="107"/>
        <v>0.36419974881911377</v>
      </c>
      <c r="BU229" s="197">
        <f t="shared" si="108"/>
        <v>0.1713930788771201</v>
      </c>
      <c r="BV229" s="197">
        <f t="shared" si="109"/>
        <v>0.53530306917875781</v>
      </c>
      <c r="BW229" s="194"/>
      <c r="BX229" s="194"/>
      <c r="BY229" s="194"/>
      <c r="BZ229" s="194"/>
      <c r="CA229" s="194"/>
      <c r="CB229" s="194"/>
      <c r="CC229" s="194"/>
      <c r="CD229" s="194"/>
      <c r="CE229" s="194"/>
      <c r="CF229" s="194"/>
      <c r="CG229" s="194"/>
      <c r="CH229" s="194"/>
      <c r="CI229" s="194"/>
      <c r="CJ229" s="194"/>
      <c r="CK229" s="194"/>
      <c r="CL229" s="194"/>
      <c r="CM229" s="194"/>
      <c r="CN229" s="194"/>
      <c r="CO229" s="194"/>
      <c r="CP229" s="194"/>
      <c r="CQ229" s="194"/>
      <c r="CR229" s="194"/>
      <c r="CS229" s="194"/>
      <c r="CT229" s="194"/>
      <c r="CU229" s="194"/>
      <c r="CV229" s="194"/>
      <c r="CW229" s="194"/>
      <c r="CX229" s="194"/>
      <c r="CY229" s="194"/>
      <c r="CZ229" s="194"/>
      <c r="DA229" s="194"/>
      <c r="DB229" s="194"/>
      <c r="DC229" s="194"/>
      <c r="DD229" s="194"/>
      <c r="DE229" s="194"/>
      <c r="DF229" s="194"/>
    </row>
    <row r="230" spans="2:110" s="192" customFormat="1" hidden="1" x14ac:dyDescent="0.35">
      <c r="B230" s="289"/>
      <c r="C230" s="289"/>
      <c r="Q230" s="193"/>
      <c r="R230" s="194">
        <f t="shared" si="110"/>
        <v>18</v>
      </c>
      <c r="S230" s="197">
        <f t="shared" si="76"/>
        <v>0.3888888888888889</v>
      </c>
      <c r="T230" s="194">
        <f t="shared" si="131"/>
        <v>0.69</v>
      </c>
      <c r="U230" s="194">
        <f t="shared" si="132"/>
        <v>1.4999999999999999E-4</v>
      </c>
      <c r="V230" s="197">
        <f t="shared" si="111"/>
        <v>0.3888888888888889</v>
      </c>
      <c r="W230" s="197">
        <f t="shared" si="77"/>
        <v>4.3555555555555561E-3</v>
      </c>
      <c r="X230" s="286">
        <f t="shared" si="78"/>
        <v>1</v>
      </c>
      <c r="Y230" s="286">
        <f t="shared" si="79"/>
        <v>0.17335969315081967</v>
      </c>
      <c r="Z230" s="286">
        <f t="shared" si="80"/>
        <v>0.54964853345132902</v>
      </c>
      <c r="AA230" s="286">
        <f t="shared" si="112"/>
        <v>0.17335969315081967</v>
      </c>
      <c r="AB230" s="197">
        <f t="shared" si="81"/>
        <v>0.36419974881911377</v>
      </c>
      <c r="AC230" s="287">
        <f t="shared" si="82"/>
        <v>4.4451203372005044E-7</v>
      </c>
      <c r="AD230" s="197">
        <f t="shared" si="113"/>
        <v>11.693936048110356</v>
      </c>
      <c r="AE230" s="197">
        <f t="shared" si="114"/>
        <v>35.08180814433107</v>
      </c>
      <c r="AF230" s="197">
        <f t="shared" si="115"/>
        <v>8.5178571428571423E-2</v>
      </c>
      <c r="AG230" s="197">
        <f t="shared" si="116"/>
        <v>0.25553571428571431</v>
      </c>
      <c r="AH230" s="197">
        <f t="shared" si="83"/>
        <v>0.11660930017110901</v>
      </c>
      <c r="AI230" s="197">
        <f t="shared" si="117"/>
        <v>0.11660930017110901</v>
      </c>
      <c r="AJ230" s="218">
        <f t="shared" si="84"/>
        <v>390.00000000000006</v>
      </c>
      <c r="AK230" s="197">
        <f t="shared" si="118"/>
        <v>6.0930617977437734E-2</v>
      </c>
      <c r="AL230" s="197">
        <f t="shared" si="119"/>
        <v>9.6203707235237593E-2</v>
      </c>
      <c r="AM230" s="197">
        <f t="shared" si="120"/>
        <v>4.0790371867740751E-3</v>
      </c>
      <c r="AN230" s="197">
        <f t="shared" si="85"/>
        <v>24.05</v>
      </c>
      <c r="AO230" s="197">
        <f t="shared" si="86"/>
        <v>21.69</v>
      </c>
      <c r="AP230" s="197">
        <f t="shared" si="121"/>
        <v>7.4093290390420161E-2</v>
      </c>
      <c r="AQ230" s="197">
        <f t="shared" si="122"/>
        <v>0.42250439890466829</v>
      </c>
      <c r="AR230" s="197">
        <f t="shared" si="123"/>
        <v>0.30589509873355925</v>
      </c>
      <c r="AS230" s="258">
        <f t="shared" si="124"/>
        <v>0.15228632177729159</v>
      </c>
      <c r="AT230" s="197">
        <f t="shared" si="87"/>
        <v>2.5974058656511614E-4</v>
      </c>
      <c r="AU230" s="194">
        <f t="shared" si="88"/>
        <v>21.19</v>
      </c>
      <c r="AV230" s="197">
        <f t="shared" si="89"/>
        <v>2.7E-2</v>
      </c>
      <c r="AW230" s="197">
        <f t="shared" si="90"/>
        <v>3.4260000000000002E-3</v>
      </c>
      <c r="AX230" s="197">
        <f t="shared" si="125"/>
        <v>6.1668000000000001E-2</v>
      </c>
      <c r="AY230" s="197">
        <f t="shared" si="91"/>
        <v>2.8867476000000005E-3</v>
      </c>
      <c r="AZ230" s="197">
        <f t="shared" si="92"/>
        <v>0</v>
      </c>
      <c r="BA230" s="197">
        <f t="shared" si="126"/>
        <v>7.2596940000000013E-2</v>
      </c>
      <c r="BB230" s="258">
        <f t="shared" si="93"/>
        <v>0.36575210336206115</v>
      </c>
      <c r="BC230" s="197">
        <f t="shared" si="94"/>
        <v>2.2380490766334034E-2</v>
      </c>
      <c r="BD230" s="197">
        <f t="shared" si="127"/>
        <v>4.4760981532668068E-3</v>
      </c>
      <c r="BE230" s="197">
        <f t="shared" si="128"/>
        <v>2.6856588919600841E-2</v>
      </c>
      <c r="BF230" s="197">
        <f t="shared" si="95"/>
        <v>0.20773291256157633</v>
      </c>
      <c r="BG230" s="197">
        <f t="shared" si="96"/>
        <v>5.4608303342508187E-4</v>
      </c>
      <c r="BH230" s="197">
        <f t="shared" si="97"/>
        <v>3.5336687086656722E-2</v>
      </c>
      <c r="BI230" s="197">
        <f t="shared" si="129"/>
        <v>0.44730899017824427</v>
      </c>
      <c r="BJ230" s="197">
        <f t="shared" si="98"/>
        <v>6.769615024661003</v>
      </c>
      <c r="BK230" s="288">
        <f t="shared" si="99"/>
        <v>0.93392401361838984</v>
      </c>
      <c r="BL230" s="197">
        <f t="shared" si="100"/>
        <v>0.37608972359227794</v>
      </c>
      <c r="BM230" s="197">
        <f t="shared" si="101"/>
        <v>7.4353030976985271E-2</v>
      </c>
      <c r="BN230" s="197">
        <f t="shared" si="102"/>
        <v>54.461181858619113</v>
      </c>
      <c r="BO230" s="197">
        <f t="shared" si="130"/>
        <v>0.2082789955950014</v>
      </c>
      <c r="BP230" s="197">
        <f t="shared" si="103"/>
        <v>65.620924669625111</v>
      </c>
      <c r="BQ230" s="197">
        <f t="shared" si="104"/>
        <v>9.9596940000000009E-2</v>
      </c>
      <c r="BR230" s="288">
        <f t="shared" si="105"/>
        <v>0.16008975919012108</v>
      </c>
      <c r="BS230" s="197">
        <f t="shared" si="106"/>
        <v>0.11660930017110901</v>
      </c>
      <c r="BT230" s="197">
        <f t="shared" si="107"/>
        <v>0.36419974881911377</v>
      </c>
      <c r="BU230" s="197">
        <f t="shared" si="108"/>
        <v>0.1713930788771201</v>
      </c>
      <c r="BV230" s="197">
        <f t="shared" si="109"/>
        <v>0.53530306917875781</v>
      </c>
      <c r="BW230" s="194"/>
      <c r="BX230" s="194"/>
      <c r="BY230" s="194"/>
      <c r="BZ230" s="194"/>
      <c r="CA230" s="194"/>
      <c r="CB230" s="194"/>
      <c r="CC230" s="194"/>
      <c r="CD230" s="194"/>
      <c r="CE230" s="194"/>
      <c r="CF230" s="194"/>
      <c r="CG230" s="194"/>
      <c r="CH230" s="194"/>
      <c r="CI230" s="194"/>
      <c r="CJ230" s="194"/>
      <c r="CK230" s="194"/>
      <c r="CL230" s="194"/>
      <c r="CM230" s="194"/>
      <c r="CN230" s="194"/>
      <c r="CO230" s="194"/>
      <c r="CP230" s="194"/>
      <c r="CQ230" s="194"/>
      <c r="CR230" s="194"/>
      <c r="CS230" s="194"/>
      <c r="CT230" s="194"/>
      <c r="CU230" s="194"/>
      <c r="CV230" s="194"/>
      <c r="CW230" s="194"/>
      <c r="CX230" s="194"/>
      <c r="CY230" s="194"/>
      <c r="CZ230" s="194"/>
      <c r="DA230" s="194"/>
      <c r="DB230" s="194"/>
      <c r="DC230" s="194"/>
      <c r="DD230" s="194"/>
      <c r="DE230" s="194"/>
      <c r="DF230" s="194"/>
    </row>
    <row r="231" spans="2:110" s="192" customFormat="1" hidden="1" x14ac:dyDescent="0.35">
      <c r="B231" s="289"/>
      <c r="C231" s="289"/>
      <c r="Q231" s="193"/>
      <c r="R231" s="194">
        <f t="shared" si="110"/>
        <v>18</v>
      </c>
      <c r="S231" s="197">
        <f t="shared" si="76"/>
        <v>0.3888888888888889</v>
      </c>
      <c r="T231" s="194">
        <f t="shared" si="131"/>
        <v>0.69</v>
      </c>
      <c r="U231" s="194">
        <f t="shared" si="132"/>
        <v>1.4999999999999999E-4</v>
      </c>
      <c r="V231" s="197">
        <f t="shared" si="111"/>
        <v>0.3888888888888889</v>
      </c>
      <c r="W231" s="197">
        <f t="shared" si="77"/>
        <v>4.3555555555555561E-3</v>
      </c>
      <c r="X231" s="286">
        <f t="shared" si="78"/>
        <v>1</v>
      </c>
      <c r="Y231" s="286">
        <f t="shared" si="79"/>
        <v>0.17335969315081967</v>
      </c>
      <c r="Z231" s="286">
        <f t="shared" si="80"/>
        <v>0.54964853345132902</v>
      </c>
      <c r="AA231" s="286">
        <f t="shared" si="112"/>
        <v>0.17335969315081967</v>
      </c>
      <c r="AB231" s="197">
        <f t="shared" si="81"/>
        <v>0.36419974881911377</v>
      </c>
      <c r="AC231" s="287">
        <f t="shared" si="82"/>
        <v>4.4451203372005044E-7</v>
      </c>
      <c r="AD231" s="197">
        <f t="shared" si="113"/>
        <v>11.693936048110356</v>
      </c>
      <c r="AE231" s="197">
        <f t="shared" si="114"/>
        <v>35.08180814433107</v>
      </c>
      <c r="AF231" s="197">
        <f t="shared" si="115"/>
        <v>8.5178571428571423E-2</v>
      </c>
      <c r="AG231" s="197">
        <f t="shared" si="116"/>
        <v>0.25553571428571431</v>
      </c>
      <c r="AH231" s="197">
        <f t="shared" si="83"/>
        <v>0.11660930017110901</v>
      </c>
      <c r="AI231" s="197">
        <f t="shared" si="117"/>
        <v>0.11660930017110901</v>
      </c>
      <c r="AJ231" s="218">
        <f t="shared" si="84"/>
        <v>390.00000000000006</v>
      </c>
      <c r="AK231" s="197">
        <f t="shared" si="118"/>
        <v>6.0930617977437734E-2</v>
      </c>
      <c r="AL231" s="197">
        <f t="shared" si="119"/>
        <v>9.6203707235237593E-2</v>
      </c>
      <c r="AM231" s="197">
        <f t="shared" si="120"/>
        <v>4.0790371867740751E-3</v>
      </c>
      <c r="AN231" s="197">
        <f t="shared" si="85"/>
        <v>24.05</v>
      </c>
      <c r="AO231" s="197">
        <f t="shared" si="86"/>
        <v>21.69</v>
      </c>
      <c r="AP231" s="197">
        <f t="shared" si="121"/>
        <v>7.4093290390420161E-2</v>
      </c>
      <c r="AQ231" s="197">
        <f t="shared" si="122"/>
        <v>0.42250439890466829</v>
      </c>
      <c r="AR231" s="197">
        <f t="shared" si="123"/>
        <v>0.30589509873355925</v>
      </c>
      <c r="AS231" s="258">
        <f t="shared" si="124"/>
        <v>0.15228632177729159</v>
      </c>
      <c r="AT231" s="197">
        <f t="shared" si="87"/>
        <v>2.5974058656511614E-4</v>
      </c>
      <c r="AU231" s="194">
        <f t="shared" si="88"/>
        <v>21.19</v>
      </c>
      <c r="AV231" s="197">
        <f t="shared" si="89"/>
        <v>2.7E-2</v>
      </c>
      <c r="AW231" s="197">
        <f t="shared" si="90"/>
        <v>3.4260000000000002E-3</v>
      </c>
      <c r="AX231" s="197">
        <f t="shared" si="125"/>
        <v>6.1668000000000001E-2</v>
      </c>
      <c r="AY231" s="197">
        <f t="shared" si="91"/>
        <v>2.8867476000000005E-3</v>
      </c>
      <c r="AZ231" s="197">
        <f t="shared" si="92"/>
        <v>0</v>
      </c>
      <c r="BA231" s="197">
        <f t="shared" si="126"/>
        <v>7.2596940000000013E-2</v>
      </c>
      <c r="BB231" s="258">
        <f t="shared" si="93"/>
        <v>0.36575210336206115</v>
      </c>
      <c r="BC231" s="197">
        <f t="shared" si="94"/>
        <v>2.2380490766334034E-2</v>
      </c>
      <c r="BD231" s="197">
        <f t="shared" si="127"/>
        <v>4.4760981532668068E-3</v>
      </c>
      <c r="BE231" s="197">
        <f t="shared" si="128"/>
        <v>2.6856588919600841E-2</v>
      </c>
      <c r="BF231" s="197">
        <f t="shared" si="95"/>
        <v>0.20773291256157633</v>
      </c>
      <c r="BG231" s="197">
        <f t="shared" si="96"/>
        <v>5.4608303342508187E-4</v>
      </c>
      <c r="BH231" s="197">
        <f t="shared" si="97"/>
        <v>3.5336687086656722E-2</v>
      </c>
      <c r="BI231" s="197">
        <f t="shared" si="129"/>
        <v>0.44730899017824427</v>
      </c>
      <c r="BJ231" s="197">
        <f t="shared" si="98"/>
        <v>6.769615024661003</v>
      </c>
      <c r="BK231" s="288">
        <f t="shared" si="99"/>
        <v>0.93392401361838984</v>
      </c>
      <c r="BL231" s="197">
        <f t="shared" si="100"/>
        <v>0.37608972359227794</v>
      </c>
      <c r="BM231" s="197">
        <f t="shared" si="101"/>
        <v>7.4353030976985271E-2</v>
      </c>
      <c r="BN231" s="197">
        <f t="shared" si="102"/>
        <v>54.461181858619113</v>
      </c>
      <c r="BO231" s="197">
        <f t="shared" si="130"/>
        <v>0.2082789955950014</v>
      </c>
      <c r="BP231" s="197">
        <f t="shared" si="103"/>
        <v>65.620924669625111</v>
      </c>
      <c r="BQ231" s="197">
        <f t="shared" si="104"/>
        <v>9.9596940000000009E-2</v>
      </c>
      <c r="BR231" s="288">
        <f t="shared" si="105"/>
        <v>0.16008975919012108</v>
      </c>
      <c r="BS231" s="197">
        <f t="shared" si="106"/>
        <v>0.11660930017110901</v>
      </c>
      <c r="BT231" s="197">
        <f t="shared" si="107"/>
        <v>0.36419974881911377</v>
      </c>
      <c r="BU231" s="197">
        <f t="shared" si="108"/>
        <v>0.1713930788771201</v>
      </c>
      <c r="BV231" s="197">
        <f t="shared" si="109"/>
        <v>0.53530306917875781</v>
      </c>
      <c r="BW231" s="194"/>
      <c r="BX231" s="194"/>
      <c r="BY231" s="194"/>
      <c r="BZ231" s="194"/>
      <c r="CA231" s="194"/>
      <c r="CB231" s="194"/>
      <c r="CC231" s="194"/>
      <c r="CD231" s="194"/>
      <c r="CE231" s="194"/>
      <c r="CF231" s="194"/>
      <c r="CG231" s="194"/>
      <c r="CH231" s="194"/>
      <c r="CI231" s="194"/>
      <c r="CJ231" s="194"/>
      <c r="CK231" s="194"/>
      <c r="CL231" s="194"/>
      <c r="CM231" s="194"/>
      <c r="CN231" s="194"/>
      <c r="CO231" s="194"/>
      <c r="CP231" s="194"/>
      <c r="CQ231" s="194"/>
      <c r="CR231" s="194"/>
      <c r="CS231" s="194"/>
      <c r="CT231" s="194"/>
      <c r="CU231" s="194"/>
      <c r="CV231" s="194"/>
      <c r="CW231" s="194"/>
      <c r="CX231" s="194"/>
      <c r="CY231" s="194"/>
      <c r="CZ231" s="194"/>
      <c r="DA231" s="194"/>
      <c r="DB231" s="194"/>
      <c r="DC231" s="194"/>
      <c r="DD231" s="194"/>
      <c r="DE231" s="194"/>
      <c r="DF231" s="194"/>
    </row>
    <row r="232" spans="2:110" s="192" customFormat="1" hidden="1" x14ac:dyDescent="0.35">
      <c r="B232" s="289"/>
      <c r="C232" s="289"/>
      <c r="Q232" s="193"/>
      <c r="R232" s="194">
        <f t="shared" si="110"/>
        <v>18</v>
      </c>
      <c r="S232" s="197">
        <f t="shared" si="76"/>
        <v>0.3888888888888889</v>
      </c>
      <c r="T232" s="194">
        <f t="shared" si="131"/>
        <v>0.69</v>
      </c>
      <c r="U232" s="194">
        <f t="shared" si="132"/>
        <v>1.4999999999999999E-4</v>
      </c>
      <c r="V232" s="197">
        <f t="shared" si="111"/>
        <v>0.3888888888888889</v>
      </c>
      <c r="W232" s="197">
        <f t="shared" si="77"/>
        <v>4.3555555555555561E-3</v>
      </c>
      <c r="X232" s="286">
        <f t="shared" si="78"/>
        <v>1</v>
      </c>
      <c r="Y232" s="286">
        <f t="shared" si="79"/>
        <v>0.17335969315081967</v>
      </c>
      <c r="Z232" s="286">
        <f t="shared" si="80"/>
        <v>0.54964853345132902</v>
      </c>
      <c r="AA232" s="286">
        <f t="shared" si="112"/>
        <v>0.17335969315081967</v>
      </c>
      <c r="AB232" s="197">
        <f t="shared" si="81"/>
        <v>0.36419974881911377</v>
      </c>
      <c r="AC232" s="287">
        <f t="shared" si="82"/>
        <v>4.4451203372005044E-7</v>
      </c>
      <c r="AD232" s="197">
        <f t="shared" si="113"/>
        <v>11.693936048110356</v>
      </c>
      <c r="AE232" s="197">
        <f t="shared" si="114"/>
        <v>35.08180814433107</v>
      </c>
      <c r="AF232" s="197">
        <f t="shared" si="115"/>
        <v>8.5178571428571423E-2</v>
      </c>
      <c r="AG232" s="197">
        <f t="shared" si="116"/>
        <v>0.25553571428571431</v>
      </c>
      <c r="AH232" s="197">
        <f t="shared" si="83"/>
        <v>0.11660930017110901</v>
      </c>
      <c r="AI232" s="197">
        <f t="shared" si="117"/>
        <v>0.11660930017110901</v>
      </c>
      <c r="AJ232" s="218">
        <f t="shared" si="84"/>
        <v>390.00000000000006</v>
      </c>
      <c r="AK232" s="197">
        <f t="shared" si="118"/>
        <v>6.0930617977437734E-2</v>
      </c>
      <c r="AL232" s="197">
        <f t="shared" si="119"/>
        <v>9.6203707235237593E-2</v>
      </c>
      <c r="AM232" s="197">
        <f t="shared" si="120"/>
        <v>4.0790371867740751E-3</v>
      </c>
      <c r="AN232" s="197">
        <f t="shared" si="85"/>
        <v>24.05</v>
      </c>
      <c r="AO232" s="197">
        <f t="shared" si="86"/>
        <v>21.69</v>
      </c>
      <c r="AP232" s="197">
        <f t="shared" si="121"/>
        <v>7.4093290390420161E-2</v>
      </c>
      <c r="AQ232" s="197">
        <f t="shared" si="122"/>
        <v>0.42250439890466829</v>
      </c>
      <c r="AR232" s="197">
        <f t="shared" si="123"/>
        <v>0.30589509873355925</v>
      </c>
      <c r="AS232" s="258">
        <f t="shared" si="124"/>
        <v>0.15228632177729159</v>
      </c>
      <c r="AT232" s="197">
        <f t="shared" si="87"/>
        <v>2.5974058656511614E-4</v>
      </c>
      <c r="AU232" s="194">
        <f t="shared" si="88"/>
        <v>21.19</v>
      </c>
      <c r="AV232" s="197">
        <f t="shared" si="89"/>
        <v>2.7E-2</v>
      </c>
      <c r="AW232" s="197">
        <f t="shared" si="90"/>
        <v>3.4260000000000002E-3</v>
      </c>
      <c r="AX232" s="197">
        <f t="shared" si="125"/>
        <v>6.1668000000000001E-2</v>
      </c>
      <c r="AY232" s="197">
        <f t="shared" si="91"/>
        <v>2.8867476000000005E-3</v>
      </c>
      <c r="AZ232" s="197">
        <f t="shared" si="92"/>
        <v>0</v>
      </c>
      <c r="BA232" s="197">
        <f t="shared" si="126"/>
        <v>7.2596940000000013E-2</v>
      </c>
      <c r="BB232" s="258">
        <f t="shared" si="93"/>
        <v>0.36575210336206115</v>
      </c>
      <c r="BC232" s="197">
        <f t="shared" si="94"/>
        <v>2.2380490766334034E-2</v>
      </c>
      <c r="BD232" s="197">
        <f t="shared" si="127"/>
        <v>4.4760981532668068E-3</v>
      </c>
      <c r="BE232" s="197">
        <f t="shared" si="128"/>
        <v>2.6856588919600841E-2</v>
      </c>
      <c r="BF232" s="197">
        <f t="shared" si="95"/>
        <v>0.20773291256157633</v>
      </c>
      <c r="BG232" s="197">
        <f t="shared" si="96"/>
        <v>5.4608303342508187E-4</v>
      </c>
      <c r="BH232" s="197">
        <f t="shared" si="97"/>
        <v>3.5336687086656722E-2</v>
      </c>
      <c r="BI232" s="197">
        <f t="shared" si="129"/>
        <v>0.44730899017824427</v>
      </c>
      <c r="BJ232" s="197">
        <f t="shared" si="98"/>
        <v>6.769615024661003</v>
      </c>
      <c r="BK232" s="288">
        <f t="shared" si="99"/>
        <v>0.93392401361838984</v>
      </c>
      <c r="BL232" s="197">
        <f t="shared" si="100"/>
        <v>0.37608972359227794</v>
      </c>
      <c r="BM232" s="197">
        <f t="shared" si="101"/>
        <v>7.4353030976985271E-2</v>
      </c>
      <c r="BN232" s="197">
        <f t="shared" si="102"/>
        <v>54.461181858619113</v>
      </c>
      <c r="BO232" s="197">
        <f t="shared" si="130"/>
        <v>0.2082789955950014</v>
      </c>
      <c r="BP232" s="197">
        <f t="shared" si="103"/>
        <v>65.620924669625111</v>
      </c>
      <c r="BQ232" s="197">
        <f t="shared" si="104"/>
        <v>9.9596940000000009E-2</v>
      </c>
      <c r="BR232" s="288">
        <f t="shared" si="105"/>
        <v>0.16008975919012108</v>
      </c>
      <c r="BS232" s="197">
        <f t="shared" si="106"/>
        <v>0.11660930017110901</v>
      </c>
      <c r="BT232" s="197">
        <f t="shared" si="107"/>
        <v>0.36419974881911377</v>
      </c>
      <c r="BU232" s="197">
        <f t="shared" si="108"/>
        <v>0.1713930788771201</v>
      </c>
      <c r="BV232" s="197">
        <f t="shared" si="109"/>
        <v>0.53530306917875781</v>
      </c>
      <c r="BW232" s="194"/>
      <c r="BX232" s="194"/>
      <c r="BY232" s="194"/>
      <c r="BZ232" s="194"/>
      <c r="CA232" s="194"/>
      <c r="CB232" s="194"/>
      <c r="CC232" s="194"/>
      <c r="CD232" s="194"/>
      <c r="CE232" s="194"/>
      <c r="CF232" s="194"/>
      <c r="CG232" s="194"/>
      <c r="CH232" s="194"/>
      <c r="CI232" s="194"/>
      <c r="CJ232" s="194"/>
      <c r="CK232" s="194"/>
      <c r="CL232" s="194"/>
      <c r="CM232" s="194"/>
      <c r="CN232" s="194"/>
      <c r="CO232" s="194"/>
      <c r="CP232" s="194"/>
      <c r="CQ232" s="194"/>
      <c r="CR232" s="194"/>
      <c r="CS232" s="194"/>
      <c r="CT232" s="194"/>
      <c r="CU232" s="194"/>
      <c r="CV232" s="194"/>
      <c r="CW232" s="194"/>
      <c r="CX232" s="194"/>
      <c r="CY232" s="194"/>
      <c r="CZ232" s="194"/>
      <c r="DA232" s="194"/>
      <c r="DB232" s="194"/>
      <c r="DC232" s="194"/>
      <c r="DD232" s="194"/>
      <c r="DE232" s="194"/>
      <c r="DF232" s="194"/>
    </row>
    <row r="233" spans="2:110" s="192" customFormat="1" hidden="1" x14ac:dyDescent="0.35">
      <c r="B233" s="289"/>
      <c r="C233" s="289"/>
      <c r="Q233" s="193"/>
      <c r="R233" s="194">
        <f t="shared" si="110"/>
        <v>18</v>
      </c>
      <c r="S233" s="197">
        <f t="shared" si="76"/>
        <v>0.3888888888888889</v>
      </c>
      <c r="T233" s="194">
        <f t="shared" si="131"/>
        <v>0.69</v>
      </c>
      <c r="U233" s="194">
        <f t="shared" si="132"/>
        <v>1.4999999999999999E-4</v>
      </c>
      <c r="V233" s="197">
        <f t="shared" si="111"/>
        <v>0.3888888888888889</v>
      </c>
      <c r="W233" s="197">
        <f t="shared" si="77"/>
        <v>4.3555555555555561E-3</v>
      </c>
      <c r="X233" s="286">
        <f t="shared" si="78"/>
        <v>1</v>
      </c>
      <c r="Y233" s="286">
        <f t="shared" si="79"/>
        <v>0.17335969315081967</v>
      </c>
      <c r="Z233" s="286">
        <f t="shared" si="80"/>
        <v>0.54964853345132902</v>
      </c>
      <c r="AA233" s="286">
        <f t="shared" si="112"/>
        <v>0.17335969315081967</v>
      </c>
      <c r="AB233" s="197">
        <f t="shared" si="81"/>
        <v>0.36419974881911377</v>
      </c>
      <c r="AC233" s="287">
        <f t="shared" si="82"/>
        <v>4.4451203372005044E-7</v>
      </c>
      <c r="AD233" s="197">
        <f t="shared" si="113"/>
        <v>11.693936048110356</v>
      </c>
      <c r="AE233" s="197">
        <f t="shared" si="114"/>
        <v>35.08180814433107</v>
      </c>
      <c r="AF233" s="197">
        <f t="shared" si="115"/>
        <v>8.5178571428571423E-2</v>
      </c>
      <c r="AG233" s="197">
        <f t="shared" si="116"/>
        <v>0.25553571428571431</v>
      </c>
      <c r="AH233" s="197">
        <f t="shared" si="83"/>
        <v>0.11660930017110901</v>
      </c>
      <c r="AI233" s="197">
        <f t="shared" si="117"/>
        <v>0.11660930017110901</v>
      </c>
      <c r="AJ233" s="218">
        <f t="shared" si="84"/>
        <v>390.00000000000006</v>
      </c>
      <c r="AK233" s="197">
        <f t="shared" si="118"/>
        <v>6.0930617977437734E-2</v>
      </c>
      <c r="AL233" s="197">
        <f t="shared" si="119"/>
        <v>9.6203707235237593E-2</v>
      </c>
      <c r="AM233" s="197">
        <f t="shared" si="120"/>
        <v>4.0790371867740751E-3</v>
      </c>
      <c r="AN233" s="197">
        <f t="shared" si="85"/>
        <v>24.05</v>
      </c>
      <c r="AO233" s="197">
        <f t="shared" si="86"/>
        <v>21.69</v>
      </c>
      <c r="AP233" s="197">
        <f t="shared" si="121"/>
        <v>7.4093290390420161E-2</v>
      </c>
      <c r="AQ233" s="197">
        <f t="shared" si="122"/>
        <v>0.42250439890466829</v>
      </c>
      <c r="AR233" s="197">
        <f t="shared" si="123"/>
        <v>0.30589509873355925</v>
      </c>
      <c r="AS233" s="258">
        <f t="shared" si="124"/>
        <v>0.15228632177729159</v>
      </c>
      <c r="AT233" s="197">
        <f t="shared" si="87"/>
        <v>2.5974058656511614E-4</v>
      </c>
      <c r="AU233" s="194">
        <f t="shared" si="88"/>
        <v>21.19</v>
      </c>
      <c r="AV233" s="197">
        <f t="shared" si="89"/>
        <v>2.7E-2</v>
      </c>
      <c r="AW233" s="197">
        <f t="shared" si="90"/>
        <v>3.4260000000000002E-3</v>
      </c>
      <c r="AX233" s="197">
        <f t="shared" si="125"/>
        <v>6.1668000000000001E-2</v>
      </c>
      <c r="AY233" s="197">
        <f t="shared" si="91"/>
        <v>2.8867476000000005E-3</v>
      </c>
      <c r="AZ233" s="197">
        <f t="shared" si="92"/>
        <v>0</v>
      </c>
      <c r="BA233" s="197">
        <f t="shared" si="126"/>
        <v>7.2596940000000013E-2</v>
      </c>
      <c r="BB233" s="258">
        <f t="shared" si="93"/>
        <v>0.36575210336206115</v>
      </c>
      <c r="BC233" s="197">
        <f t="shared" si="94"/>
        <v>2.2380490766334034E-2</v>
      </c>
      <c r="BD233" s="197">
        <f t="shared" si="127"/>
        <v>4.4760981532668068E-3</v>
      </c>
      <c r="BE233" s="197">
        <f t="shared" si="128"/>
        <v>2.6856588919600841E-2</v>
      </c>
      <c r="BF233" s="197">
        <f t="shared" si="95"/>
        <v>0.20773291256157633</v>
      </c>
      <c r="BG233" s="197">
        <f t="shared" si="96"/>
        <v>5.4608303342508187E-4</v>
      </c>
      <c r="BH233" s="197">
        <f t="shared" si="97"/>
        <v>3.5336687086656722E-2</v>
      </c>
      <c r="BI233" s="197">
        <f t="shared" si="129"/>
        <v>0.44730899017824427</v>
      </c>
      <c r="BJ233" s="197">
        <f t="shared" si="98"/>
        <v>6.769615024661003</v>
      </c>
      <c r="BK233" s="288">
        <f t="shared" si="99"/>
        <v>0.93392401361838984</v>
      </c>
      <c r="BL233" s="197">
        <f t="shared" si="100"/>
        <v>0.37608972359227794</v>
      </c>
      <c r="BM233" s="197">
        <f t="shared" si="101"/>
        <v>7.4353030976985271E-2</v>
      </c>
      <c r="BN233" s="197">
        <f t="shared" si="102"/>
        <v>54.461181858619113</v>
      </c>
      <c r="BO233" s="197">
        <f t="shared" si="130"/>
        <v>0.2082789955950014</v>
      </c>
      <c r="BP233" s="197">
        <f t="shared" si="103"/>
        <v>65.620924669625111</v>
      </c>
      <c r="BQ233" s="197">
        <f t="shared" si="104"/>
        <v>9.9596940000000009E-2</v>
      </c>
      <c r="BR233" s="288">
        <f t="shared" si="105"/>
        <v>0.16008975919012108</v>
      </c>
      <c r="BS233" s="197">
        <f t="shared" si="106"/>
        <v>0.11660930017110901</v>
      </c>
      <c r="BT233" s="197">
        <f t="shared" si="107"/>
        <v>0.36419974881911377</v>
      </c>
      <c r="BU233" s="197">
        <f t="shared" si="108"/>
        <v>0.1713930788771201</v>
      </c>
      <c r="BV233" s="197">
        <f t="shared" si="109"/>
        <v>0.53530306917875781</v>
      </c>
      <c r="BW233" s="194"/>
      <c r="BX233" s="194"/>
      <c r="BY233" s="194"/>
      <c r="BZ233" s="194"/>
      <c r="CA233" s="194"/>
      <c r="CB233" s="194"/>
      <c r="CC233" s="194"/>
      <c r="CD233" s="194"/>
      <c r="CE233" s="194"/>
      <c r="CF233" s="194"/>
      <c r="CG233" s="194"/>
      <c r="CH233" s="194"/>
      <c r="CI233" s="194"/>
      <c r="CJ233" s="194"/>
      <c r="CK233" s="194"/>
      <c r="CL233" s="194"/>
      <c r="CM233" s="194"/>
      <c r="CN233" s="194"/>
      <c r="CO233" s="194"/>
      <c r="CP233" s="194"/>
      <c r="CQ233" s="194"/>
      <c r="CR233" s="194"/>
      <c r="CS233" s="194"/>
      <c r="CT233" s="194"/>
      <c r="CU233" s="194"/>
      <c r="CV233" s="194"/>
      <c r="CW233" s="194"/>
      <c r="CX233" s="194"/>
      <c r="CY233" s="194"/>
      <c r="CZ233" s="194"/>
      <c r="DA233" s="194"/>
      <c r="DB233" s="194"/>
      <c r="DC233" s="194"/>
      <c r="DD233" s="194"/>
      <c r="DE233" s="194"/>
      <c r="DF233" s="194"/>
    </row>
    <row r="234" spans="2:110" s="192" customFormat="1" hidden="1" x14ac:dyDescent="0.35">
      <c r="B234" s="289"/>
      <c r="C234" s="289"/>
      <c r="Q234" s="193"/>
      <c r="R234" s="194">
        <f t="shared" si="110"/>
        <v>18</v>
      </c>
      <c r="S234" s="197">
        <f t="shared" si="76"/>
        <v>0.3888888888888889</v>
      </c>
      <c r="T234" s="194">
        <f t="shared" si="131"/>
        <v>0.69</v>
      </c>
      <c r="U234" s="194">
        <f t="shared" si="132"/>
        <v>1.4999999999999999E-4</v>
      </c>
      <c r="V234" s="197">
        <f t="shared" si="111"/>
        <v>0.3888888888888889</v>
      </c>
      <c r="W234" s="197">
        <f t="shared" si="77"/>
        <v>4.3555555555555561E-3</v>
      </c>
      <c r="X234" s="286">
        <f t="shared" si="78"/>
        <v>1</v>
      </c>
      <c r="Y234" s="286">
        <f t="shared" si="79"/>
        <v>0.17335969315081967</v>
      </c>
      <c r="Z234" s="286">
        <f t="shared" si="80"/>
        <v>0.54964853345132902</v>
      </c>
      <c r="AA234" s="286">
        <f t="shared" si="112"/>
        <v>0.17335969315081967</v>
      </c>
      <c r="AB234" s="197">
        <f t="shared" si="81"/>
        <v>0.36419974881911377</v>
      </c>
      <c r="AC234" s="287">
        <f t="shared" si="82"/>
        <v>4.4451203372005044E-7</v>
      </c>
      <c r="AD234" s="197">
        <f t="shared" si="113"/>
        <v>11.693936048110356</v>
      </c>
      <c r="AE234" s="197">
        <f t="shared" si="114"/>
        <v>35.08180814433107</v>
      </c>
      <c r="AF234" s="197">
        <f t="shared" si="115"/>
        <v>8.5178571428571423E-2</v>
      </c>
      <c r="AG234" s="197">
        <f t="shared" si="116"/>
        <v>0.25553571428571431</v>
      </c>
      <c r="AH234" s="197">
        <f t="shared" si="83"/>
        <v>0.11660930017110901</v>
      </c>
      <c r="AI234" s="197">
        <f t="shared" si="117"/>
        <v>0.11660930017110901</v>
      </c>
      <c r="AJ234" s="218">
        <f t="shared" si="84"/>
        <v>390.00000000000006</v>
      </c>
      <c r="AK234" s="197">
        <f t="shared" si="118"/>
        <v>6.0930617977437734E-2</v>
      </c>
      <c r="AL234" s="197">
        <f t="shared" si="119"/>
        <v>9.6203707235237593E-2</v>
      </c>
      <c r="AM234" s="197">
        <f t="shared" si="120"/>
        <v>4.0790371867740751E-3</v>
      </c>
      <c r="AN234" s="197">
        <f t="shared" si="85"/>
        <v>24.05</v>
      </c>
      <c r="AO234" s="197">
        <f t="shared" si="86"/>
        <v>21.69</v>
      </c>
      <c r="AP234" s="197">
        <f t="shared" si="121"/>
        <v>7.4093290390420161E-2</v>
      </c>
      <c r="AQ234" s="197">
        <f t="shared" si="122"/>
        <v>0.42250439890466829</v>
      </c>
      <c r="AR234" s="197">
        <f t="shared" si="123"/>
        <v>0.30589509873355925</v>
      </c>
      <c r="AS234" s="258">
        <f t="shared" si="124"/>
        <v>0.15228632177729159</v>
      </c>
      <c r="AT234" s="197">
        <f t="shared" si="87"/>
        <v>2.5974058656511614E-4</v>
      </c>
      <c r="AU234" s="194">
        <f t="shared" si="88"/>
        <v>21.19</v>
      </c>
      <c r="AV234" s="197">
        <f t="shared" si="89"/>
        <v>2.7E-2</v>
      </c>
      <c r="AW234" s="197">
        <f t="shared" si="90"/>
        <v>3.4260000000000002E-3</v>
      </c>
      <c r="AX234" s="197">
        <f t="shared" si="125"/>
        <v>6.1668000000000001E-2</v>
      </c>
      <c r="AY234" s="197">
        <f t="shared" si="91"/>
        <v>2.8867476000000005E-3</v>
      </c>
      <c r="AZ234" s="197">
        <f t="shared" si="92"/>
        <v>0</v>
      </c>
      <c r="BA234" s="197">
        <f t="shared" si="126"/>
        <v>7.2596940000000013E-2</v>
      </c>
      <c r="BB234" s="258">
        <f t="shared" si="93"/>
        <v>0.36575210336206115</v>
      </c>
      <c r="BC234" s="197">
        <f t="shared" si="94"/>
        <v>2.2380490766334034E-2</v>
      </c>
      <c r="BD234" s="197">
        <f t="shared" si="127"/>
        <v>4.4760981532668068E-3</v>
      </c>
      <c r="BE234" s="197">
        <f t="shared" si="128"/>
        <v>2.6856588919600841E-2</v>
      </c>
      <c r="BF234" s="197">
        <f t="shared" si="95"/>
        <v>0.20773291256157633</v>
      </c>
      <c r="BG234" s="197">
        <f t="shared" si="96"/>
        <v>5.4608303342508187E-4</v>
      </c>
      <c r="BH234" s="197">
        <f t="shared" si="97"/>
        <v>3.5336687086656722E-2</v>
      </c>
      <c r="BI234" s="197">
        <f t="shared" si="129"/>
        <v>0.44730899017824427</v>
      </c>
      <c r="BJ234" s="197">
        <f t="shared" si="98"/>
        <v>6.769615024661003</v>
      </c>
      <c r="BK234" s="288">
        <f t="shared" si="99"/>
        <v>0.93392401361838984</v>
      </c>
      <c r="BL234" s="197">
        <f t="shared" si="100"/>
        <v>0.37608972359227794</v>
      </c>
      <c r="BM234" s="197">
        <f t="shared" si="101"/>
        <v>7.4353030976985271E-2</v>
      </c>
      <c r="BN234" s="197">
        <f t="shared" si="102"/>
        <v>54.461181858619113</v>
      </c>
      <c r="BO234" s="197">
        <f t="shared" si="130"/>
        <v>0.2082789955950014</v>
      </c>
      <c r="BP234" s="197">
        <f t="shared" si="103"/>
        <v>65.620924669625111</v>
      </c>
      <c r="BQ234" s="197">
        <f t="shared" si="104"/>
        <v>9.9596940000000009E-2</v>
      </c>
      <c r="BR234" s="288">
        <f t="shared" si="105"/>
        <v>0.16008975919012108</v>
      </c>
      <c r="BS234" s="197">
        <f t="shared" si="106"/>
        <v>0.11660930017110901</v>
      </c>
      <c r="BT234" s="197">
        <f t="shared" si="107"/>
        <v>0.36419974881911377</v>
      </c>
      <c r="BU234" s="197">
        <f t="shared" si="108"/>
        <v>0.1713930788771201</v>
      </c>
      <c r="BV234" s="197">
        <f t="shared" si="109"/>
        <v>0.53530306917875781</v>
      </c>
      <c r="BW234" s="194"/>
      <c r="BX234" s="194"/>
      <c r="BY234" s="194"/>
      <c r="BZ234" s="194"/>
      <c r="CA234" s="194"/>
      <c r="CB234" s="194"/>
      <c r="CC234" s="194"/>
      <c r="CD234" s="194"/>
      <c r="CE234" s="194"/>
      <c r="CF234" s="194"/>
      <c r="CG234" s="194"/>
      <c r="CH234" s="194"/>
      <c r="CI234" s="194"/>
      <c r="CJ234" s="194"/>
      <c r="CK234" s="194"/>
      <c r="CL234" s="194"/>
      <c r="CM234" s="194"/>
      <c r="CN234" s="194"/>
      <c r="CO234" s="194"/>
      <c r="CP234" s="194"/>
      <c r="CQ234" s="194"/>
      <c r="CR234" s="194"/>
      <c r="CS234" s="194"/>
      <c r="CT234" s="194"/>
      <c r="CU234" s="194"/>
      <c r="CV234" s="194"/>
      <c r="CW234" s="194"/>
      <c r="CX234" s="194"/>
      <c r="CY234" s="194"/>
      <c r="CZ234" s="194"/>
      <c r="DA234" s="194"/>
      <c r="DB234" s="194"/>
      <c r="DC234" s="194"/>
      <c r="DD234" s="194"/>
      <c r="DE234" s="194"/>
      <c r="DF234" s="194"/>
    </row>
    <row r="235" spans="2:110" s="192" customFormat="1" hidden="1" x14ac:dyDescent="0.35">
      <c r="B235" s="289"/>
      <c r="C235" s="289"/>
      <c r="Q235" s="193"/>
      <c r="R235" s="194">
        <f t="shared" si="110"/>
        <v>18</v>
      </c>
      <c r="S235" s="197">
        <f t="shared" si="76"/>
        <v>0.3888888888888889</v>
      </c>
      <c r="T235" s="194">
        <f t="shared" si="131"/>
        <v>0.69</v>
      </c>
      <c r="U235" s="194">
        <f t="shared" si="132"/>
        <v>1.4999999999999999E-4</v>
      </c>
      <c r="V235" s="197">
        <f t="shared" si="111"/>
        <v>0.3888888888888889</v>
      </c>
      <c r="W235" s="197">
        <f t="shared" si="77"/>
        <v>4.3555555555555561E-3</v>
      </c>
      <c r="X235" s="286">
        <f t="shared" si="78"/>
        <v>1</v>
      </c>
      <c r="Y235" s="286">
        <f t="shared" si="79"/>
        <v>0.17335969315081967</v>
      </c>
      <c r="Z235" s="286">
        <f t="shared" si="80"/>
        <v>0.54964853345132902</v>
      </c>
      <c r="AA235" s="286">
        <f t="shared" si="112"/>
        <v>0.17335969315081967</v>
      </c>
      <c r="AB235" s="197">
        <f t="shared" si="81"/>
        <v>0.36419974881911377</v>
      </c>
      <c r="AC235" s="287">
        <f t="shared" si="82"/>
        <v>4.4451203372005044E-7</v>
      </c>
      <c r="AD235" s="197">
        <f t="shared" si="113"/>
        <v>11.693936048110356</v>
      </c>
      <c r="AE235" s="197">
        <f t="shared" si="114"/>
        <v>35.08180814433107</v>
      </c>
      <c r="AF235" s="197">
        <f t="shared" si="115"/>
        <v>8.5178571428571423E-2</v>
      </c>
      <c r="AG235" s="197">
        <f t="shared" si="116"/>
        <v>0.25553571428571431</v>
      </c>
      <c r="AH235" s="197">
        <f t="shared" si="83"/>
        <v>0.11660930017110901</v>
      </c>
      <c r="AI235" s="197">
        <f t="shared" si="117"/>
        <v>0.11660930017110901</v>
      </c>
      <c r="AJ235" s="218">
        <f t="shared" si="84"/>
        <v>390.00000000000006</v>
      </c>
      <c r="AK235" s="197">
        <f t="shared" si="118"/>
        <v>6.0930617977437734E-2</v>
      </c>
      <c r="AL235" s="197">
        <f t="shared" si="119"/>
        <v>9.6203707235237593E-2</v>
      </c>
      <c r="AM235" s="197">
        <f t="shared" si="120"/>
        <v>4.0790371867740751E-3</v>
      </c>
      <c r="AN235" s="197">
        <f t="shared" si="85"/>
        <v>24.05</v>
      </c>
      <c r="AO235" s="197">
        <f t="shared" si="86"/>
        <v>21.69</v>
      </c>
      <c r="AP235" s="197">
        <f t="shared" si="121"/>
        <v>7.4093290390420161E-2</v>
      </c>
      <c r="AQ235" s="197">
        <f t="shared" si="122"/>
        <v>0.42250439890466829</v>
      </c>
      <c r="AR235" s="197">
        <f t="shared" si="123"/>
        <v>0.30589509873355925</v>
      </c>
      <c r="AS235" s="258">
        <f t="shared" si="124"/>
        <v>0.15228632177729159</v>
      </c>
      <c r="AT235" s="197">
        <f t="shared" si="87"/>
        <v>2.5974058656511614E-4</v>
      </c>
      <c r="AU235" s="194">
        <f t="shared" si="88"/>
        <v>21.19</v>
      </c>
      <c r="AV235" s="197">
        <f t="shared" si="89"/>
        <v>2.7E-2</v>
      </c>
      <c r="AW235" s="197">
        <f t="shared" si="90"/>
        <v>3.4260000000000002E-3</v>
      </c>
      <c r="AX235" s="197">
        <f t="shared" si="125"/>
        <v>6.1668000000000001E-2</v>
      </c>
      <c r="AY235" s="197">
        <f t="shared" si="91"/>
        <v>2.8867476000000005E-3</v>
      </c>
      <c r="AZ235" s="197">
        <f t="shared" si="92"/>
        <v>0</v>
      </c>
      <c r="BA235" s="197">
        <f t="shared" si="126"/>
        <v>7.2596940000000013E-2</v>
      </c>
      <c r="BB235" s="258">
        <f t="shared" si="93"/>
        <v>0.36575210336206115</v>
      </c>
      <c r="BC235" s="197">
        <f t="shared" si="94"/>
        <v>2.2380490766334034E-2</v>
      </c>
      <c r="BD235" s="197">
        <f t="shared" si="127"/>
        <v>4.4760981532668068E-3</v>
      </c>
      <c r="BE235" s="197">
        <f t="shared" si="128"/>
        <v>2.6856588919600841E-2</v>
      </c>
      <c r="BF235" s="197">
        <f t="shared" si="95"/>
        <v>0.20773291256157633</v>
      </c>
      <c r="BG235" s="197">
        <f t="shared" si="96"/>
        <v>5.4608303342508187E-4</v>
      </c>
      <c r="BH235" s="197">
        <f t="shared" si="97"/>
        <v>3.5336687086656722E-2</v>
      </c>
      <c r="BI235" s="197">
        <f t="shared" si="129"/>
        <v>0.44730899017824427</v>
      </c>
      <c r="BJ235" s="197">
        <f t="shared" si="98"/>
        <v>6.769615024661003</v>
      </c>
      <c r="BK235" s="288">
        <f t="shared" si="99"/>
        <v>0.93392401361838984</v>
      </c>
      <c r="BL235" s="197">
        <f t="shared" si="100"/>
        <v>0.37608972359227794</v>
      </c>
      <c r="BM235" s="197">
        <f t="shared" si="101"/>
        <v>7.4353030976985271E-2</v>
      </c>
      <c r="BN235" s="197">
        <f t="shared" si="102"/>
        <v>54.461181858619113</v>
      </c>
      <c r="BO235" s="197">
        <f t="shared" si="130"/>
        <v>0.2082789955950014</v>
      </c>
      <c r="BP235" s="197">
        <f t="shared" si="103"/>
        <v>65.620924669625111</v>
      </c>
      <c r="BQ235" s="197">
        <f t="shared" si="104"/>
        <v>9.9596940000000009E-2</v>
      </c>
      <c r="BR235" s="288">
        <f t="shared" si="105"/>
        <v>0.16008975919012108</v>
      </c>
      <c r="BS235" s="197">
        <f t="shared" si="106"/>
        <v>0.11660930017110901</v>
      </c>
      <c r="BT235" s="197">
        <f t="shared" si="107"/>
        <v>0.36419974881911377</v>
      </c>
      <c r="BU235" s="197">
        <f t="shared" si="108"/>
        <v>0.1713930788771201</v>
      </c>
      <c r="BV235" s="197">
        <f t="shared" si="109"/>
        <v>0.53530306917875781</v>
      </c>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row>
    <row r="236" spans="2:110" s="192" customFormat="1" hidden="1" x14ac:dyDescent="0.35">
      <c r="B236" s="289"/>
      <c r="C236" s="289"/>
      <c r="Q236" s="193"/>
      <c r="R236" s="194">
        <f t="shared" si="110"/>
        <v>18</v>
      </c>
      <c r="S236" s="197">
        <f t="shared" si="76"/>
        <v>0.3888888888888889</v>
      </c>
      <c r="T236" s="194">
        <f t="shared" si="131"/>
        <v>0.69</v>
      </c>
      <c r="U236" s="194">
        <f t="shared" si="132"/>
        <v>1.4999999999999999E-4</v>
      </c>
      <c r="V236" s="197">
        <f t="shared" si="111"/>
        <v>0.3888888888888889</v>
      </c>
      <c r="W236" s="197">
        <f t="shared" si="77"/>
        <v>4.3555555555555561E-3</v>
      </c>
      <c r="X236" s="286">
        <f t="shared" si="78"/>
        <v>1</v>
      </c>
      <c r="Y236" s="286">
        <f t="shared" si="79"/>
        <v>0.17335969315081967</v>
      </c>
      <c r="Z236" s="286">
        <f t="shared" si="80"/>
        <v>0.54964853345132902</v>
      </c>
      <c r="AA236" s="286">
        <f t="shared" si="112"/>
        <v>0.17335969315081967</v>
      </c>
      <c r="AB236" s="197">
        <f t="shared" si="81"/>
        <v>0.36419974881911377</v>
      </c>
      <c r="AC236" s="287">
        <f t="shared" si="82"/>
        <v>4.4451203372005044E-7</v>
      </c>
      <c r="AD236" s="197">
        <f t="shared" si="113"/>
        <v>11.693936048110356</v>
      </c>
      <c r="AE236" s="197">
        <f t="shared" si="114"/>
        <v>35.08180814433107</v>
      </c>
      <c r="AF236" s="197">
        <f t="shared" si="115"/>
        <v>8.5178571428571423E-2</v>
      </c>
      <c r="AG236" s="197">
        <f t="shared" si="116"/>
        <v>0.25553571428571431</v>
      </c>
      <c r="AH236" s="197">
        <f t="shared" si="83"/>
        <v>0.11660930017110901</v>
      </c>
      <c r="AI236" s="197">
        <f t="shared" si="117"/>
        <v>0.11660930017110901</v>
      </c>
      <c r="AJ236" s="218">
        <f t="shared" si="84"/>
        <v>390.00000000000006</v>
      </c>
      <c r="AK236" s="197">
        <f t="shared" si="118"/>
        <v>6.0930617977437734E-2</v>
      </c>
      <c r="AL236" s="197">
        <f t="shared" si="119"/>
        <v>9.6203707235237593E-2</v>
      </c>
      <c r="AM236" s="197">
        <f t="shared" si="120"/>
        <v>4.0790371867740751E-3</v>
      </c>
      <c r="AN236" s="197">
        <f t="shared" si="85"/>
        <v>24.05</v>
      </c>
      <c r="AO236" s="197">
        <f t="shared" si="86"/>
        <v>21.69</v>
      </c>
      <c r="AP236" s="197">
        <f t="shared" si="121"/>
        <v>7.4093290390420161E-2</v>
      </c>
      <c r="AQ236" s="197">
        <f t="shared" si="122"/>
        <v>0.42250439890466829</v>
      </c>
      <c r="AR236" s="197">
        <f t="shared" si="123"/>
        <v>0.30589509873355925</v>
      </c>
      <c r="AS236" s="258">
        <f t="shared" si="124"/>
        <v>0.15228632177729159</v>
      </c>
      <c r="AT236" s="197">
        <f t="shared" si="87"/>
        <v>2.5974058656511614E-4</v>
      </c>
      <c r="AU236" s="194">
        <f t="shared" si="88"/>
        <v>21.19</v>
      </c>
      <c r="AV236" s="197">
        <f t="shared" si="89"/>
        <v>2.7E-2</v>
      </c>
      <c r="AW236" s="197">
        <f t="shared" si="90"/>
        <v>3.4260000000000002E-3</v>
      </c>
      <c r="AX236" s="197">
        <f t="shared" si="125"/>
        <v>6.1668000000000001E-2</v>
      </c>
      <c r="AY236" s="197">
        <f t="shared" si="91"/>
        <v>2.8867476000000005E-3</v>
      </c>
      <c r="AZ236" s="197">
        <f t="shared" si="92"/>
        <v>0</v>
      </c>
      <c r="BA236" s="197">
        <f t="shared" si="126"/>
        <v>7.2596940000000013E-2</v>
      </c>
      <c r="BB236" s="258">
        <f t="shared" si="93"/>
        <v>0.36575210336206115</v>
      </c>
      <c r="BC236" s="197">
        <f t="shared" si="94"/>
        <v>2.2380490766334034E-2</v>
      </c>
      <c r="BD236" s="197">
        <f t="shared" si="127"/>
        <v>4.4760981532668068E-3</v>
      </c>
      <c r="BE236" s="197">
        <f t="shared" si="128"/>
        <v>2.6856588919600841E-2</v>
      </c>
      <c r="BF236" s="197">
        <f t="shared" si="95"/>
        <v>0.20773291256157633</v>
      </c>
      <c r="BG236" s="197">
        <f t="shared" si="96"/>
        <v>5.4608303342508187E-4</v>
      </c>
      <c r="BH236" s="197">
        <f t="shared" si="97"/>
        <v>3.5336687086656722E-2</v>
      </c>
      <c r="BI236" s="197">
        <f t="shared" si="129"/>
        <v>0.44730899017824427</v>
      </c>
      <c r="BJ236" s="197">
        <f t="shared" si="98"/>
        <v>6.769615024661003</v>
      </c>
      <c r="BK236" s="288">
        <f t="shared" si="99"/>
        <v>0.93392401361838984</v>
      </c>
      <c r="BL236" s="197">
        <f t="shared" si="100"/>
        <v>0.37608972359227794</v>
      </c>
      <c r="BM236" s="197">
        <f t="shared" si="101"/>
        <v>7.4353030976985271E-2</v>
      </c>
      <c r="BN236" s="197">
        <f t="shared" si="102"/>
        <v>54.461181858619113</v>
      </c>
      <c r="BO236" s="197">
        <f t="shared" si="130"/>
        <v>0.2082789955950014</v>
      </c>
      <c r="BP236" s="197">
        <f t="shared" si="103"/>
        <v>65.620924669625111</v>
      </c>
      <c r="BQ236" s="197">
        <f t="shared" si="104"/>
        <v>9.9596940000000009E-2</v>
      </c>
      <c r="BR236" s="288">
        <f t="shared" si="105"/>
        <v>0.16008975919012108</v>
      </c>
      <c r="BS236" s="197">
        <f t="shared" si="106"/>
        <v>0.11660930017110901</v>
      </c>
      <c r="BT236" s="197">
        <f t="shared" si="107"/>
        <v>0.36419974881911377</v>
      </c>
      <c r="BU236" s="197">
        <f t="shared" si="108"/>
        <v>0.1713930788771201</v>
      </c>
      <c r="BV236" s="197">
        <f t="shared" si="109"/>
        <v>0.53530306917875781</v>
      </c>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4"/>
      <c r="CZ236" s="194"/>
      <c r="DA236" s="194"/>
      <c r="DB236" s="194"/>
      <c r="DC236" s="194"/>
      <c r="DD236" s="194"/>
      <c r="DE236" s="194"/>
      <c r="DF236" s="194"/>
    </row>
    <row r="237" spans="2:110" s="192" customFormat="1" hidden="1" x14ac:dyDescent="0.35">
      <c r="B237" s="289"/>
      <c r="C237" s="289"/>
      <c r="Q237" s="193"/>
      <c r="R237" s="194">
        <f t="shared" si="110"/>
        <v>18</v>
      </c>
      <c r="S237" s="197">
        <f t="shared" si="76"/>
        <v>0.3888888888888889</v>
      </c>
      <c r="T237" s="194">
        <f t="shared" si="131"/>
        <v>0.69</v>
      </c>
      <c r="U237" s="194">
        <f t="shared" si="132"/>
        <v>1.4999999999999999E-4</v>
      </c>
      <c r="V237" s="197">
        <f t="shared" si="111"/>
        <v>0.3888888888888889</v>
      </c>
      <c r="W237" s="197">
        <f t="shared" si="77"/>
        <v>4.3555555555555561E-3</v>
      </c>
      <c r="X237" s="286">
        <f t="shared" si="78"/>
        <v>1</v>
      </c>
      <c r="Y237" s="286">
        <f t="shared" si="79"/>
        <v>0.17335969315081967</v>
      </c>
      <c r="Z237" s="286">
        <f t="shared" si="80"/>
        <v>0.54964853345132902</v>
      </c>
      <c r="AA237" s="286">
        <f t="shared" si="112"/>
        <v>0.17335969315081967</v>
      </c>
      <c r="AB237" s="197">
        <f t="shared" si="81"/>
        <v>0.36419974881911377</v>
      </c>
      <c r="AC237" s="287">
        <f t="shared" si="82"/>
        <v>4.4451203372005044E-7</v>
      </c>
      <c r="AD237" s="197">
        <f t="shared" si="113"/>
        <v>11.693936048110356</v>
      </c>
      <c r="AE237" s="197">
        <f t="shared" si="114"/>
        <v>35.08180814433107</v>
      </c>
      <c r="AF237" s="197">
        <f t="shared" si="115"/>
        <v>8.5178571428571423E-2</v>
      </c>
      <c r="AG237" s="197">
        <f t="shared" si="116"/>
        <v>0.25553571428571431</v>
      </c>
      <c r="AH237" s="197">
        <f t="shared" si="83"/>
        <v>0.11660930017110901</v>
      </c>
      <c r="AI237" s="197">
        <f t="shared" si="117"/>
        <v>0.11660930017110901</v>
      </c>
      <c r="AJ237" s="218">
        <f t="shared" si="84"/>
        <v>390.00000000000006</v>
      </c>
      <c r="AK237" s="197">
        <f t="shared" si="118"/>
        <v>6.0930617977437734E-2</v>
      </c>
      <c r="AL237" s="197">
        <f t="shared" si="119"/>
        <v>9.6203707235237593E-2</v>
      </c>
      <c r="AM237" s="197">
        <f t="shared" si="120"/>
        <v>4.0790371867740751E-3</v>
      </c>
      <c r="AN237" s="197">
        <f t="shared" si="85"/>
        <v>24.05</v>
      </c>
      <c r="AO237" s="197">
        <f t="shared" si="86"/>
        <v>21.69</v>
      </c>
      <c r="AP237" s="197">
        <f t="shared" si="121"/>
        <v>7.4093290390420161E-2</v>
      </c>
      <c r="AQ237" s="197">
        <f t="shared" si="122"/>
        <v>0.42250439890466829</v>
      </c>
      <c r="AR237" s="197">
        <f t="shared" si="123"/>
        <v>0.30589509873355925</v>
      </c>
      <c r="AS237" s="258">
        <f t="shared" si="124"/>
        <v>0.15228632177729159</v>
      </c>
      <c r="AT237" s="197">
        <f t="shared" si="87"/>
        <v>2.5974058656511614E-4</v>
      </c>
      <c r="AU237" s="194">
        <f t="shared" si="88"/>
        <v>21.19</v>
      </c>
      <c r="AV237" s="197">
        <f t="shared" si="89"/>
        <v>2.7E-2</v>
      </c>
      <c r="AW237" s="197">
        <f t="shared" si="90"/>
        <v>3.4260000000000002E-3</v>
      </c>
      <c r="AX237" s="197">
        <f t="shared" si="125"/>
        <v>6.1668000000000001E-2</v>
      </c>
      <c r="AY237" s="197">
        <f t="shared" si="91"/>
        <v>2.8867476000000005E-3</v>
      </c>
      <c r="AZ237" s="197">
        <f t="shared" si="92"/>
        <v>0</v>
      </c>
      <c r="BA237" s="197">
        <f t="shared" si="126"/>
        <v>7.2596940000000013E-2</v>
      </c>
      <c r="BB237" s="258">
        <f t="shared" si="93"/>
        <v>0.36575210336206115</v>
      </c>
      <c r="BC237" s="197">
        <f t="shared" si="94"/>
        <v>2.2380490766334034E-2</v>
      </c>
      <c r="BD237" s="197">
        <f t="shared" si="127"/>
        <v>4.4760981532668068E-3</v>
      </c>
      <c r="BE237" s="197">
        <f t="shared" si="128"/>
        <v>2.6856588919600841E-2</v>
      </c>
      <c r="BF237" s="197">
        <f t="shared" si="95"/>
        <v>0.20773291256157633</v>
      </c>
      <c r="BG237" s="197">
        <f t="shared" si="96"/>
        <v>5.4608303342508187E-4</v>
      </c>
      <c r="BH237" s="197">
        <f t="shared" si="97"/>
        <v>3.5336687086656722E-2</v>
      </c>
      <c r="BI237" s="197">
        <f t="shared" si="129"/>
        <v>0.44730899017824427</v>
      </c>
      <c r="BJ237" s="197">
        <f t="shared" si="98"/>
        <v>6.769615024661003</v>
      </c>
      <c r="BK237" s="288">
        <f t="shared" si="99"/>
        <v>0.93392401361838984</v>
      </c>
      <c r="BL237" s="197">
        <f t="shared" si="100"/>
        <v>0.37608972359227794</v>
      </c>
      <c r="BM237" s="197">
        <f t="shared" si="101"/>
        <v>7.4353030976985271E-2</v>
      </c>
      <c r="BN237" s="197">
        <f t="shared" si="102"/>
        <v>54.461181858619113</v>
      </c>
      <c r="BO237" s="197">
        <f t="shared" si="130"/>
        <v>0.2082789955950014</v>
      </c>
      <c r="BP237" s="197">
        <f t="shared" si="103"/>
        <v>65.620924669625111</v>
      </c>
      <c r="BQ237" s="197">
        <f t="shared" si="104"/>
        <v>9.9596940000000009E-2</v>
      </c>
      <c r="BR237" s="288">
        <f t="shared" si="105"/>
        <v>0.16008975919012108</v>
      </c>
      <c r="BS237" s="197">
        <f t="shared" si="106"/>
        <v>0.11660930017110901</v>
      </c>
      <c r="BT237" s="197">
        <f t="shared" si="107"/>
        <v>0.36419974881911377</v>
      </c>
      <c r="BU237" s="197">
        <f t="shared" si="108"/>
        <v>0.1713930788771201</v>
      </c>
      <c r="BV237" s="197">
        <f t="shared" si="109"/>
        <v>0.53530306917875781</v>
      </c>
      <c r="BW237" s="194"/>
      <c r="BX237" s="194"/>
      <c r="BY237" s="194"/>
      <c r="BZ237" s="194"/>
      <c r="CA237" s="194"/>
      <c r="CB237" s="194"/>
      <c r="CC237" s="194"/>
      <c r="CD237" s="194"/>
      <c r="CE237" s="194"/>
      <c r="CF237" s="194"/>
      <c r="CG237" s="194"/>
      <c r="CH237" s="194"/>
      <c r="CI237" s="194"/>
      <c r="CJ237" s="194"/>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row>
    <row r="238" spans="2:110" s="192" customFormat="1" hidden="1" x14ac:dyDescent="0.35">
      <c r="B238" s="289"/>
      <c r="C238" s="289"/>
      <c r="Q238" s="193"/>
      <c r="R238" s="194">
        <f t="shared" si="110"/>
        <v>18</v>
      </c>
      <c r="S238" s="197">
        <f t="shared" si="76"/>
        <v>0.3888888888888889</v>
      </c>
      <c r="T238" s="194">
        <f t="shared" si="131"/>
        <v>0.69</v>
      </c>
      <c r="U238" s="194">
        <f t="shared" si="132"/>
        <v>1.4999999999999999E-4</v>
      </c>
      <c r="V238" s="197">
        <f t="shared" si="111"/>
        <v>0.3888888888888889</v>
      </c>
      <c r="W238" s="197">
        <f t="shared" si="77"/>
        <v>4.3555555555555561E-3</v>
      </c>
      <c r="X238" s="286">
        <f t="shared" si="78"/>
        <v>1</v>
      </c>
      <c r="Y238" s="286">
        <f t="shared" si="79"/>
        <v>0.17335969315081967</v>
      </c>
      <c r="Z238" s="286">
        <f t="shared" si="80"/>
        <v>0.54964853345132902</v>
      </c>
      <c r="AA238" s="286">
        <f t="shared" si="112"/>
        <v>0.17335969315081967</v>
      </c>
      <c r="AB238" s="197">
        <f t="shared" si="81"/>
        <v>0.36419974881911377</v>
      </c>
      <c r="AC238" s="287">
        <f t="shared" si="82"/>
        <v>4.4451203372005044E-7</v>
      </c>
      <c r="AD238" s="197">
        <f t="shared" si="113"/>
        <v>11.693936048110356</v>
      </c>
      <c r="AE238" s="197">
        <f t="shared" si="114"/>
        <v>35.08180814433107</v>
      </c>
      <c r="AF238" s="197">
        <f t="shared" si="115"/>
        <v>8.5178571428571423E-2</v>
      </c>
      <c r="AG238" s="197">
        <f t="shared" si="116"/>
        <v>0.25553571428571431</v>
      </c>
      <c r="AH238" s="197">
        <f t="shared" si="83"/>
        <v>0.11660930017110901</v>
      </c>
      <c r="AI238" s="197">
        <f t="shared" si="117"/>
        <v>0.11660930017110901</v>
      </c>
      <c r="AJ238" s="218">
        <f t="shared" si="84"/>
        <v>390.00000000000006</v>
      </c>
      <c r="AK238" s="197">
        <f t="shared" si="118"/>
        <v>6.0930617977437734E-2</v>
      </c>
      <c r="AL238" s="197">
        <f t="shared" si="119"/>
        <v>9.6203707235237593E-2</v>
      </c>
      <c r="AM238" s="197">
        <f t="shared" si="120"/>
        <v>4.0790371867740751E-3</v>
      </c>
      <c r="AN238" s="197">
        <f t="shared" si="85"/>
        <v>24.05</v>
      </c>
      <c r="AO238" s="197">
        <f t="shared" si="86"/>
        <v>21.69</v>
      </c>
      <c r="AP238" s="197">
        <f t="shared" si="121"/>
        <v>7.4093290390420161E-2</v>
      </c>
      <c r="AQ238" s="197">
        <f t="shared" si="122"/>
        <v>0.42250439890466829</v>
      </c>
      <c r="AR238" s="197">
        <f t="shared" si="123"/>
        <v>0.30589509873355925</v>
      </c>
      <c r="AS238" s="258">
        <f t="shared" si="124"/>
        <v>0.15228632177729159</v>
      </c>
      <c r="AT238" s="197">
        <f t="shared" si="87"/>
        <v>2.5974058656511614E-4</v>
      </c>
      <c r="AU238" s="194">
        <f t="shared" si="88"/>
        <v>21.19</v>
      </c>
      <c r="AV238" s="197">
        <f t="shared" si="89"/>
        <v>2.7E-2</v>
      </c>
      <c r="AW238" s="197">
        <f t="shared" si="90"/>
        <v>3.4260000000000002E-3</v>
      </c>
      <c r="AX238" s="197">
        <f t="shared" si="125"/>
        <v>6.1668000000000001E-2</v>
      </c>
      <c r="AY238" s="197">
        <f t="shared" si="91"/>
        <v>2.8867476000000005E-3</v>
      </c>
      <c r="AZ238" s="197">
        <f t="shared" si="92"/>
        <v>0</v>
      </c>
      <c r="BA238" s="197">
        <f t="shared" si="126"/>
        <v>7.2596940000000013E-2</v>
      </c>
      <c r="BB238" s="258">
        <f t="shared" si="93"/>
        <v>0.36575210336206115</v>
      </c>
      <c r="BC238" s="197">
        <f t="shared" si="94"/>
        <v>2.2380490766334034E-2</v>
      </c>
      <c r="BD238" s="197">
        <f t="shared" si="127"/>
        <v>4.4760981532668068E-3</v>
      </c>
      <c r="BE238" s="197">
        <f t="shared" si="128"/>
        <v>2.6856588919600841E-2</v>
      </c>
      <c r="BF238" s="197">
        <f t="shared" si="95"/>
        <v>0.20773291256157633</v>
      </c>
      <c r="BG238" s="197">
        <f t="shared" si="96"/>
        <v>5.4608303342508187E-4</v>
      </c>
      <c r="BH238" s="197">
        <f t="shared" si="97"/>
        <v>3.5336687086656722E-2</v>
      </c>
      <c r="BI238" s="197">
        <f t="shared" si="129"/>
        <v>0.44730899017824427</v>
      </c>
      <c r="BJ238" s="197">
        <f t="shared" si="98"/>
        <v>6.769615024661003</v>
      </c>
      <c r="BK238" s="288">
        <f t="shared" si="99"/>
        <v>0.93392401361838984</v>
      </c>
      <c r="BL238" s="197">
        <f t="shared" si="100"/>
        <v>0.37608972359227794</v>
      </c>
      <c r="BM238" s="197">
        <f t="shared" si="101"/>
        <v>7.4353030976985271E-2</v>
      </c>
      <c r="BN238" s="197">
        <f t="shared" si="102"/>
        <v>54.461181858619113</v>
      </c>
      <c r="BO238" s="197">
        <f t="shared" si="130"/>
        <v>0.2082789955950014</v>
      </c>
      <c r="BP238" s="197">
        <f t="shared" si="103"/>
        <v>65.620924669625111</v>
      </c>
      <c r="BQ238" s="197">
        <f t="shared" si="104"/>
        <v>9.9596940000000009E-2</v>
      </c>
      <c r="BR238" s="288">
        <f t="shared" si="105"/>
        <v>0.16008975919012108</v>
      </c>
      <c r="BS238" s="197">
        <f t="shared" si="106"/>
        <v>0.11660930017110901</v>
      </c>
      <c r="BT238" s="197">
        <f t="shared" si="107"/>
        <v>0.36419974881911377</v>
      </c>
      <c r="BU238" s="197">
        <f t="shared" si="108"/>
        <v>0.1713930788771201</v>
      </c>
      <c r="BV238" s="197">
        <f t="shared" si="109"/>
        <v>0.53530306917875781</v>
      </c>
      <c r="BW238" s="194"/>
      <c r="BX238" s="194"/>
      <c r="BY238" s="194"/>
      <c r="BZ238" s="194"/>
      <c r="CA238" s="194"/>
      <c r="CB238" s="194"/>
      <c r="CC238" s="194"/>
      <c r="CD238" s="194"/>
      <c r="CE238" s="194"/>
      <c r="CF238" s="194"/>
      <c r="CG238" s="194"/>
      <c r="CH238" s="194"/>
      <c r="CI238" s="194"/>
      <c r="CJ238" s="194"/>
      <c r="CK238" s="194"/>
      <c r="CL238" s="194"/>
      <c r="CM238" s="194"/>
      <c r="CN238" s="194"/>
      <c r="CO238" s="194"/>
      <c r="CP238" s="194"/>
      <c r="CQ238" s="194"/>
      <c r="CR238" s="194"/>
      <c r="CS238" s="194"/>
      <c r="CT238" s="194"/>
      <c r="CU238" s="194"/>
      <c r="CV238" s="194"/>
      <c r="CW238" s="194"/>
      <c r="CX238" s="194"/>
      <c r="CY238" s="194"/>
      <c r="CZ238" s="194"/>
      <c r="DA238" s="194"/>
      <c r="DB238" s="194"/>
      <c r="DC238" s="194"/>
      <c r="DD238" s="194"/>
      <c r="DE238" s="194"/>
      <c r="DF238" s="194"/>
    </row>
    <row r="239" spans="2:110" s="192" customFormat="1" hidden="1" x14ac:dyDescent="0.35">
      <c r="B239" s="289"/>
      <c r="C239" s="289"/>
      <c r="Q239" s="193"/>
      <c r="R239" s="194">
        <f t="shared" si="110"/>
        <v>18</v>
      </c>
      <c r="S239" s="197">
        <f t="shared" si="76"/>
        <v>0.3888888888888889</v>
      </c>
      <c r="T239" s="194">
        <f t="shared" si="131"/>
        <v>0.69</v>
      </c>
      <c r="U239" s="194">
        <f t="shared" si="132"/>
        <v>1.4999999999999999E-4</v>
      </c>
      <c r="V239" s="197">
        <f t="shared" si="111"/>
        <v>0.3888888888888889</v>
      </c>
      <c r="W239" s="197">
        <f t="shared" si="77"/>
        <v>4.3555555555555561E-3</v>
      </c>
      <c r="X239" s="286">
        <f t="shared" si="78"/>
        <v>1</v>
      </c>
      <c r="Y239" s="286">
        <f t="shared" si="79"/>
        <v>0.17335969315081967</v>
      </c>
      <c r="Z239" s="286">
        <f t="shared" si="80"/>
        <v>0.54964853345132902</v>
      </c>
      <c r="AA239" s="286">
        <f t="shared" si="112"/>
        <v>0.17335969315081967</v>
      </c>
      <c r="AB239" s="197">
        <f t="shared" si="81"/>
        <v>0.36419974881911377</v>
      </c>
      <c r="AC239" s="287">
        <f t="shared" si="82"/>
        <v>4.4451203372005044E-7</v>
      </c>
      <c r="AD239" s="197">
        <f t="shared" si="113"/>
        <v>11.693936048110356</v>
      </c>
      <c r="AE239" s="197">
        <f t="shared" si="114"/>
        <v>35.08180814433107</v>
      </c>
      <c r="AF239" s="197">
        <f t="shared" si="115"/>
        <v>8.5178571428571423E-2</v>
      </c>
      <c r="AG239" s="197">
        <f t="shared" si="116"/>
        <v>0.25553571428571431</v>
      </c>
      <c r="AH239" s="197">
        <f t="shared" si="83"/>
        <v>0.11660930017110901</v>
      </c>
      <c r="AI239" s="197">
        <f t="shared" si="117"/>
        <v>0.11660930017110901</v>
      </c>
      <c r="AJ239" s="218">
        <f t="shared" si="84"/>
        <v>390.00000000000006</v>
      </c>
      <c r="AK239" s="197">
        <f t="shared" si="118"/>
        <v>6.0930617977437734E-2</v>
      </c>
      <c r="AL239" s="197">
        <f t="shared" si="119"/>
        <v>9.6203707235237593E-2</v>
      </c>
      <c r="AM239" s="197">
        <f t="shared" si="120"/>
        <v>4.0790371867740751E-3</v>
      </c>
      <c r="AN239" s="197">
        <f t="shared" si="85"/>
        <v>24.05</v>
      </c>
      <c r="AO239" s="197">
        <f t="shared" si="86"/>
        <v>21.69</v>
      </c>
      <c r="AP239" s="197">
        <f t="shared" si="121"/>
        <v>7.4093290390420161E-2</v>
      </c>
      <c r="AQ239" s="197">
        <f t="shared" si="122"/>
        <v>0.42250439890466829</v>
      </c>
      <c r="AR239" s="197">
        <f t="shared" si="123"/>
        <v>0.30589509873355925</v>
      </c>
      <c r="AS239" s="258">
        <f t="shared" si="124"/>
        <v>0.15228632177729159</v>
      </c>
      <c r="AT239" s="197">
        <f t="shared" si="87"/>
        <v>2.5974058656511614E-4</v>
      </c>
      <c r="AU239" s="194">
        <f t="shared" si="88"/>
        <v>21.19</v>
      </c>
      <c r="AV239" s="197">
        <f t="shared" si="89"/>
        <v>2.7E-2</v>
      </c>
      <c r="AW239" s="197">
        <f t="shared" si="90"/>
        <v>3.4260000000000002E-3</v>
      </c>
      <c r="AX239" s="197">
        <f t="shared" si="125"/>
        <v>6.1668000000000001E-2</v>
      </c>
      <c r="AY239" s="197">
        <f t="shared" si="91"/>
        <v>2.8867476000000005E-3</v>
      </c>
      <c r="AZ239" s="197">
        <f t="shared" si="92"/>
        <v>0</v>
      </c>
      <c r="BA239" s="197">
        <f t="shared" si="126"/>
        <v>7.2596940000000013E-2</v>
      </c>
      <c r="BB239" s="258">
        <f t="shared" si="93"/>
        <v>0.36575210336206115</v>
      </c>
      <c r="BC239" s="197">
        <f t="shared" si="94"/>
        <v>2.2380490766334034E-2</v>
      </c>
      <c r="BD239" s="197">
        <f t="shared" si="127"/>
        <v>4.4760981532668068E-3</v>
      </c>
      <c r="BE239" s="197">
        <f t="shared" si="128"/>
        <v>2.6856588919600841E-2</v>
      </c>
      <c r="BF239" s="197">
        <f t="shared" si="95"/>
        <v>0.20773291256157633</v>
      </c>
      <c r="BG239" s="197">
        <f t="shared" si="96"/>
        <v>5.4608303342508187E-4</v>
      </c>
      <c r="BH239" s="197">
        <f t="shared" si="97"/>
        <v>3.5336687086656722E-2</v>
      </c>
      <c r="BI239" s="197">
        <f t="shared" si="129"/>
        <v>0.44730899017824427</v>
      </c>
      <c r="BJ239" s="197">
        <f t="shared" si="98"/>
        <v>6.769615024661003</v>
      </c>
      <c r="BK239" s="288">
        <f t="shared" si="99"/>
        <v>0.93392401361838984</v>
      </c>
      <c r="BL239" s="197">
        <f t="shared" si="100"/>
        <v>0.37608972359227794</v>
      </c>
      <c r="BM239" s="197">
        <f t="shared" si="101"/>
        <v>7.4353030976985271E-2</v>
      </c>
      <c r="BN239" s="197">
        <f t="shared" si="102"/>
        <v>54.461181858619113</v>
      </c>
      <c r="BO239" s="197">
        <f t="shared" si="130"/>
        <v>0.2082789955950014</v>
      </c>
      <c r="BP239" s="197">
        <f t="shared" si="103"/>
        <v>65.620924669625111</v>
      </c>
      <c r="BQ239" s="197">
        <f t="shared" si="104"/>
        <v>9.9596940000000009E-2</v>
      </c>
      <c r="BR239" s="288">
        <f t="shared" si="105"/>
        <v>0.16008975919012108</v>
      </c>
      <c r="BS239" s="197">
        <f t="shared" si="106"/>
        <v>0.11660930017110901</v>
      </c>
      <c r="BT239" s="197">
        <f t="shared" si="107"/>
        <v>0.36419974881911377</v>
      </c>
      <c r="BU239" s="197">
        <f t="shared" si="108"/>
        <v>0.1713930788771201</v>
      </c>
      <c r="BV239" s="197">
        <f t="shared" si="109"/>
        <v>0.53530306917875781</v>
      </c>
      <c r="BW239" s="194"/>
      <c r="BX239" s="194"/>
      <c r="BY239" s="194"/>
      <c r="BZ239" s="194"/>
      <c r="CA239" s="194"/>
      <c r="CB239" s="194"/>
      <c r="CC239" s="194"/>
      <c r="CD239" s="194"/>
      <c r="CE239" s="194"/>
      <c r="CF239" s="194"/>
      <c r="CG239" s="194"/>
      <c r="CH239" s="194"/>
      <c r="CI239" s="194"/>
      <c r="CJ239" s="194"/>
      <c r="CK239" s="194"/>
      <c r="CL239" s="194"/>
      <c r="CM239" s="194"/>
      <c r="CN239" s="194"/>
      <c r="CO239" s="194"/>
      <c r="CP239" s="194"/>
      <c r="CQ239" s="194"/>
      <c r="CR239" s="194"/>
      <c r="CS239" s="194"/>
      <c r="CT239" s="194"/>
      <c r="CU239" s="194"/>
      <c r="CV239" s="194"/>
      <c r="CW239" s="194"/>
      <c r="CX239" s="194"/>
      <c r="CY239" s="194"/>
      <c r="CZ239" s="194"/>
      <c r="DA239" s="194"/>
      <c r="DB239" s="194"/>
      <c r="DC239" s="194"/>
      <c r="DD239" s="194"/>
      <c r="DE239" s="194"/>
      <c r="DF239" s="194"/>
    </row>
    <row r="240" spans="2:110" s="192" customFormat="1" hidden="1" x14ac:dyDescent="0.35">
      <c r="B240" s="289"/>
      <c r="C240" s="289"/>
      <c r="Q240" s="193"/>
      <c r="R240" s="194">
        <f t="shared" si="110"/>
        <v>18</v>
      </c>
      <c r="S240" s="197">
        <f t="shared" si="76"/>
        <v>0.3888888888888889</v>
      </c>
      <c r="T240" s="194">
        <f t="shared" si="131"/>
        <v>0.69</v>
      </c>
      <c r="U240" s="194">
        <f t="shared" si="132"/>
        <v>1.4999999999999999E-4</v>
      </c>
      <c r="V240" s="197">
        <f t="shared" si="111"/>
        <v>0.3888888888888889</v>
      </c>
      <c r="W240" s="197">
        <f t="shared" si="77"/>
        <v>4.3555555555555561E-3</v>
      </c>
      <c r="X240" s="286">
        <f t="shared" si="78"/>
        <v>1</v>
      </c>
      <c r="Y240" s="286">
        <f t="shared" si="79"/>
        <v>0.17335969315081967</v>
      </c>
      <c r="Z240" s="286">
        <f t="shared" si="80"/>
        <v>0.54964853345132902</v>
      </c>
      <c r="AA240" s="286">
        <f t="shared" si="112"/>
        <v>0.17335969315081967</v>
      </c>
      <c r="AB240" s="197">
        <f t="shared" si="81"/>
        <v>0.36419974881911377</v>
      </c>
      <c r="AC240" s="287">
        <f t="shared" si="82"/>
        <v>4.4451203372005044E-7</v>
      </c>
      <c r="AD240" s="197">
        <f t="shared" si="113"/>
        <v>11.693936048110356</v>
      </c>
      <c r="AE240" s="197">
        <f t="shared" si="114"/>
        <v>35.08180814433107</v>
      </c>
      <c r="AF240" s="197">
        <f t="shared" si="115"/>
        <v>8.5178571428571423E-2</v>
      </c>
      <c r="AG240" s="197">
        <f t="shared" si="116"/>
        <v>0.25553571428571431</v>
      </c>
      <c r="AH240" s="197">
        <f t="shared" si="83"/>
        <v>0.11660930017110901</v>
      </c>
      <c r="AI240" s="197">
        <f t="shared" si="117"/>
        <v>0.11660930017110901</v>
      </c>
      <c r="AJ240" s="218">
        <f t="shared" si="84"/>
        <v>390.00000000000006</v>
      </c>
      <c r="AK240" s="197">
        <f t="shared" si="118"/>
        <v>6.0930617977437734E-2</v>
      </c>
      <c r="AL240" s="197">
        <f t="shared" si="119"/>
        <v>9.6203707235237593E-2</v>
      </c>
      <c r="AM240" s="197">
        <f t="shared" si="120"/>
        <v>4.0790371867740751E-3</v>
      </c>
      <c r="AN240" s="197">
        <f t="shared" si="85"/>
        <v>24.05</v>
      </c>
      <c r="AO240" s="197">
        <f t="shared" si="86"/>
        <v>21.69</v>
      </c>
      <c r="AP240" s="197">
        <f t="shared" si="121"/>
        <v>7.4093290390420161E-2</v>
      </c>
      <c r="AQ240" s="197">
        <f t="shared" si="122"/>
        <v>0.42250439890466829</v>
      </c>
      <c r="AR240" s="197">
        <f t="shared" si="123"/>
        <v>0.30589509873355925</v>
      </c>
      <c r="AS240" s="258">
        <f t="shared" si="124"/>
        <v>0.15228632177729159</v>
      </c>
      <c r="AT240" s="197">
        <f t="shared" si="87"/>
        <v>2.5974058656511614E-4</v>
      </c>
      <c r="AU240" s="194">
        <f t="shared" si="88"/>
        <v>21.19</v>
      </c>
      <c r="AV240" s="197">
        <f t="shared" si="89"/>
        <v>2.7E-2</v>
      </c>
      <c r="AW240" s="197">
        <f t="shared" si="90"/>
        <v>3.4260000000000002E-3</v>
      </c>
      <c r="AX240" s="197">
        <f t="shared" si="125"/>
        <v>6.1668000000000001E-2</v>
      </c>
      <c r="AY240" s="197">
        <f t="shared" si="91"/>
        <v>2.8867476000000005E-3</v>
      </c>
      <c r="AZ240" s="197">
        <f t="shared" si="92"/>
        <v>0</v>
      </c>
      <c r="BA240" s="197">
        <f t="shared" si="126"/>
        <v>7.2596940000000013E-2</v>
      </c>
      <c r="BB240" s="258">
        <f t="shared" si="93"/>
        <v>0.36575210336206115</v>
      </c>
      <c r="BC240" s="197">
        <f t="shared" si="94"/>
        <v>2.2380490766334034E-2</v>
      </c>
      <c r="BD240" s="197">
        <f t="shared" si="127"/>
        <v>4.4760981532668068E-3</v>
      </c>
      <c r="BE240" s="197">
        <f t="shared" si="128"/>
        <v>2.6856588919600841E-2</v>
      </c>
      <c r="BF240" s="197">
        <f t="shared" si="95"/>
        <v>0.20773291256157633</v>
      </c>
      <c r="BG240" s="197">
        <f t="shared" si="96"/>
        <v>5.4608303342508187E-4</v>
      </c>
      <c r="BH240" s="197">
        <f t="shared" si="97"/>
        <v>3.5336687086656722E-2</v>
      </c>
      <c r="BI240" s="197">
        <f t="shared" si="129"/>
        <v>0.44730899017824427</v>
      </c>
      <c r="BJ240" s="197">
        <f t="shared" si="98"/>
        <v>6.769615024661003</v>
      </c>
      <c r="BK240" s="288">
        <f t="shared" si="99"/>
        <v>0.93392401361838984</v>
      </c>
      <c r="BL240" s="197">
        <f t="shared" si="100"/>
        <v>0.37608972359227794</v>
      </c>
      <c r="BM240" s="197">
        <f t="shared" si="101"/>
        <v>7.4353030976985271E-2</v>
      </c>
      <c r="BN240" s="197">
        <f t="shared" si="102"/>
        <v>54.461181858619113</v>
      </c>
      <c r="BO240" s="197">
        <f t="shared" si="130"/>
        <v>0.2082789955950014</v>
      </c>
      <c r="BP240" s="197">
        <f t="shared" si="103"/>
        <v>65.620924669625111</v>
      </c>
      <c r="BQ240" s="197">
        <f t="shared" si="104"/>
        <v>9.9596940000000009E-2</v>
      </c>
      <c r="BR240" s="288">
        <f t="shared" si="105"/>
        <v>0.16008975919012108</v>
      </c>
      <c r="BS240" s="197">
        <f t="shared" si="106"/>
        <v>0.11660930017110901</v>
      </c>
      <c r="BT240" s="197">
        <f t="shared" si="107"/>
        <v>0.36419974881911377</v>
      </c>
      <c r="BU240" s="197">
        <f t="shared" si="108"/>
        <v>0.1713930788771201</v>
      </c>
      <c r="BV240" s="197">
        <f t="shared" si="109"/>
        <v>0.53530306917875781</v>
      </c>
      <c r="BW240" s="194"/>
      <c r="BX240" s="194"/>
      <c r="BY240" s="194"/>
      <c r="BZ240" s="194"/>
      <c r="CA240" s="194"/>
      <c r="CB240" s="194"/>
      <c r="CC240" s="194"/>
      <c r="CD240" s="194"/>
      <c r="CE240" s="194"/>
      <c r="CF240" s="194"/>
      <c r="CG240" s="194"/>
      <c r="CH240" s="194"/>
      <c r="CI240" s="194"/>
      <c r="CJ240" s="194"/>
      <c r="CK240" s="194"/>
      <c r="CL240" s="194"/>
      <c r="CM240" s="194"/>
      <c r="CN240" s="194"/>
      <c r="CO240" s="194"/>
      <c r="CP240" s="194"/>
      <c r="CQ240" s="194"/>
      <c r="CR240" s="194"/>
      <c r="CS240" s="194"/>
      <c r="CT240" s="194"/>
      <c r="CU240" s="194"/>
      <c r="CV240" s="194"/>
      <c r="CW240" s="194"/>
      <c r="CX240" s="194"/>
      <c r="CY240" s="194"/>
      <c r="CZ240" s="194"/>
      <c r="DA240" s="194"/>
      <c r="DB240" s="194"/>
      <c r="DC240" s="194"/>
      <c r="DD240" s="194"/>
      <c r="DE240" s="194"/>
      <c r="DF240" s="194"/>
    </row>
    <row r="241" spans="2:110" s="192" customFormat="1" hidden="1" x14ac:dyDescent="0.35">
      <c r="B241" s="289"/>
      <c r="C241" s="289"/>
      <c r="Q241" s="193"/>
      <c r="R241" s="194">
        <f t="shared" si="110"/>
        <v>18</v>
      </c>
      <c r="S241" s="197">
        <f t="shared" si="76"/>
        <v>0.3888888888888889</v>
      </c>
      <c r="T241" s="194">
        <f t="shared" si="131"/>
        <v>0.69</v>
      </c>
      <c r="U241" s="194">
        <f t="shared" si="132"/>
        <v>1.4999999999999999E-4</v>
      </c>
      <c r="V241" s="197">
        <f t="shared" si="111"/>
        <v>0.3888888888888889</v>
      </c>
      <c r="W241" s="197">
        <f t="shared" si="77"/>
        <v>4.3555555555555561E-3</v>
      </c>
      <c r="X241" s="286">
        <f t="shared" si="78"/>
        <v>1</v>
      </c>
      <c r="Y241" s="286">
        <f t="shared" si="79"/>
        <v>0.17335969315081967</v>
      </c>
      <c r="Z241" s="286">
        <f t="shared" si="80"/>
        <v>0.54964853345132902</v>
      </c>
      <c r="AA241" s="286">
        <f t="shared" si="112"/>
        <v>0.17335969315081967</v>
      </c>
      <c r="AB241" s="197">
        <f t="shared" si="81"/>
        <v>0.36419974881911377</v>
      </c>
      <c r="AC241" s="287">
        <f t="shared" si="82"/>
        <v>4.4451203372005044E-7</v>
      </c>
      <c r="AD241" s="197">
        <f t="shared" si="113"/>
        <v>11.693936048110356</v>
      </c>
      <c r="AE241" s="197">
        <f t="shared" si="114"/>
        <v>35.08180814433107</v>
      </c>
      <c r="AF241" s="197">
        <f t="shared" si="115"/>
        <v>8.5178571428571423E-2</v>
      </c>
      <c r="AG241" s="197">
        <f t="shared" si="116"/>
        <v>0.25553571428571431</v>
      </c>
      <c r="AH241" s="197">
        <f t="shared" si="83"/>
        <v>0.11660930017110901</v>
      </c>
      <c r="AI241" s="197">
        <f t="shared" si="117"/>
        <v>0.11660930017110901</v>
      </c>
      <c r="AJ241" s="218">
        <f t="shared" si="84"/>
        <v>390.00000000000006</v>
      </c>
      <c r="AK241" s="197">
        <f t="shared" si="118"/>
        <v>6.0930617977437734E-2</v>
      </c>
      <c r="AL241" s="197">
        <f t="shared" si="119"/>
        <v>9.6203707235237593E-2</v>
      </c>
      <c r="AM241" s="197">
        <f t="shared" si="120"/>
        <v>4.0790371867740751E-3</v>
      </c>
      <c r="AN241" s="197">
        <f t="shared" si="85"/>
        <v>24.05</v>
      </c>
      <c r="AO241" s="197">
        <f t="shared" si="86"/>
        <v>21.69</v>
      </c>
      <c r="AP241" s="197">
        <f t="shared" si="121"/>
        <v>7.4093290390420161E-2</v>
      </c>
      <c r="AQ241" s="197">
        <f t="shared" si="122"/>
        <v>0.42250439890466829</v>
      </c>
      <c r="AR241" s="197">
        <f t="shared" si="123"/>
        <v>0.30589509873355925</v>
      </c>
      <c r="AS241" s="258">
        <f t="shared" si="124"/>
        <v>0.15228632177729159</v>
      </c>
      <c r="AT241" s="197">
        <f t="shared" si="87"/>
        <v>2.5974058656511614E-4</v>
      </c>
      <c r="AU241" s="194">
        <f t="shared" si="88"/>
        <v>21.19</v>
      </c>
      <c r="AV241" s="197">
        <f t="shared" si="89"/>
        <v>2.7E-2</v>
      </c>
      <c r="AW241" s="197">
        <f t="shared" si="90"/>
        <v>3.4260000000000002E-3</v>
      </c>
      <c r="AX241" s="197">
        <f t="shared" si="125"/>
        <v>6.1668000000000001E-2</v>
      </c>
      <c r="AY241" s="197">
        <f t="shared" si="91"/>
        <v>2.8867476000000005E-3</v>
      </c>
      <c r="AZ241" s="197">
        <f t="shared" si="92"/>
        <v>0</v>
      </c>
      <c r="BA241" s="197">
        <f t="shared" si="126"/>
        <v>7.2596940000000013E-2</v>
      </c>
      <c r="BB241" s="258">
        <f t="shared" si="93"/>
        <v>0.36575210336206115</v>
      </c>
      <c r="BC241" s="197">
        <f t="shared" si="94"/>
        <v>2.2380490766334034E-2</v>
      </c>
      <c r="BD241" s="197">
        <f t="shared" si="127"/>
        <v>4.4760981532668068E-3</v>
      </c>
      <c r="BE241" s="197">
        <f t="shared" si="128"/>
        <v>2.6856588919600841E-2</v>
      </c>
      <c r="BF241" s="197">
        <f t="shared" si="95"/>
        <v>0.20773291256157633</v>
      </c>
      <c r="BG241" s="197">
        <f t="shared" si="96"/>
        <v>5.4608303342508187E-4</v>
      </c>
      <c r="BH241" s="197">
        <f t="shared" si="97"/>
        <v>3.5336687086656722E-2</v>
      </c>
      <c r="BI241" s="197">
        <f t="shared" si="129"/>
        <v>0.44730899017824427</v>
      </c>
      <c r="BJ241" s="197">
        <f t="shared" si="98"/>
        <v>6.769615024661003</v>
      </c>
      <c r="BK241" s="288">
        <f t="shared" si="99"/>
        <v>0.93392401361838984</v>
      </c>
      <c r="BL241" s="197">
        <f t="shared" si="100"/>
        <v>0.37608972359227794</v>
      </c>
      <c r="BM241" s="197">
        <f t="shared" si="101"/>
        <v>7.4353030976985271E-2</v>
      </c>
      <c r="BN241" s="197">
        <f t="shared" si="102"/>
        <v>54.461181858619113</v>
      </c>
      <c r="BO241" s="197">
        <f t="shared" si="130"/>
        <v>0.2082789955950014</v>
      </c>
      <c r="BP241" s="197">
        <f t="shared" si="103"/>
        <v>65.620924669625111</v>
      </c>
      <c r="BQ241" s="197">
        <f t="shared" si="104"/>
        <v>9.9596940000000009E-2</v>
      </c>
      <c r="BR241" s="288">
        <f t="shared" si="105"/>
        <v>0.16008975919012108</v>
      </c>
      <c r="BS241" s="197">
        <f t="shared" si="106"/>
        <v>0.11660930017110901</v>
      </c>
      <c r="BT241" s="197">
        <f t="shared" si="107"/>
        <v>0.36419974881911377</v>
      </c>
      <c r="BU241" s="197">
        <f t="shared" si="108"/>
        <v>0.1713930788771201</v>
      </c>
      <c r="BV241" s="197">
        <f t="shared" si="109"/>
        <v>0.53530306917875781</v>
      </c>
      <c r="BW241" s="194"/>
      <c r="BX241" s="194"/>
      <c r="BY241" s="194"/>
      <c r="BZ241" s="194"/>
      <c r="CA241" s="194"/>
      <c r="CB241" s="194"/>
      <c r="CC241" s="194"/>
      <c r="CD241" s="194"/>
      <c r="CE241" s="194"/>
      <c r="CF241" s="194"/>
      <c r="CG241" s="194"/>
      <c r="CH241" s="194"/>
      <c r="CI241" s="194"/>
      <c r="CJ241" s="194"/>
      <c r="CK241" s="194"/>
      <c r="CL241" s="194"/>
      <c r="CM241" s="194"/>
      <c r="CN241" s="194"/>
      <c r="CO241" s="194"/>
      <c r="CP241" s="194"/>
      <c r="CQ241" s="194"/>
      <c r="CR241" s="194"/>
      <c r="CS241" s="194"/>
      <c r="CT241" s="194"/>
      <c r="CU241" s="194"/>
      <c r="CV241" s="194"/>
      <c r="CW241" s="194"/>
      <c r="CX241" s="194"/>
      <c r="CY241" s="194"/>
      <c r="CZ241" s="194"/>
      <c r="DA241" s="194"/>
      <c r="DB241" s="194"/>
      <c r="DC241" s="194"/>
      <c r="DD241" s="194"/>
      <c r="DE241" s="194"/>
      <c r="DF241" s="194"/>
    </row>
    <row r="242" spans="2:110" s="192" customFormat="1" hidden="1" x14ac:dyDescent="0.35">
      <c r="B242" s="289"/>
      <c r="C242" s="289"/>
      <c r="Q242" s="193"/>
      <c r="R242" s="194">
        <f t="shared" si="110"/>
        <v>18</v>
      </c>
      <c r="S242" s="197">
        <f t="shared" si="76"/>
        <v>0.3888888888888889</v>
      </c>
      <c r="T242" s="194">
        <f t="shared" si="131"/>
        <v>0.69</v>
      </c>
      <c r="U242" s="194">
        <f t="shared" si="132"/>
        <v>1.4999999999999999E-4</v>
      </c>
      <c r="V242" s="197">
        <f t="shared" si="111"/>
        <v>0.3888888888888889</v>
      </c>
      <c r="W242" s="197">
        <f t="shared" si="77"/>
        <v>4.3555555555555561E-3</v>
      </c>
      <c r="X242" s="286">
        <f t="shared" si="78"/>
        <v>1</v>
      </c>
      <c r="Y242" s="286">
        <f t="shared" si="79"/>
        <v>0.17335969315081967</v>
      </c>
      <c r="Z242" s="286">
        <f t="shared" si="80"/>
        <v>0.54964853345132902</v>
      </c>
      <c r="AA242" s="286">
        <f t="shared" si="112"/>
        <v>0.17335969315081967</v>
      </c>
      <c r="AB242" s="197">
        <f t="shared" si="81"/>
        <v>0.36419974881911377</v>
      </c>
      <c r="AC242" s="287">
        <f t="shared" si="82"/>
        <v>4.4451203372005044E-7</v>
      </c>
      <c r="AD242" s="197">
        <f t="shared" si="113"/>
        <v>11.693936048110356</v>
      </c>
      <c r="AE242" s="197">
        <f t="shared" si="114"/>
        <v>35.08180814433107</v>
      </c>
      <c r="AF242" s="197">
        <f t="shared" si="115"/>
        <v>8.5178571428571423E-2</v>
      </c>
      <c r="AG242" s="197">
        <f t="shared" si="116"/>
        <v>0.25553571428571431</v>
      </c>
      <c r="AH242" s="197">
        <f t="shared" si="83"/>
        <v>0.11660930017110901</v>
      </c>
      <c r="AI242" s="197">
        <f t="shared" si="117"/>
        <v>0.11660930017110901</v>
      </c>
      <c r="AJ242" s="218">
        <f t="shared" si="84"/>
        <v>390.00000000000006</v>
      </c>
      <c r="AK242" s="197">
        <f t="shared" si="118"/>
        <v>6.0930617977437734E-2</v>
      </c>
      <c r="AL242" s="197">
        <f t="shared" si="119"/>
        <v>9.6203707235237593E-2</v>
      </c>
      <c r="AM242" s="197">
        <f t="shared" si="120"/>
        <v>4.0790371867740751E-3</v>
      </c>
      <c r="AN242" s="197">
        <f t="shared" si="85"/>
        <v>24.05</v>
      </c>
      <c r="AO242" s="197">
        <f t="shared" si="86"/>
        <v>21.69</v>
      </c>
      <c r="AP242" s="197">
        <f t="shared" si="121"/>
        <v>7.4093290390420161E-2</v>
      </c>
      <c r="AQ242" s="197">
        <f t="shared" si="122"/>
        <v>0.42250439890466829</v>
      </c>
      <c r="AR242" s="197">
        <f t="shared" si="123"/>
        <v>0.30589509873355925</v>
      </c>
      <c r="AS242" s="258">
        <f t="shared" si="124"/>
        <v>0.15228632177729159</v>
      </c>
      <c r="AT242" s="197">
        <f t="shared" si="87"/>
        <v>2.5974058656511614E-4</v>
      </c>
      <c r="AU242" s="194">
        <f t="shared" si="88"/>
        <v>21.19</v>
      </c>
      <c r="AV242" s="197">
        <f t="shared" si="89"/>
        <v>2.7E-2</v>
      </c>
      <c r="AW242" s="197">
        <f t="shared" si="90"/>
        <v>3.4260000000000002E-3</v>
      </c>
      <c r="AX242" s="197">
        <f t="shared" si="125"/>
        <v>6.1668000000000001E-2</v>
      </c>
      <c r="AY242" s="197">
        <f t="shared" si="91"/>
        <v>2.8867476000000005E-3</v>
      </c>
      <c r="AZ242" s="197">
        <f t="shared" si="92"/>
        <v>0</v>
      </c>
      <c r="BA242" s="197">
        <f t="shared" si="126"/>
        <v>7.2596940000000013E-2</v>
      </c>
      <c r="BB242" s="258">
        <f t="shared" si="93"/>
        <v>0.36575210336206115</v>
      </c>
      <c r="BC242" s="197">
        <f t="shared" si="94"/>
        <v>2.2380490766334034E-2</v>
      </c>
      <c r="BD242" s="197">
        <f t="shared" si="127"/>
        <v>4.4760981532668068E-3</v>
      </c>
      <c r="BE242" s="197">
        <f t="shared" si="128"/>
        <v>2.6856588919600841E-2</v>
      </c>
      <c r="BF242" s="197">
        <f t="shared" si="95"/>
        <v>0.20773291256157633</v>
      </c>
      <c r="BG242" s="197">
        <f t="shared" si="96"/>
        <v>5.4608303342508187E-4</v>
      </c>
      <c r="BH242" s="197">
        <f t="shared" si="97"/>
        <v>3.5336687086656722E-2</v>
      </c>
      <c r="BI242" s="197">
        <f t="shared" si="129"/>
        <v>0.44730899017824427</v>
      </c>
      <c r="BJ242" s="197">
        <f t="shared" si="98"/>
        <v>6.769615024661003</v>
      </c>
      <c r="BK242" s="288">
        <f t="shared" si="99"/>
        <v>0.93392401361838984</v>
      </c>
      <c r="BL242" s="197">
        <f t="shared" si="100"/>
        <v>0.37608972359227794</v>
      </c>
      <c r="BM242" s="197">
        <f t="shared" si="101"/>
        <v>7.4353030976985271E-2</v>
      </c>
      <c r="BN242" s="197">
        <f t="shared" si="102"/>
        <v>54.461181858619113</v>
      </c>
      <c r="BO242" s="197">
        <f t="shared" si="130"/>
        <v>0.2082789955950014</v>
      </c>
      <c r="BP242" s="197">
        <f t="shared" si="103"/>
        <v>65.620924669625111</v>
      </c>
      <c r="BQ242" s="197">
        <f t="shared" si="104"/>
        <v>9.9596940000000009E-2</v>
      </c>
      <c r="BR242" s="288">
        <f t="shared" si="105"/>
        <v>0.16008975919012108</v>
      </c>
      <c r="BS242" s="197">
        <f t="shared" si="106"/>
        <v>0.11660930017110901</v>
      </c>
      <c r="BT242" s="197">
        <f t="shared" si="107"/>
        <v>0.36419974881911377</v>
      </c>
      <c r="BU242" s="197">
        <f t="shared" si="108"/>
        <v>0.1713930788771201</v>
      </c>
      <c r="BV242" s="197">
        <f t="shared" si="109"/>
        <v>0.53530306917875781</v>
      </c>
      <c r="BW242" s="194"/>
      <c r="BX242" s="194"/>
      <c r="BY242" s="194"/>
      <c r="BZ242" s="194"/>
      <c r="CA242" s="194"/>
      <c r="CB242" s="194"/>
      <c r="CC242" s="194"/>
      <c r="CD242" s="194"/>
      <c r="CE242" s="194"/>
      <c r="CF242" s="194"/>
      <c r="CG242" s="194"/>
      <c r="CH242" s="194"/>
      <c r="CI242" s="194"/>
      <c r="CJ242" s="194"/>
      <c r="CK242" s="194"/>
      <c r="CL242" s="194"/>
      <c r="CM242" s="194"/>
      <c r="CN242" s="194"/>
      <c r="CO242" s="194"/>
      <c r="CP242" s="194"/>
      <c r="CQ242" s="194"/>
      <c r="CR242" s="194"/>
      <c r="CS242" s="194"/>
      <c r="CT242" s="194"/>
      <c r="CU242" s="194"/>
      <c r="CV242" s="194"/>
      <c r="CW242" s="194"/>
      <c r="CX242" s="194"/>
      <c r="CY242" s="194"/>
      <c r="CZ242" s="194"/>
      <c r="DA242" s="194"/>
      <c r="DB242" s="194"/>
      <c r="DC242" s="194"/>
      <c r="DD242" s="194"/>
      <c r="DE242" s="194"/>
      <c r="DF242" s="194"/>
    </row>
    <row r="243" spans="2:110" s="192" customFormat="1" hidden="1" x14ac:dyDescent="0.35">
      <c r="B243" s="289"/>
      <c r="C243" s="289"/>
      <c r="Q243" s="193"/>
      <c r="R243" s="194">
        <f t="shared" si="110"/>
        <v>18</v>
      </c>
      <c r="S243" s="197">
        <f t="shared" si="76"/>
        <v>0.3888888888888889</v>
      </c>
      <c r="T243" s="194">
        <f t="shared" si="131"/>
        <v>0.69</v>
      </c>
      <c r="U243" s="194">
        <f t="shared" si="132"/>
        <v>1.4999999999999999E-4</v>
      </c>
      <c r="V243" s="197">
        <f t="shared" si="111"/>
        <v>0.3888888888888889</v>
      </c>
      <c r="W243" s="197">
        <f t="shared" si="77"/>
        <v>4.3555555555555561E-3</v>
      </c>
      <c r="X243" s="286">
        <f t="shared" si="78"/>
        <v>1</v>
      </c>
      <c r="Y243" s="286">
        <f t="shared" si="79"/>
        <v>0.17335969315081967</v>
      </c>
      <c r="Z243" s="286">
        <f t="shared" si="80"/>
        <v>0.54964853345132902</v>
      </c>
      <c r="AA243" s="286">
        <f t="shared" si="112"/>
        <v>0.17335969315081967</v>
      </c>
      <c r="AB243" s="197">
        <f t="shared" si="81"/>
        <v>0.36419974881911377</v>
      </c>
      <c r="AC243" s="287">
        <f t="shared" si="82"/>
        <v>4.4451203372005044E-7</v>
      </c>
      <c r="AD243" s="197">
        <f t="shared" si="113"/>
        <v>11.693936048110356</v>
      </c>
      <c r="AE243" s="197">
        <f t="shared" si="114"/>
        <v>35.08180814433107</v>
      </c>
      <c r="AF243" s="197">
        <f t="shared" si="115"/>
        <v>8.5178571428571423E-2</v>
      </c>
      <c r="AG243" s="197">
        <f t="shared" si="116"/>
        <v>0.25553571428571431</v>
      </c>
      <c r="AH243" s="197">
        <f t="shared" si="83"/>
        <v>0.11660930017110901</v>
      </c>
      <c r="AI243" s="197">
        <f t="shared" si="117"/>
        <v>0.11660930017110901</v>
      </c>
      <c r="AJ243" s="218">
        <f t="shared" si="84"/>
        <v>390.00000000000006</v>
      </c>
      <c r="AK243" s="197">
        <f t="shared" si="118"/>
        <v>6.0930617977437734E-2</v>
      </c>
      <c r="AL243" s="197">
        <f t="shared" si="119"/>
        <v>9.6203707235237593E-2</v>
      </c>
      <c r="AM243" s="197">
        <f t="shared" si="120"/>
        <v>4.0790371867740751E-3</v>
      </c>
      <c r="AN243" s="197">
        <f t="shared" si="85"/>
        <v>24.05</v>
      </c>
      <c r="AO243" s="197">
        <f t="shared" si="86"/>
        <v>21.69</v>
      </c>
      <c r="AP243" s="197">
        <f t="shared" si="121"/>
        <v>7.4093290390420161E-2</v>
      </c>
      <c r="AQ243" s="197">
        <f t="shared" si="122"/>
        <v>0.42250439890466829</v>
      </c>
      <c r="AR243" s="197">
        <f t="shared" si="123"/>
        <v>0.30589509873355925</v>
      </c>
      <c r="AS243" s="258">
        <f t="shared" si="124"/>
        <v>0.15228632177729159</v>
      </c>
      <c r="AT243" s="197">
        <f t="shared" si="87"/>
        <v>2.5974058656511614E-4</v>
      </c>
      <c r="AU243" s="194">
        <f t="shared" si="88"/>
        <v>21.19</v>
      </c>
      <c r="AV243" s="197">
        <f t="shared" si="89"/>
        <v>2.7E-2</v>
      </c>
      <c r="AW243" s="197">
        <f t="shared" si="90"/>
        <v>3.4260000000000002E-3</v>
      </c>
      <c r="AX243" s="197">
        <f t="shared" si="125"/>
        <v>6.1668000000000001E-2</v>
      </c>
      <c r="AY243" s="197">
        <f t="shared" si="91"/>
        <v>2.8867476000000005E-3</v>
      </c>
      <c r="AZ243" s="197">
        <f t="shared" si="92"/>
        <v>0</v>
      </c>
      <c r="BA243" s="197">
        <f t="shared" si="126"/>
        <v>7.2596940000000013E-2</v>
      </c>
      <c r="BB243" s="258">
        <f t="shared" si="93"/>
        <v>0.36575210336206115</v>
      </c>
      <c r="BC243" s="197">
        <f t="shared" si="94"/>
        <v>2.2380490766334034E-2</v>
      </c>
      <c r="BD243" s="197">
        <f t="shared" si="127"/>
        <v>4.4760981532668068E-3</v>
      </c>
      <c r="BE243" s="197">
        <f t="shared" si="128"/>
        <v>2.6856588919600841E-2</v>
      </c>
      <c r="BF243" s="197">
        <f t="shared" si="95"/>
        <v>0.20773291256157633</v>
      </c>
      <c r="BG243" s="197">
        <f t="shared" si="96"/>
        <v>5.4608303342508187E-4</v>
      </c>
      <c r="BH243" s="197">
        <f t="shared" si="97"/>
        <v>3.5336687086656722E-2</v>
      </c>
      <c r="BI243" s="197">
        <f t="shared" si="129"/>
        <v>0.44730899017824427</v>
      </c>
      <c r="BJ243" s="197">
        <f t="shared" si="98"/>
        <v>6.769615024661003</v>
      </c>
      <c r="BK243" s="288">
        <f t="shared" si="99"/>
        <v>0.93392401361838984</v>
      </c>
      <c r="BL243" s="197">
        <f t="shared" si="100"/>
        <v>0.37608972359227794</v>
      </c>
      <c r="BM243" s="197">
        <f t="shared" si="101"/>
        <v>7.4353030976985271E-2</v>
      </c>
      <c r="BN243" s="197">
        <f t="shared" si="102"/>
        <v>54.461181858619113</v>
      </c>
      <c r="BO243" s="197">
        <f t="shared" si="130"/>
        <v>0.2082789955950014</v>
      </c>
      <c r="BP243" s="197">
        <f t="shared" si="103"/>
        <v>65.620924669625111</v>
      </c>
      <c r="BQ243" s="197">
        <f t="shared" si="104"/>
        <v>9.9596940000000009E-2</v>
      </c>
      <c r="BR243" s="288">
        <f t="shared" si="105"/>
        <v>0.16008975919012108</v>
      </c>
      <c r="BS243" s="197">
        <f t="shared" si="106"/>
        <v>0.11660930017110901</v>
      </c>
      <c r="BT243" s="197">
        <f t="shared" si="107"/>
        <v>0.36419974881911377</v>
      </c>
      <c r="BU243" s="197">
        <f t="shared" si="108"/>
        <v>0.1713930788771201</v>
      </c>
      <c r="BV243" s="197">
        <f t="shared" si="109"/>
        <v>0.53530306917875781</v>
      </c>
      <c r="BW243" s="194"/>
      <c r="BX243" s="194"/>
      <c r="BY243" s="194"/>
      <c r="BZ243" s="194"/>
      <c r="CA243" s="194"/>
      <c r="CB243" s="194"/>
      <c r="CC243" s="194"/>
      <c r="CD243" s="194"/>
      <c r="CE243" s="194"/>
      <c r="CF243" s="194"/>
      <c r="CG243" s="194"/>
      <c r="CH243" s="194"/>
      <c r="CI243" s="194"/>
      <c r="CJ243" s="194"/>
      <c r="CK243" s="194"/>
      <c r="CL243" s="194"/>
      <c r="CM243" s="194"/>
      <c r="CN243" s="194"/>
      <c r="CO243" s="194"/>
      <c r="CP243" s="194"/>
      <c r="CQ243" s="194"/>
      <c r="CR243" s="194"/>
      <c r="CS243" s="194"/>
      <c r="CT243" s="194"/>
      <c r="CU243" s="194"/>
      <c r="CV243" s="194"/>
      <c r="CW243" s="194"/>
      <c r="CX243" s="194"/>
      <c r="CY243" s="194"/>
      <c r="CZ243" s="194"/>
      <c r="DA243" s="194"/>
      <c r="DB243" s="194"/>
      <c r="DC243" s="194"/>
      <c r="DD243" s="194"/>
      <c r="DE243" s="194"/>
      <c r="DF243" s="194"/>
    </row>
    <row r="244" spans="2:110" s="192" customFormat="1" hidden="1" x14ac:dyDescent="0.35">
      <c r="B244" s="289"/>
      <c r="C244" s="289"/>
      <c r="Q244" s="193"/>
      <c r="R244" s="194">
        <f t="shared" si="110"/>
        <v>18</v>
      </c>
      <c r="S244" s="197">
        <f t="shared" si="76"/>
        <v>0.3888888888888889</v>
      </c>
      <c r="T244" s="194">
        <f t="shared" si="131"/>
        <v>0.69</v>
      </c>
      <c r="U244" s="194">
        <f t="shared" si="132"/>
        <v>1.4999999999999999E-4</v>
      </c>
      <c r="V244" s="197">
        <f t="shared" si="111"/>
        <v>0.3888888888888889</v>
      </c>
      <c r="W244" s="197">
        <f t="shared" si="77"/>
        <v>4.3555555555555561E-3</v>
      </c>
      <c r="X244" s="286">
        <f t="shared" si="78"/>
        <v>1</v>
      </c>
      <c r="Y244" s="286">
        <f t="shared" si="79"/>
        <v>0.17335969315081967</v>
      </c>
      <c r="Z244" s="286">
        <f t="shared" si="80"/>
        <v>0.54964853345132902</v>
      </c>
      <c r="AA244" s="286">
        <f t="shared" si="112"/>
        <v>0.17335969315081967</v>
      </c>
      <c r="AB244" s="197">
        <f t="shared" si="81"/>
        <v>0.36419974881911377</v>
      </c>
      <c r="AC244" s="287">
        <f t="shared" si="82"/>
        <v>4.4451203372005044E-7</v>
      </c>
      <c r="AD244" s="197">
        <f t="shared" si="113"/>
        <v>11.693936048110356</v>
      </c>
      <c r="AE244" s="197">
        <f t="shared" si="114"/>
        <v>35.08180814433107</v>
      </c>
      <c r="AF244" s="197">
        <f t="shared" si="115"/>
        <v>8.5178571428571423E-2</v>
      </c>
      <c r="AG244" s="197">
        <f t="shared" si="116"/>
        <v>0.25553571428571431</v>
      </c>
      <c r="AH244" s="197">
        <f t="shared" si="83"/>
        <v>0.11660930017110901</v>
      </c>
      <c r="AI244" s="197">
        <f t="shared" si="117"/>
        <v>0.11660930017110901</v>
      </c>
      <c r="AJ244" s="218">
        <f t="shared" si="84"/>
        <v>390.00000000000006</v>
      </c>
      <c r="AK244" s="197">
        <f t="shared" si="118"/>
        <v>6.0930617977437734E-2</v>
      </c>
      <c r="AL244" s="197">
        <f t="shared" si="119"/>
        <v>9.6203707235237593E-2</v>
      </c>
      <c r="AM244" s="197">
        <f t="shared" si="120"/>
        <v>4.0790371867740751E-3</v>
      </c>
      <c r="AN244" s="197">
        <f t="shared" si="85"/>
        <v>24.05</v>
      </c>
      <c r="AO244" s="197">
        <f t="shared" si="86"/>
        <v>21.69</v>
      </c>
      <c r="AP244" s="197">
        <f t="shared" si="121"/>
        <v>7.4093290390420161E-2</v>
      </c>
      <c r="AQ244" s="197">
        <f t="shared" si="122"/>
        <v>0.42250439890466829</v>
      </c>
      <c r="AR244" s="197">
        <f t="shared" si="123"/>
        <v>0.30589509873355925</v>
      </c>
      <c r="AS244" s="258">
        <f t="shared" si="124"/>
        <v>0.15228632177729159</v>
      </c>
      <c r="AT244" s="197">
        <f t="shared" si="87"/>
        <v>2.5974058656511614E-4</v>
      </c>
      <c r="AU244" s="194">
        <f t="shared" si="88"/>
        <v>21.19</v>
      </c>
      <c r="AV244" s="197">
        <f t="shared" si="89"/>
        <v>2.7E-2</v>
      </c>
      <c r="AW244" s="197">
        <f t="shared" si="90"/>
        <v>3.4260000000000002E-3</v>
      </c>
      <c r="AX244" s="197">
        <f t="shared" si="125"/>
        <v>6.1668000000000001E-2</v>
      </c>
      <c r="AY244" s="197">
        <f t="shared" si="91"/>
        <v>2.8867476000000005E-3</v>
      </c>
      <c r="AZ244" s="197">
        <f t="shared" si="92"/>
        <v>0</v>
      </c>
      <c r="BA244" s="197">
        <f t="shared" si="126"/>
        <v>7.2596940000000013E-2</v>
      </c>
      <c r="BB244" s="258">
        <f t="shared" si="93"/>
        <v>0.36575210336206115</v>
      </c>
      <c r="BC244" s="197">
        <f t="shared" si="94"/>
        <v>2.2380490766334034E-2</v>
      </c>
      <c r="BD244" s="197">
        <f t="shared" si="127"/>
        <v>4.4760981532668068E-3</v>
      </c>
      <c r="BE244" s="197">
        <f t="shared" si="128"/>
        <v>2.6856588919600841E-2</v>
      </c>
      <c r="BF244" s="197">
        <f t="shared" si="95"/>
        <v>0.20773291256157633</v>
      </c>
      <c r="BG244" s="197">
        <f t="shared" si="96"/>
        <v>5.4608303342508187E-4</v>
      </c>
      <c r="BH244" s="197">
        <f t="shared" si="97"/>
        <v>3.5336687086656722E-2</v>
      </c>
      <c r="BI244" s="197">
        <f t="shared" si="129"/>
        <v>0.44730899017824427</v>
      </c>
      <c r="BJ244" s="197">
        <f t="shared" si="98"/>
        <v>6.769615024661003</v>
      </c>
      <c r="BK244" s="288">
        <f t="shared" si="99"/>
        <v>0.93392401361838984</v>
      </c>
      <c r="BL244" s="197">
        <f t="shared" si="100"/>
        <v>0.37608972359227794</v>
      </c>
      <c r="BM244" s="197">
        <f t="shared" si="101"/>
        <v>7.4353030976985271E-2</v>
      </c>
      <c r="BN244" s="197">
        <f t="shared" si="102"/>
        <v>54.461181858619113</v>
      </c>
      <c r="BO244" s="197">
        <f t="shared" si="130"/>
        <v>0.2082789955950014</v>
      </c>
      <c r="BP244" s="197">
        <f t="shared" si="103"/>
        <v>65.620924669625111</v>
      </c>
      <c r="BQ244" s="197">
        <f t="shared" si="104"/>
        <v>9.9596940000000009E-2</v>
      </c>
      <c r="BR244" s="288">
        <f t="shared" si="105"/>
        <v>0.16008975919012108</v>
      </c>
      <c r="BS244" s="197">
        <f t="shared" si="106"/>
        <v>0.11660930017110901</v>
      </c>
      <c r="BT244" s="197">
        <f t="shared" si="107"/>
        <v>0.36419974881911377</v>
      </c>
      <c r="BU244" s="197">
        <f t="shared" si="108"/>
        <v>0.1713930788771201</v>
      </c>
      <c r="BV244" s="197">
        <f t="shared" si="109"/>
        <v>0.53530306917875781</v>
      </c>
      <c r="BW244" s="194"/>
      <c r="BX244" s="194"/>
      <c r="BY244" s="194"/>
      <c r="BZ244" s="194"/>
      <c r="CA244" s="194"/>
      <c r="CB244" s="194"/>
      <c r="CC244" s="194"/>
      <c r="CD244" s="194"/>
      <c r="CE244" s="194"/>
      <c r="CF244" s="194"/>
      <c r="CG244" s="194"/>
      <c r="CH244" s="194"/>
      <c r="CI244" s="194"/>
      <c r="CJ244" s="194"/>
      <c r="CK244" s="194"/>
      <c r="CL244" s="194"/>
      <c r="CM244" s="194"/>
      <c r="CN244" s="194"/>
      <c r="CO244" s="194"/>
      <c r="CP244" s="194"/>
      <c r="CQ244" s="194"/>
      <c r="CR244" s="194"/>
      <c r="CS244" s="194"/>
      <c r="CT244" s="194"/>
      <c r="CU244" s="194"/>
      <c r="CV244" s="194"/>
      <c r="CW244" s="194"/>
      <c r="CX244" s="194"/>
      <c r="CY244" s="194"/>
      <c r="CZ244" s="194"/>
      <c r="DA244" s="194"/>
      <c r="DB244" s="194"/>
      <c r="DC244" s="194"/>
      <c r="DD244" s="194"/>
      <c r="DE244" s="194"/>
      <c r="DF244" s="194"/>
    </row>
    <row r="245" spans="2:110" s="192" customFormat="1" hidden="1" x14ac:dyDescent="0.35">
      <c r="B245" s="289"/>
      <c r="C245" s="289"/>
      <c r="Q245" s="193"/>
      <c r="R245" s="194">
        <f t="shared" si="110"/>
        <v>18</v>
      </c>
      <c r="S245" s="197">
        <f t="shared" si="76"/>
        <v>0.3888888888888889</v>
      </c>
      <c r="T245" s="194">
        <f t="shared" si="131"/>
        <v>0.69</v>
      </c>
      <c r="U245" s="194">
        <f t="shared" si="132"/>
        <v>1.4999999999999999E-4</v>
      </c>
      <c r="V245" s="197">
        <f t="shared" si="111"/>
        <v>0.3888888888888889</v>
      </c>
      <c r="W245" s="197">
        <f t="shared" si="77"/>
        <v>4.3555555555555561E-3</v>
      </c>
      <c r="X245" s="286">
        <f t="shared" si="78"/>
        <v>1</v>
      </c>
      <c r="Y245" s="286">
        <f t="shared" si="79"/>
        <v>0.17335969315081967</v>
      </c>
      <c r="Z245" s="286">
        <f t="shared" si="80"/>
        <v>0.54964853345132902</v>
      </c>
      <c r="AA245" s="286">
        <f t="shared" si="112"/>
        <v>0.17335969315081967</v>
      </c>
      <c r="AB245" s="197">
        <f t="shared" si="81"/>
        <v>0.36419974881911377</v>
      </c>
      <c r="AC245" s="287">
        <f t="shared" si="82"/>
        <v>4.4451203372005044E-7</v>
      </c>
      <c r="AD245" s="197">
        <f t="shared" si="113"/>
        <v>11.693936048110356</v>
      </c>
      <c r="AE245" s="197">
        <f t="shared" si="114"/>
        <v>35.08180814433107</v>
      </c>
      <c r="AF245" s="197">
        <f t="shared" si="115"/>
        <v>8.5178571428571423E-2</v>
      </c>
      <c r="AG245" s="197">
        <f t="shared" si="116"/>
        <v>0.25553571428571431</v>
      </c>
      <c r="AH245" s="197">
        <f t="shared" si="83"/>
        <v>0.11660930017110901</v>
      </c>
      <c r="AI245" s="197">
        <f t="shared" si="117"/>
        <v>0.11660930017110901</v>
      </c>
      <c r="AJ245" s="218">
        <f t="shared" si="84"/>
        <v>390.00000000000006</v>
      </c>
      <c r="AK245" s="197">
        <f t="shared" si="118"/>
        <v>6.0930617977437734E-2</v>
      </c>
      <c r="AL245" s="197">
        <f t="shared" si="119"/>
        <v>9.6203707235237593E-2</v>
      </c>
      <c r="AM245" s="197">
        <f t="shared" si="120"/>
        <v>4.0790371867740751E-3</v>
      </c>
      <c r="AN245" s="197">
        <f t="shared" si="85"/>
        <v>24.05</v>
      </c>
      <c r="AO245" s="197">
        <f t="shared" si="86"/>
        <v>21.69</v>
      </c>
      <c r="AP245" s="197">
        <f t="shared" si="121"/>
        <v>7.4093290390420161E-2</v>
      </c>
      <c r="AQ245" s="197">
        <f t="shared" si="122"/>
        <v>0.42250439890466829</v>
      </c>
      <c r="AR245" s="197">
        <f t="shared" si="123"/>
        <v>0.30589509873355925</v>
      </c>
      <c r="AS245" s="258">
        <f t="shared" si="124"/>
        <v>0.15228632177729159</v>
      </c>
      <c r="AT245" s="197">
        <f t="shared" si="87"/>
        <v>2.5974058656511614E-4</v>
      </c>
      <c r="AU245" s="194">
        <f t="shared" si="88"/>
        <v>21.19</v>
      </c>
      <c r="AV245" s="197">
        <f t="shared" si="89"/>
        <v>2.7E-2</v>
      </c>
      <c r="AW245" s="197">
        <f t="shared" si="90"/>
        <v>3.4260000000000002E-3</v>
      </c>
      <c r="AX245" s="197">
        <f t="shared" si="125"/>
        <v>6.1668000000000001E-2</v>
      </c>
      <c r="AY245" s="197">
        <f t="shared" si="91"/>
        <v>2.8867476000000005E-3</v>
      </c>
      <c r="AZ245" s="197">
        <f t="shared" si="92"/>
        <v>0</v>
      </c>
      <c r="BA245" s="197">
        <f t="shared" si="126"/>
        <v>7.2596940000000013E-2</v>
      </c>
      <c r="BB245" s="258">
        <f t="shared" si="93"/>
        <v>0.36575210336206115</v>
      </c>
      <c r="BC245" s="197">
        <f t="shared" si="94"/>
        <v>2.2380490766334034E-2</v>
      </c>
      <c r="BD245" s="197">
        <f t="shared" si="127"/>
        <v>4.4760981532668068E-3</v>
      </c>
      <c r="BE245" s="197">
        <f t="shared" si="128"/>
        <v>2.6856588919600841E-2</v>
      </c>
      <c r="BF245" s="197">
        <f t="shared" si="95"/>
        <v>0.20773291256157633</v>
      </c>
      <c r="BG245" s="197">
        <f t="shared" si="96"/>
        <v>5.4608303342508187E-4</v>
      </c>
      <c r="BH245" s="197">
        <f t="shared" si="97"/>
        <v>3.5336687086656722E-2</v>
      </c>
      <c r="BI245" s="197">
        <f t="shared" si="129"/>
        <v>0.44730899017824427</v>
      </c>
      <c r="BJ245" s="197">
        <f t="shared" si="98"/>
        <v>6.769615024661003</v>
      </c>
      <c r="BK245" s="288">
        <f t="shared" si="99"/>
        <v>0.93392401361838984</v>
      </c>
      <c r="BL245" s="197">
        <f t="shared" si="100"/>
        <v>0.37608972359227794</v>
      </c>
      <c r="BM245" s="197">
        <f t="shared" si="101"/>
        <v>7.4353030976985271E-2</v>
      </c>
      <c r="BN245" s="197">
        <f t="shared" si="102"/>
        <v>54.461181858619113</v>
      </c>
      <c r="BO245" s="197">
        <f t="shared" si="130"/>
        <v>0.2082789955950014</v>
      </c>
      <c r="BP245" s="197">
        <f t="shared" si="103"/>
        <v>65.620924669625111</v>
      </c>
      <c r="BQ245" s="197">
        <f t="shared" si="104"/>
        <v>9.9596940000000009E-2</v>
      </c>
      <c r="BR245" s="288">
        <f t="shared" si="105"/>
        <v>0.16008975919012108</v>
      </c>
      <c r="BS245" s="197">
        <f t="shared" si="106"/>
        <v>0.11660930017110901</v>
      </c>
      <c r="BT245" s="197">
        <f t="shared" si="107"/>
        <v>0.36419974881911377</v>
      </c>
      <c r="BU245" s="197">
        <f t="shared" si="108"/>
        <v>0.1713930788771201</v>
      </c>
      <c r="BV245" s="197">
        <f t="shared" si="109"/>
        <v>0.53530306917875781</v>
      </c>
      <c r="BW245" s="194"/>
      <c r="BX245" s="194"/>
      <c r="BY245" s="194"/>
      <c r="BZ245" s="194"/>
      <c r="CA245" s="194"/>
      <c r="CB245" s="194"/>
      <c r="CC245" s="194"/>
      <c r="CD245" s="194"/>
      <c r="CE245" s="194"/>
      <c r="CF245" s="194"/>
      <c r="CG245" s="194"/>
      <c r="CH245" s="194"/>
      <c r="CI245" s="194"/>
      <c r="CJ245" s="194"/>
      <c r="CK245" s="194"/>
      <c r="CL245" s="194"/>
      <c r="CM245" s="194"/>
      <c r="CN245" s="194"/>
      <c r="CO245" s="194"/>
      <c r="CP245" s="194"/>
      <c r="CQ245" s="194"/>
      <c r="CR245" s="194"/>
      <c r="CS245" s="194"/>
      <c r="CT245" s="194"/>
      <c r="CU245" s="194"/>
      <c r="CV245" s="194"/>
      <c r="CW245" s="194"/>
      <c r="CX245" s="194"/>
      <c r="CY245" s="194"/>
      <c r="CZ245" s="194"/>
      <c r="DA245" s="194"/>
      <c r="DB245" s="194"/>
      <c r="DC245" s="194"/>
      <c r="DD245" s="194"/>
      <c r="DE245" s="194"/>
      <c r="DF245" s="194"/>
    </row>
    <row r="246" spans="2:110" s="192" customFormat="1" hidden="1" x14ac:dyDescent="0.35">
      <c r="B246" s="289"/>
      <c r="C246" s="289"/>
      <c r="Q246" s="193"/>
      <c r="R246" s="194">
        <f t="shared" si="110"/>
        <v>18</v>
      </c>
      <c r="S246" s="197">
        <f t="shared" si="76"/>
        <v>0.3888888888888889</v>
      </c>
      <c r="T246" s="194">
        <f t="shared" si="131"/>
        <v>0.69</v>
      </c>
      <c r="U246" s="194">
        <f t="shared" si="132"/>
        <v>1.4999999999999999E-4</v>
      </c>
      <c r="V246" s="197">
        <f t="shared" si="111"/>
        <v>0.3888888888888889</v>
      </c>
      <c r="W246" s="197">
        <f t="shared" si="77"/>
        <v>4.3555555555555561E-3</v>
      </c>
      <c r="X246" s="286">
        <f t="shared" si="78"/>
        <v>1</v>
      </c>
      <c r="Y246" s="286">
        <f t="shared" si="79"/>
        <v>0.17335969315081967</v>
      </c>
      <c r="Z246" s="286">
        <f t="shared" si="80"/>
        <v>0.54964853345132902</v>
      </c>
      <c r="AA246" s="286">
        <f t="shared" si="112"/>
        <v>0.17335969315081967</v>
      </c>
      <c r="AB246" s="197">
        <f t="shared" si="81"/>
        <v>0.36419974881911377</v>
      </c>
      <c r="AC246" s="287">
        <f t="shared" si="82"/>
        <v>4.4451203372005044E-7</v>
      </c>
      <c r="AD246" s="197">
        <f t="shared" si="113"/>
        <v>11.693936048110356</v>
      </c>
      <c r="AE246" s="197">
        <f t="shared" si="114"/>
        <v>35.08180814433107</v>
      </c>
      <c r="AF246" s="197">
        <f t="shared" si="115"/>
        <v>8.5178571428571423E-2</v>
      </c>
      <c r="AG246" s="197">
        <f t="shared" si="116"/>
        <v>0.25553571428571431</v>
      </c>
      <c r="AH246" s="197">
        <f t="shared" si="83"/>
        <v>0.11660930017110901</v>
      </c>
      <c r="AI246" s="197">
        <f t="shared" si="117"/>
        <v>0.11660930017110901</v>
      </c>
      <c r="AJ246" s="218">
        <f t="shared" si="84"/>
        <v>390.00000000000006</v>
      </c>
      <c r="AK246" s="197">
        <f t="shared" si="118"/>
        <v>6.0930617977437734E-2</v>
      </c>
      <c r="AL246" s="197">
        <f t="shared" si="119"/>
        <v>9.6203707235237593E-2</v>
      </c>
      <c r="AM246" s="197">
        <f t="shared" si="120"/>
        <v>4.0790371867740751E-3</v>
      </c>
      <c r="AN246" s="197">
        <f t="shared" si="85"/>
        <v>24.05</v>
      </c>
      <c r="AO246" s="197">
        <f t="shared" si="86"/>
        <v>21.69</v>
      </c>
      <c r="AP246" s="197">
        <f t="shared" si="121"/>
        <v>7.4093290390420161E-2</v>
      </c>
      <c r="AQ246" s="197">
        <f t="shared" si="122"/>
        <v>0.42250439890466829</v>
      </c>
      <c r="AR246" s="197">
        <f t="shared" si="123"/>
        <v>0.30589509873355925</v>
      </c>
      <c r="AS246" s="258">
        <f t="shared" si="124"/>
        <v>0.15228632177729159</v>
      </c>
      <c r="AT246" s="197">
        <f t="shared" si="87"/>
        <v>2.5974058656511614E-4</v>
      </c>
      <c r="AU246" s="194">
        <f t="shared" si="88"/>
        <v>21.19</v>
      </c>
      <c r="AV246" s="197">
        <f t="shared" si="89"/>
        <v>2.7E-2</v>
      </c>
      <c r="AW246" s="197">
        <f t="shared" si="90"/>
        <v>3.4260000000000002E-3</v>
      </c>
      <c r="AX246" s="197">
        <f t="shared" si="125"/>
        <v>6.1668000000000001E-2</v>
      </c>
      <c r="AY246" s="197">
        <f t="shared" si="91"/>
        <v>2.8867476000000005E-3</v>
      </c>
      <c r="AZ246" s="197">
        <f t="shared" si="92"/>
        <v>0</v>
      </c>
      <c r="BA246" s="197">
        <f t="shared" si="126"/>
        <v>7.2596940000000013E-2</v>
      </c>
      <c r="BB246" s="258">
        <f t="shared" si="93"/>
        <v>0.36575210336206115</v>
      </c>
      <c r="BC246" s="197">
        <f t="shared" si="94"/>
        <v>2.2380490766334034E-2</v>
      </c>
      <c r="BD246" s="197">
        <f t="shared" si="127"/>
        <v>4.4760981532668068E-3</v>
      </c>
      <c r="BE246" s="197">
        <f t="shared" si="128"/>
        <v>2.6856588919600841E-2</v>
      </c>
      <c r="BF246" s="197">
        <f t="shared" si="95"/>
        <v>0.20773291256157633</v>
      </c>
      <c r="BG246" s="197">
        <f t="shared" si="96"/>
        <v>5.4608303342508187E-4</v>
      </c>
      <c r="BH246" s="197">
        <f t="shared" si="97"/>
        <v>3.5336687086656722E-2</v>
      </c>
      <c r="BI246" s="197">
        <f t="shared" si="129"/>
        <v>0.44730899017824427</v>
      </c>
      <c r="BJ246" s="197">
        <f t="shared" si="98"/>
        <v>6.769615024661003</v>
      </c>
      <c r="BK246" s="288">
        <f t="shared" si="99"/>
        <v>0.93392401361838984</v>
      </c>
      <c r="BL246" s="197">
        <f t="shared" si="100"/>
        <v>0.37608972359227794</v>
      </c>
      <c r="BM246" s="197">
        <f t="shared" si="101"/>
        <v>7.4353030976985271E-2</v>
      </c>
      <c r="BN246" s="197">
        <f t="shared" si="102"/>
        <v>54.461181858619113</v>
      </c>
      <c r="BO246" s="197">
        <f t="shared" si="130"/>
        <v>0.2082789955950014</v>
      </c>
      <c r="BP246" s="197">
        <f t="shared" si="103"/>
        <v>65.620924669625111</v>
      </c>
      <c r="BQ246" s="197">
        <f t="shared" si="104"/>
        <v>9.9596940000000009E-2</v>
      </c>
      <c r="BR246" s="288">
        <f t="shared" si="105"/>
        <v>0.16008975919012108</v>
      </c>
      <c r="BS246" s="197">
        <f t="shared" si="106"/>
        <v>0.11660930017110901</v>
      </c>
      <c r="BT246" s="197">
        <f t="shared" si="107"/>
        <v>0.36419974881911377</v>
      </c>
      <c r="BU246" s="197">
        <f t="shared" si="108"/>
        <v>0.1713930788771201</v>
      </c>
      <c r="BV246" s="197">
        <f t="shared" si="109"/>
        <v>0.53530306917875781</v>
      </c>
      <c r="BW246" s="194"/>
      <c r="BX246" s="194"/>
      <c r="BY246" s="194"/>
      <c r="BZ246" s="194"/>
      <c r="CA246" s="194"/>
      <c r="CB246" s="194"/>
      <c r="CC246" s="194"/>
      <c r="CD246" s="194"/>
      <c r="CE246" s="194"/>
      <c r="CF246" s="194"/>
      <c r="CG246" s="194"/>
      <c r="CH246" s="194"/>
      <c r="CI246" s="194"/>
      <c r="CJ246" s="194"/>
      <c r="CK246" s="194"/>
      <c r="CL246" s="194"/>
      <c r="CM246" s="194"/>
      <c r="CN246" s="194"/>
      <c r="CO246" s="194"/>
      <c r="CP246" s="194"/>
      <c r="CQ246" s="194"/>
      <c r="CR246" s="194"/>
      <c r="CS246" s="194"/>
      <c r="CT246" s="194"/>
      <c r="CU246" s="194"/>
      <c r="CV246" s="194"/>
      <c r="CW246" s="194"/>
      <c r="CX246" s="194"/>
      <c r="CY246" s="194"/>
      <c r="CZ246" s="194"/>
      <c r="DA246" s="194"/>
      <c r="DB246" s="194"/>
      <c r="DC246" s="194"/>
      <c r="DD246" s="194"/>
      <c r="DE246" s="194"/>
      <c r="DF246" s="194"/>
    </row>
    <row r="247" spans="2:110" s="192" customFormat="1" hidden="1" x14ac:dyDescent="0.35">
      <c r="B247" s="289"/>
      <c r="C247" s="289"/>
      <c r="Q247" s="193"/>
      <c r="R247" s="194">
        <f t="shared" si="110"/>
        <v>18</v>
      </c>
      <c r="S247" s="197">
        <f t="shared" si="76"/>
        <v>0.3888888888888889</v>
      </c>
      <c r="T247" s="194">
        <f t="shared" si="131"/>
        <v>0.69</v>
      </c>
      <c r="U247" s="194">
        <f t="shared" si="132"/>
        <v>1.4999999999999999E-4</v>
      </c>
      <c r="V247" s="197">
        <f t="shared" si="111"/>
        <v>0.3888888888888889</v>
      </c>
      <c r="W247" s="197">
        <f t="shared" si="77"/>
        <v>4.3555555555555561E-3</v>
      </c>
      <c r="X247" s="286">
        <f t="shared" si="78"/>
        <v>1</v>
      </c>
      <c r="Y247" s="286">
        <f t="shared" si="79"/>
        <v>0.17335969315081967</v>
      </c>
      <c r="Z247" s="286">
        <f t="shared" si="80"/>
        <v>0.54964853345132902</v>
      </c>
      <c r="AA247" s="286">
        <f t="shared" si="112"/>
        <v>0.17335969315081967</v>
      </c>
      <c r="AB247" s="197">
        <f t="shared" si="81"/>
        <v>0.36419974881911377</v>
      </c>
      <c r="AC247" s="287">
        <f t="shared" si="82"/>
        <v>4.4451203372005044E-7</v>
      </c>
      <c r="AD247" s="197">
        <f t="shared" si="113"/>
        <v>11.693936048110356</v>
      </c>
      <c r="AE247" s="197">
        <f t="shared" si="114"/>
        <v>35.08180814433107</v>
      </c>
      <c r="AF247" s="197">
        <f t="shared" si="115"/>
        <v>8.5178571428571423E-2</v>
      </c>
      <c r="AG247" s="197">
        <f t="shared" si="116"/>
        <v>0.25553571428571431</v>
      </c>
      <c r="AH247" s="197">
        <f t="shared" si="83"/>
        <v>0.11660930017110901</v>
      </c>
      <c r="AI247" s="197">
        <f t="shared" si="117"/>
        <v>0.11660930017110901</v>
      </c>
      <c r="AJ247" s="218">
        <f t="shared" si="84"/>
        <v>390.00000000000006</v>
      </c>
      <c r="AK247" s="197">
        <f t="shared" si="118"/>
        <v>6.0930617977437734E-2</v>
      </c>
      <c r="AL247" s="197">
        <f t="shared" si="119"/>
        <v>9.6203707235237593E-2</v>
      </c>
      <c r="AM247" s="197">
        <f t="shared" si="120"/>
        <v>4.0790371867740751E-3</v>
      </c>
      <c r="AN247" s="197">
        <f t="shared" si="85"/>
        <v>24.05</v>
      </c>
      <c r="AO247" s="197">
        <f t="shared" si="86"/>
        <v>21.69</v>
      </c>
      <c r="AP247" s="197">
        <f t="shared" si="121"/>
        <v>7.4093290390420161E-2</v>
      </c>
      <c r="AQ247" s="197">
        <f t="shared" si="122"/>
        <v>0.42250439890466829</v>
      </c>
      <c r="AR247" s="197">
        <f t="shared" si="123"/>
        <v>0.30589509873355925</v>
      </c>
      <c r="AS247" s="258">
        <f t="shared" si="124"/>
        <v>0.15228632177729159</v>
      </c>
      <c r="AT247" s="197">
        <f t="shared" si="87"/>
        <v>2.5974058656511614E-4</v>
      </c>
      <c r="AU247" s="194">
        <f t="shared" si="88"/>
        <v>21.19</v>
      </c>
      <c r="AV247" s="197">
        <f t="shared" si="89"/>
        <v>2.7E-2</v>
      </c>
      <c r="AW247" s="197">
        <f t="shared" si="90"/>
        <v>3.4260000000000002E-3</v>
      </c>
      <c r="AX247" s="197">
        <f t="shared" si="125"/>
        <v>6.1668000000000001E-2</v>
      </c>
      <c r="AY247" s="197">
        <f t="shared" si="91"/>
        <v>2.8867476000000005E-3</v>
      </c>
      <c r="AZ247" s="197">
        <f t="shared" si="92"/>
        <v>0</v>
      </c>
      <c r="BA247" s="197">
        <f t="shared" si="126"/>
        <v>7.2596940000000013E-2</v>
      </c>
      <c r="BB247" s="258">
        <f t="shared" si="93"/>
        <v>0.36575210336206115</v>
      </c>
      <c r="BC247" s="197">
        <f t="shared" si="94"/>
        <v>2.2380490766334034E-2</v>
      </c>
      <c r="BD247" s="197">
        <f t="shared" si="127"/>
        <v>4.4760981532668068E-3</v>
      </c>
      <c r="BE247" s="197">
        <f t="shared" si="128"/>
        <v>2.6856588919600841E-2</v>
      </c>
      <c r="BF247" s="197">
        <f t="shared" si="95"/>
        <v>0.20773291256157633</v>
      </c>
      <c r="BG247" s="197">
        <f t="shared" si="96"/>
        <v>5.4608303342508187E-4</v>
      </c>
      <c r="BH247" s="197">
        <f t="shared" si="97"/>
        <v>3.5336687086656722E-2</v>
      </c>
      <c r="BI247" s="197">
        <f t="shared" si="129"/>
        <v>0.44730899017824427</v>
      </c>
      <c r="BJ247" s="197">
        <f t="shared" si="98"/>
        <v>6.769615024661003</v>
      </c>
      <c r="BK247" s="288">
        <f t="shared" si="99"/>
        <v>0.93392401361838984</v>
      </c>
      <c r="BL247" s="197">
        <f t="shared" si="100"/>
        <v>0.37608972359227794</v>
      </c>
      <c r="BM247" s="197">
        <f t="shared" si="101"/>
        <v>7.4353030976985271E-2</v>
      </c>
      <c r="BN247" s="197">
        <f t="shared" si="102"/>
        <v>54.461181858619113</v>
      </c>
      <c r="BO247" s="197">
        <f t="shared" si="130"/>
        <v>0.2082789955950014</v>
      </c>
      <c r="BP247" s="197">
        <f t="shared" si="103"/>
        <v>65.620924669625111</v>
      </c>
      <c r="BQ247" s="197">
        <f t="shared" si="104"/>
        <v>9.9596940000000009E-2</v>
      </c>
      <c r="BR247" s="288">
        <f t="shared" si="105"/>
        <v>0.16008975919012108</v>
      </c>
      <c r="BS247" s="197">
        <f t="shared" si="106"/>
        <v>0.11660930017110901</v>
      </c>
      <c r="BT247" s="197">
        <f t="shared" si="107"/>
        <v>0.36419974881911377</v>
      </c>
      <c r="BU247" s="197">
        <f t="shared" si="108"/>
        <v>0.1713930788771201</v>
      </c>
      <c r="BV247" s="197">
        <f t="shared" si="109"/>
        <v>0.53530306917875781</v>
      </c>
      <c r="BW247" s="194"/>
      <c r="BX247" s="194"/>
      <c r="BY247" s="194"/>
      <c r="BZ247" s="194"/>
      <c r="CA247" s="194"/>
      <c r="CB247" s="194"/>
      <c r="CC247" s="194"/>
      <c r="CD247" s="194"/>
      <c r="CE247" s="194"/>
      <c r="CF247" s="194"/>
      <c r="CG247" s="194"/>
      <c r="CH247" s="194"/>
      <c r="CI247" s="194"/>
      <c r="CJ247" s="194"/>
      <c r="CK247" s="194"/>
      <c r="CL247" s="194"/>
      <c r="CM247" s="194"/>
      <c r="CN247" s="194"/>
      <c r="CO247" s="194"/>
      <c r="CP247" s="194"/>
      <c r="CQ247" s="194"/>
      <c r="CR247" s="194"/>
      <c r="CS247" s="194"/>
      <c r="CT247" s="194"/>
      <c r="CU247" s="194"/>
      <c r="CV247" s="194"/>
      <c r="CW247" s="194"/>
      <c r="CX247" s="194"/>
      <c r="CY247" s="194"/>
      <c r="CZ247" s="194"/>
      <c r="DA247" s="194"/>
      <c r="DB247" s="194"/>
      <c r="DC247" s="194"/>
      <c r="DD247" s="194"/>
      <c r="DE247" s="194"/>
      <c r="DF247" s="194"/>
    </row>
    <row r="248" spans="2:110" s="192" customFormat="1" hidden="1" x14ac:dyDescent="0.35">
      <c r="B248" s="289"/>
      <c r="C248" s="289"/>
      <c r="Q248" s="193"/>
      <c r="R248" s="194">
        <f t="shared" si="110"/>
        <v>18</v>
      </c>
      <c r="S248" s="197">
        <f t="shared" ref="S248:S311" si="133">(VLEDS/R248)*ILED/0.9</f>
        <v>0.3888888888888889</v>
      </c>
      <c r="T248" s="194">
        <f t="shared" si="131"/>
        <v>0.69</v>
      </c>
      <c r="U248" s="194">
        <f t="shared" si="132"/>
        <v>1.4999999999999999E-4</v>
      </c>
      <c r="V248" s="197">
        <f t="shared" si="111"/>
        <v>0.3888888888888889</v>
      </c>
      <c r="W248" s="197">
        <f t="shared" ref="W248:W311" si="134">V248*RON</f>
        <v>4.3555555555555561E-3</v>
      </c>
      <c r="X248" s="286">
        <f t="shared" ref="X248:X311" si="135">IF((VLEDS+T248+ILEDF*(RON+RCOIL))/(R248+T248-W248)&gt;1,1,(VLEDS+T248+ILEDF*(RON+RCOIL))/(R248+T248-W248))</f>
        <v>1</v>
      </c>
      <c r="Y248" s="286">
        <f t="shared" ref="Y248:Y311" si="136">IF((VLEDS-R248+T248+S248*(RON+RCOIL))/(VLEDS+T248-W248)&lt;0,0,(VLEDS-R248+T248+S248*(RON+RCOIL))/(VLEDS+T248-W248))</f>
        <v>0.17335969315081967</v>
      </c>
      <c r="Z248" s="286">
        <f t="shared" ref="Z248:Z311" si="137">(VLEDS+T248+(S248+ILEDF)*(RON+RCOIL))/(VLEDS+R248+T248-W248)</f>
        <v>0.54964853345132902</v>
      </c>
      <c r="AA248" s="286">
        <f t="shared" si="112"/>
        <v>0.17335969315081967</v>
      </c>
      <c r="AB248" s="197">
        <f t="shared" ref="AB248:AB311" si="138">IF(CONFIG="BUCK",ILEDF,ILEDF/(1-AA248))</f>
        <v>0.36419974881911377</v>
      </c>
      <c r="AC248" s="287">
        <f t="shared" ref="AC248:AC311" si="139">AA248/(FINIT*1000)</f>
        <v>4.4451203372005044E-7</v>
      </c>
      <c r="AD248" s="197">
        <f t="shared" si="113"/>
        <v>11.693936048110356</v>
      </c>
      <c r="AE248" s="197">
        <f t="shared" si="114"/>
        <v>35.08180814433107</v>
      </c>
      <c r="AF248" s="197">
        <f t="shared" si="115"/>
        <v>8.5178571428571423E-2</v>
      </c>
      <c r="AG248" s="197">
        <f t="shared" si="116"/>
        <v>0.25553571428571431</v>
      </c>
      <c r="AH248" s="197">
        <f t="shared" ref="AH248:AH311" si="140">IF(CONFIG="BUCK",R248-VLEDS-AB248*(RS+RCOIL)-W248,R248-AB248*(RS+RCOIL)-W248)*AC248/(L*0.000001)</f>
        <v>0.11660930017110901</v>
      </c>
      <c r="AI248" s="197">
        <f t="shared" si="117"/>
        <v>0.11660930017110901</v>
      </c>
      <c r="AJ248" s="218">
        <f t="shared" ref="AJ248:AJ311" si="141">0.001*AA248*AH248/(AI248*AC248)</f>
        <v>390.00000000000006</v>
      </c>
      <c r="AK248" s="197">
        <f t="shared" si="118"/>
        <v>6.0930617977437734E-2</v>
      </c>
      <c r="AL248" s="197">
        <f t="shared" si="119"/>
        <v>9.6203707235237593E-2</v>
      </c>
      <c r="AM248" s="197">
        <f t="shared" si="120"/>
        <v>4.0790371867740751E-3</v>
      </c>
      <c r="AN248" s="197">
        <f t="shared" ref="AN248:AN311" si="142">(QGSW/IGATE)+($D$37+$D$38)/2</f>
        <v>24.05</v>
      </c>
      <c r="AO248" s="197">
        <f t="shared" ref="AO248:AO311" si="143">IF(CONFIG="BUCK",R248+T248,IF(CONFIG="BOOST",VLEDS+T248,R248+VLEDS+T248))</f>
        <v>21.69</v>
      </c>
      <c r="AP248" s="197">
        <f t="shared" si="121"/>
        <v>7.4093290390420161E-2</v>
      </c>
      <c r="AQ248" s="197">
        <f t="shared" si="122"/>
        <v>0.42250439890466829</v>
      </c>
      <c r="AR248" s="197">
        <f t="shared" si="123"/>
        <v>0.30589509873355925</v>
      </c>
      <c r="AS248" s="258">
        <f t="shared" si="124"/>
        <v>0.15228632177729159</v>
      </c>
      <c r="AT248" s="197">
        <f t="shared" ref="AT248:AT311" si="144">(AS248^2)*RON</f>
        <v>2.5974058656511614E-4</v>
      </c>
      <c r="AU248" s="194">
        <f t="shared" ref="AU248:AU311" si="145">IF(LOWV,AO248-0.5,IF(DISSLIM,IF(R248&lt;_VZD3,R248,_VZD3),R248))</f>
        <v>21.19</v>
      </c>
      <c r="AV248" s="197">
        <f t="shared" ref="AV248:AV311" si="146">R248*IQ</f>
        <v>2.7E-2</v>
      </c>
      <c r="AW248" s="197">
        <f t="shared" ref="AW248:AW311" si="147">IQAUX+QGTOT*AJ248*0.000001</f>
        <v>3.4260000000000002E-3</v>
      </c>
      <c r="AX248" s="197">
        <f t="shared" si="125"/>
        <v>6.1668000000000001E-2</v>
      </c>
      <c r="AY248" s="197">
        <f t="shared" ref="AY248:AY311" si="148">IF(LOWV,((AW248^2)*100)+0.5*AW248,0)</f>
        <v>2.8867476000000005E-3</v>
      </c>
      <c r="AZ248" s="197">
        <f t="shared" ref="AZ248:AZ311" si="149">IF(DISSLIM,((R248-AU248)^2/5000)+AU248*(((R248-AU248)/5000)-AW248),0)</f>
        <v>0</v>
      </c>
      <c r="BA248" s="197">
        <f t="shared" si="126"/>
        <v>7.2596940000000013E-2</v>
      </c>
      <c r="BB248" s="258">
        <f t="shared" ref="BB248:BB311" si="150">SQRT((1/3)*(AQ248^2+AQ248*AR248+AR248^2))</f>
        <v>0.36575210336206115</v>
      </c>
      <c r="BC248" s="197">
        <f t="shared" ref="BC248:BC311" si="151">BB248^2*RCOIL</f>
        <v>2.2380490766334034E-2</v>
      </c>
      <c r="BD248" s="197">
        <f t="shared" si="127"/>
        <v>4.4760981532668068E-3</v>
      </c>
      <c r="BE248" s="197">
        <f t="shared" si="128"/>
        <v>2.6856588919600841E-2</v>
      </c>
      <c r="BF248" s="197">
        <f t="shared" ref="BF248:BF311" si="152">T248*AB248*(1-AA248)</f>
        <v>0.20773291256157633</v>
      </c>
      <c r="BG248" s="197">
        <f t="shared" ref="BG248:BG311" si="153">U248*AA248*IF(CONFIG="BUCK",R248,IF(CONFIG="BOOST",VLEDS,R248+VLEDS))</f>
        <v>5.4608303342508187E-4</v>
      </c>
      <c r="BH248" s="197">
        <f t="shared" ref="BH248:BH311" si="154">BB248^2*RS</f>
        <v>3.5336687086656722E-2</v>
      </c>
      <c r="BI248" s="197">
        <f t="shared" si="129"/>
        <v>0.44730899017824427</v>
      </c>
      <c r="BJ248" s="197">
        <f t="shared" ref="BJ248:BJ311" si="155">PLEDS+BI248</f>
        <v>6.769615024661003</v>
      </c>
      <c r="BK248" s="288">
        <f t="shared" ref="BK248:BK311" si="156">PLEDS/BJ248</f>
        <v>0.93392401361838984</v>
      </c>
      <c r="BL248" s="197">
        <f t="shared" ref="BL248:BL311" si="157">BJ248/R248</f>
        <v>0.37608972359227794</v>
      </c>
      <c r="BM248" s="197">
        <f t="shared" ref="BM248:BM311" si="158">AP248+AT248</f>
        <v>7.4353030976985271E-2</v>
      </c>
      <c r="BN248" s="197">
        <f t="shared" ref="BN248:BN311" si="159">TAMB+BM248*RTHMOS</f>
        <v>54.461181858619113</v>
      </c>
      <c r="BO248" s="197">
        <f t="shared" si="130"/>
        <v>0.2082789955950014</v>
      </c>
      <c r="BP248" s="197">
        <f t="shared" ref="BP248:BP311" si="160">TAMB+BO248*RTHFW</f>
        <v>65.620924669625111</v>
      </c>
      <c r="BQ248" s="197">
        <f t="shared" ref="BQ248:BQ311" si="161">AV248+BA248</f>
        <v>9.9596940000000009E-2</v>
      </c>
      <c r="BR248" s="288">
        <f t="shared" ref="BR248:BR311" si="162">0.5*AI248/AB248</f>
        <v>0.16008975919012108</v>
      </c>
      <c r="BS248" s="197">
        <f t="shared" ref="BS248:BS311" si="163">IF(CONFIG="BOOST",AI248,AB248)</f>
        <v>0.11660930017110901</v>
      </c>
      <c r="BT248" s="197">
        <f t="shared" ref="BT248:BT311" si="164">IF(CONFIG="BUCK",AI248,AB248)</f>
        <v>0.36419974881911377</v>
      </c>
      <c r="BU248" s="197">
        <f t="shared" ref="BU248:BU311" si="165">1000*BS248*(1-AA248)*AA248/(AJ248*VRIPIN)</f>
        <v>0.1713930788771201</v>
      </c>
      <c r="BV248" s="197">
        <f t="shared" ref="BV248:BV311" si="166">1000*BT248*(1-AA248)*AA248/(AJ248*VRIPOUT)</f>
        <v>0.53530306917875781</v>
      </c>
      <c r="BW248" s="194"/>
      <c r="BX248" s="194"/>
      <c r="BY248" s="194"/>
      <c r="BZ248" s="194"/>
      <c r="CA248" s="194"/>
      <c r="CB248" s="194"/>
      <c r="CC248" s="194"/>
      <c r="CD248" s="194"/>
      <c r="CE248" s="194"/>
      <c r="CF248" s="194"/>
      <c r="CG248" s="194"/>
      <c r="CH248" s="194"/>
      <c r="CI248" s="194"/>
      <c r="CJ248" s="194"/>
      <c r="CK248" s="194"/>
      <c r="CL248" s="194"/>
      <c r="CM248" s="194"/>
      <c r="CN248" s="194"/>
      <c r="CO248" s="194"/>
      <c r="CP248" s="194"/>
      <c r="CQ248" s="194"/>
      <c r="CR248" s="194"/>
      <c r="CS248" s="194"/>
      <c r="CT248" s="194"/>
      <c r="CU248" s="194"/>
      <c r="CV248" s="194"/>
      <c r="CW248" s="194"/>
      <c r="CX248" s="194"/>
      <c r="CY248" s="194"/>
      <c r="CZ248" s="194"/>
      <c r="DA248" s="194"/>
      <c r="DB248" s="194"/>
      <c r="DC248" s="194"/>
      <c r="DD248" s="194"/>
      <c r="DE248" s="194"/>
      <c r="DF248" s="194"/>
    </row>
    <row r="249" spans="2:110" s="192" customFormat="1" hidden="1" x14ac:dyDescent="0.35">
      <c r="B249" s="289"/>
      <c r="C249" s="289"/>
      <c r="Q249" s="193"/>
      <c r="R249" s="194">
        <f t="shared" ref="R249:R312" si="167">MIN(R248+0.1,VINMAX)</f>
        <v>18</v>
      </c>
      <c r="S249" s="197">
        <f t="shared" si="133"/>
        <v>0.3888888888888889</v>
      </c>
      <c r="T249" s="194">
        <f t="shared" si="131"/>
        <v>0.69</v>
      </c>
      <c r="U249" s="194">
        <f t="shared" si="132"/>
        <v>1.4999999999999999E-4</v>
      </c>
      <c r="V249" s="197">
        <f t="shared" ref="V249:V312" si="168">IF(CONFIG="BUCK",ILED,IF(CONFIG="BOOST",S249,ILED+S249))</f>
        <v>0.3888888888888889</v>
      </c>
      <c r="W249" s="197">
        <f t="shared" si="134"/>
        <v>4.3555555555555561E-3</v>
      </c>
      <c r="X249" s="286">
        <f t="shared" si="135"/>
        <v>1</v>
      </c>
      <c r="Y249" s="286">
        <f t="shared" si="136"/>
        <v>0.17335969315081967</v>
      </c>
      <c r="Z249" s="286">
        <f t="shared" si="137"/>
        <v>0.54964853345132902</v>
      </c>
      <c r="AA249" s="286">
        <f t="shared" ref="AA249:AA312" si="169">IF(CONFIG="BUCK",X249,IF(CONFIG="BOOST",Y249,Z249))</f>
        <v>0.17335969315081967</v>
      </c>
      <c r="AB249" s="197">
        <f t="shared" si="138"/>
        <v>0.36419974881911377</v>
      </c>
      <c r="AC249" s="287">
        <f t="shared" si="139"/>
        <v>4.4451203372005044E-7</v>
      </c>
      <c r="AD249" s="197">
        <f t="shared" ref="AD249:AD312" si="170">IF(CONFIG="BUCK",RIPLOW,RIPLOW*(1-AA249)/GI_ADJ)</f>
        <v>11.693936048110356</v>
      </c>
      <c r="AE249" s="197">
        <f t="shared" ref="AE249:AE312" si="171">IF(CONFIG="BUCK",RIPHIGH,RIPHIGH*(1-AA249)/GI_ADJ)</f>
        <v>35.08180814433107</v>
      </c>
      <c r="AF249" s="197">
        <f t="shared" ref="AF249:AF312" si="172">(AD249*2/100)*AB249</f>
        <v>8.5178571428571423E-2</v>
      </c>
      <c r="AG249" s="197">
        <f t="shared" ref="AG249:AG312" si="173">(AE249*2/100)*AB249</f>
        <v>0.25553571428571431</v>
      </c>
      <c r="AH249" s="197">
        <f t="shared" si="140"/>
        <v>0.11660930017110901</v>
      </c>
      <c r="AI249" s="197">
        <f t="shared" ref="AI249:AI312" si="174">IF(AH249&lt;AF249,AF249,IF(AH249&gt;AG249,AG249,AH249))</f>
        <v>0.11660930017110901</v>
      </c>
      <c r="AJ249" s="218">
        <f t="shared" si="141"/>
        <v>390.00000000000006</v>
      </c>
      <c r="AK249" s="197">
        <f t="shared" ref="AK249:AK312" si="175">AB249*RCOIL</f>
        <v>6.0930617977437734E-2</v>
      </c>
      <c r="AL249" s="197">
        <f t="shared" ref="AL249:AL312" si="176">AB249*RS</f>
        <v>9.6203707235237593E-2</v>
      </c>
      <c r="AM249" s="197">
        <f t="shared" ref="AM249:AM312" si="177">AB249*RON</f>
        <v>4.0790371867740751E-3</v>
      </c>
      <c r="AN249" s="197">
        <f t="shared" si="142"/>
        <v>24.05</v>
      </c>
      <c r="AO249" s="197">
        <f t="shared" si="143"/>
        <v>21.69</v>
      </c>
      <c r="AP249" s="197">
        <f t="shared" ref="AP249:AP312" si="178">AB249*AO249*AN249*AJ249*0.000001</f>
        <v>7.4093290390420161E-2</v>
      </c>
      <c r="AQ249" s="197">
        <f t="shared" ref="AQ249:AQ312" si="179">AB249+AI249/2</f>
        <v>0.42250439890466829</v>
      </c>
      <c r="AR249" s="197">
        <f t="shared" ref="AR249:AR312" si="180">AB249-AI249/2</f>
        <v>0.30589509873355925</v>
      </c>
      <c r="AS249" s="258">
        <f t="shared" ref="AS249:AS312" si="181">SQRT((AA249/3)*(AQ249^2+AQ249*AR249+AR249^2))</f>
        <v>0.15228632177729159</v>
      </c>
      <c r="AT249" s="197">
        <f t="shared" si="144"/>
        <v>2.5974058656511614E-4</v>
      </c>
      <c r="AU249" s="194">
        <f t="shared" si="145"/>
        <v>21.19</v>
      </c>
      <c r="AV249" s="197">
        <f t="shared" si="146"/>
        <v>2.7E-2</v>
      </c>
      <c r="AW249" s="197">
        <f t="shared" si="147"/>
        <v>3.4260000000000002E-3</v>
      </c>
      <c r="AX249" s="197">
        <f t="shared" ref="AX249:AX312" si="182">R249*(IQAUX+QGTOT*AJ249*0.000001)</f>
        <v>6.1668000000000001E-2</v>
      </c>
      <c r="AY249" s="197">
        <f t="shared" si="148"/>
        <v>2.8867476000000005E-3</v>
      </c>
      <c r="AZ249" s="197">
        <f t="shared" si="149"/>
        <v>0</v>
      </c>
      <c r="BA249" s="197">
        <f t="shared" ref="BA249:BA312" si="183">AU249*AW249</f>
        <v>7.2596940000000013E-2</v>
      </c>
      <c r="BB249" s="258">
        <f t="shared" si="150"/>
        <v>0.36575210336206115</v>
      </c>
      <c r="BC249" s="197">
        <f t="shared" si="151"/>
        <v>2.2380490766334034E-2</v>
      </c>
      <c r="BD249" s="197">
        <f t="shared" ref="BD249:BD312" si="184">BC249*0.2</f>
        <v>4.4760981532668068E-3</v>
      </c>
      <c r="BE249" s="197">
        <f t="shared" ref="BE249:BE312" si="185">BC249+BD249</f>
        <v>2.6856588919600841E-2</v>
      </c>
      <c r="BF249" s="197">
        <f t="shared" si="152"/>
        <v>0.20773291256157633</v>
      </c>
      <c r="BG249" s="197">
        <f t="shared" si="153"/>
        <v>5.4608303342508187E-4</v>
      </c>
      <c r="BH249" s="197">
        <f t="shared" si="154"/>
        <v>3.5336687086656722E-2</v>
      </c>
      <c r="BI249" s="197">
        <f t="shared" ref="BI249:BI312" si="186">AP249+AT249+AV249+AY249+BA249+BE249+BF249+BG249+BH249</f>
        <v>0.44730899017824427</v>
      </c>
      <c r="BJ249" s="197">
        <f t="shared" si="155"/>
        <v>6.769615024661003</v>
      </c>
      <c r="BK249" s="288">
        <f t="shared" si="156"/>
        <v>0.93392401361838984</v>
      </c>
      <c r="BL249" s="197">
        <f t="shared" si="157"/>
        <v>0.37608972359227794</v>
      </c>
      <c r="BM249" s="197">
        <f t="shared" si="158"/>
        <v>7.4353030976985271E-2</v>
      </c>
      <c r="BN249" s="197">
        <f t="shared" si="159"/>
        <v>54.461181858619113</v>
      </c>
      <c r="BO249" s="197">
        <f t="shared" ref="BO249:BO312" si="187">BF249+BG249</f>
        <v>0.2082789955950014</v>
      </c>
      <c r="BP249" s="197">
        <f t="shared" si="160"/>
        <v>65.620924669625111</v>
      </c>
      <c r="BQ249" s="197">
        <f t="shared" si="161"/>
        <v>9.9596940000000009E-2</v>
      </c>
      <c r="BR249" s="288">
        <f t="shared" si="162"/>
        <v>0.16008975919012108</v>
      </c>
      <c r="BS249" s="197">
        <f t="shared" si="163"/>
        <v>0.11660930017110901</v>
      </c>
      <c r="BT249" s="197">
        <f t="shared" si="164"/>
        <v>0.36419974881911377</v>
      </c>
      <c r="BU249" s="197">
        <f t="shared" si="165"/>
        <v>0.1713930788771201</v>
      </c>
      <c r="BV249" s="197">
        <f t="shared" si="166"/>
        <v>0.53530306917875781</v>
      </c>
      <c r="BW249" s="194"/>
      <c r="BX249" s="194"/>
      <c r="BY249" s="194"/>
      <c r="BZ249" s="194"/>
      <c r="CA249" s="194"/>
      <c r="CB249" s="194"/>
      <c r="CC249" s="194"/>
      <c r="CD249" s="194"/>
      <c r="CE249" s="194"/>
      <c r="CF249" s="194"/>
      <c r="CG249" s="194"/>
      <c r="CH249" s="194"/>
      <c r="CI249" s="194"/>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row>
    <row r="250" spans="2:110" s="192" customFormat="1" hidden="1" x14ac:dyDescent="0.35">
      <c r="B250" s="289"/>
      <c r="C250" s="289"/>
      <c r="Q250" s="193"/>
      <c r="R250" s="194">
        <f t="shared" si="167"/>
        <v>18</v>
      </c>
      <c r="S250" s="197">
        <f t="shared" si="133"/>
        <v>0.3888888888888889</v>
      </c>
      <c r="T250" s="194">
        <f t="shared" ref="T250:T313" si="188">$D$45</f>
        <v>0.69</v>
      </c>
      <c r="U250" s="194">
        <f t="shared" ref="U250:U313" si="189">$D$48*0.001</f>
        <v>1.4999999999999999E-4</v>
      </c>
      <c r="V250" s="197">
        <f t="shared" si="168"/>
        <v>0.3888888888888889</v>
      </c>
      <c r="W250" s="197">
        <f t="shared" si="134"/>
        <v>4.3555555555555561E-3</v>
      </c>
      <c r="X250" s="286">
        <f t="shared" si="135"/>
        <v>1</v>
      </c>
      <c r="Y250" s="286">
        <f t="shared" si="136"/>
        <v>0.17335969315081967</v>
      </c>
      <c r="Z250" s="286">
        <f t="shared" si="137"/>
        <v>0.54964853345132902</v>
      </c>
      <c r="AA250" s="286">
        <f t="shared" si="169"/>
        <v>0.17335969315081967</v>
      </c>
      <c r="AB250" s="197">
        <f t="shared" si="138"/>
        <v>0.36419974881911377</v>
      </c>
      <c r="AC250" s="287">
        <f t="shared" si="139"/>
        <v>4.4451203372005044E-7</v>
      </c>
      <c r="AD250" s="197">
        <f t="shared" si="170"/>
        <v>11.693936048110356</v>
      </c>
      <c r="AE250" s="197">
        <f t="shared" si="171"/>
        <v>35.08180814433107</v>
      </c>
      <c r="AF250" s="197">
        <f t="shared" si="172"/>
        <v>8.5178571428571423E-2</v>
      </c>
      <c r="AG250" s="197">
        <f t="shared" si="173"/>
        <v>0.25553571428571431</v>
      </c>
      <c r="AH250" s="197">
        <f t="shared" si="140"/>
        <v>0.11660930017110901</v>
      </c>
      <c r="AI250" s="197">
        <f t="shared" si="174"/>
        <v>0.11660930017110901</v>
      </c>
      <c r="AJ250" s="218">
        <f t="shared" si="141"/>
        <v>390.00000000000006</v>
      </c>
      <c r="AK250" s="197">
        <f t="shared" si="175"/>
        <v>6.0930617977437734E-2</v>
      </c>
      <c r="AL250" s="197">
        <f t="shared" si="176"/>
        <v>9.6203707235237593E-2</v>
      </c>
      <c r="AM250" s="197">
        <f t="shared" si="177"/>
        <v>4.0790371867740751E-3</v>
      </c>
      <c r="AN250" s="197">
        <f t="shared" si="142"/>
        <v>24.05</v>
      </c>
      <c r="AO250" s="197">
        <f t="shared" si="143"/>
        <v>21.69</v>
      </c>
      <c r="AP250" s="197">
        <f t="shared" si="178"/>
        <v>7.4093290390420161E-2</v>
      </c>
      <c r="AQ250" s="197">
        <f t="shared" si="179"/>
        <v>0.42250439890466829</v>
      </c>
      <c r="AR250" s="197">
        <f t="shared" si="180"/>
        <v>0.30589509873355925</v>
      </c>
      <c r="AS250" s="258">
        <f t="shared" si="181"/>
        <v>0.15228632177729159</v>
      </c>
      <c r="AT250" s="197">
        <f t="shared" si="144"/>
        <v>2.5974058656511614E-4</v>
      </c>
      <c r="AU250" s="194">
        <f t="shared" si="145"/>
        <v>21.19</v>
      </c>
      <c r="AV250" s="197">
        <f t="shared" si="146"/>
        <v>2.7E-2</v>
      </c>
      <c r="AW250" s="197">
        <f t="shared" si="147"/>
        <v>3.4260000000000002E-3</v>
      </c>
      <c r="AX250" s="197">
        <f t="shared" si="182"/>
        <v>6.1668000000000001E-2</v>
      </c>
      <c r="AY250" s="197">
        <f t="shared" si="148"/>
        <v>2.8867476000000005E-3</v>
      </c>
      <c r="AZ250" s="197">
        <f t="shared" si="149"/>
        <v>0</v>
      </c>
      <c r="BA250" s="197">
        <f t="shared" si="183"/>
        <v>7.2596940000000013E-2</v>
      </c>
      <c r="BB250" s="258">
        <f t="shared" si="150"/>
        <v>0.36575210336206115</v>
      </c>
      <c r="BC250" s="197">
        <f t="shared" si="151"/>
        <v>2.2380490766334034E-2</v>
      </c>
      <c r="BD250" s="197">
        <f t="shared" si="184"/>
        <v>4.4760981532668068E-3</v>
      </c>
      <c r="BE250" s="197">
        <f t="shared" si="185"/>
        <v>2.6856588919600841E-2</v>
      </c>
      <c r="BF250" s="197">
        <f t="shared" si="152"/>
        <v>0.20773291256157633</v>
      </c>
      <c r="BG250" s="197">
        <f t="shared" si="153"/>
        <v>5.4608303342508187E-4</v>
      </c>
      <c r="BH250" s="197">
        <f t="shared" si="154"/>
        <v>3.5336687086656722E-2</v>
      </c>
      <c r="BI250" s="197">
        <f t="shared" si="186"/>
        <v>0.44730899017824427</v>
      </c>
      <c r="BJ250" s="197">
        <f t="shared" si="155"/>
        <v>6.769615024661003</v>
      </c>
      <c r="BK250" s="288">
        <f t="shared" si="156"/>
        <v>0.93392401361838984</v>
      </c>
      <c r="BL250" s="197">
        <f t="shared" si="157"/>
        <v>0.37608972359227794</v>
      </c>
      <c r="BM250" s="197">
        <f t="shared" si="158"/>
        <v>7.4353030976985271E-2</v>
      </c>
      <c r="BN250" s="197">
        <f t="shared" si="159"/>
        <v>54.461181858619113</v>
      </c>
      <c r="BO250" s="197">
        <f t="shared" si="187"/>
        <v>0.2082789955950014</v>
      </c>
      <c r="BP250" s="197">
        <f t="shared" si="160"/>
        <v>65.620924669625111</v>
      </c>
      <c r="BQ250" s="197">
        <f t="shared" si="161"/>
        <v>9.9596940000000009E-2</v>
      </c>
      <c r="BR250" s="288">
        <f t="shared" si="162"/>
        <v>0.16008975919012108</v>
      </c>
      <c r="BS250" s="197">
        <f t="shared" si="163"/>
        <v>0.11660930017110901</v>
      </c>
      <c r="BT250" s="197">
        <f t="shared" si="164"/>
        <v>0.36419974881911377</v>
      </c>
      <c r="BU250" s="197">
        <f t="shared" si="165"/>
        <v>0.1713930788771201</v>
      </c>
      <c r="BV250" s="197">
        <f t="shared" si="166"/>
        <v>0.53530306917875781</v>
      </c>
      <c r="BW250" s="194"/>
      <c r="BX250" s="194"/>
      <c r="BY250" s="194"/>
      <c r="BZ250" s="194"/>
      <c r="CA250" s="194"/>
      <c r="CB250" s="194"/>
      <c r="CC250" s="194"/>
      <c r="CD250" s="194"/>
      <c r="CE250" s="194"/>
      <c r="CF250" s="194"/>
      <c r="CG250" s="194"/>
      <c r="CH250" s="194"/>
      <c r="CI250" s="194"/>
      <c r="CJ250" s="194"/>
      <c r="CK250" s="194"/>
      <c r="CL250" s="194"/>
      <c r="CM250" s="194"/>
      <c r="CN250" s="194"/>
      <c r="CO250" s="194"/>
      <c r="CP250" s="194"/>
      <c r="CQ250" s="194"/>
      <c r="CR250" s="194"/>
      <c r="CS250" s="194"/>
      <c r="CT250" s="194"/>
      <c r="CU250" s="194"/>
      <c r="CV250" s="194"/>
      <c r="CW250" s="194"/>
      <c r="CX250" s="194"/>
      <c r="CY250" s="194"/>
      <c r="CZ250" s="194"/>
      <c r="DA250" s="194"/>
      <c r="DB250" s="194"/>
      <c r="DC250" s="194"/>
      <c r="DD250" s="194"/>
      <c r="DE250" s="194"/>
      <c r="DF250" s="194"/>
    </row>
    <row r="251" spans="2:110" s="192" customFormat="1" hidden="1" x14ac:dyDescent="0.35">
      <c r="B251" s="289"/>
      <c r="C251" s="289"/>
      <c r="Q251" s="193"/>
      <c r="R251" s="194">
        <f t="shared" si="167"/>
        <v>18</v>
      </c>
      <c r="S251" s="197">
        <f t="shared" si="133"/>
        <v>0.3888888888888889</v>
      </c>
      <c r="T251" s="194">
        <f t="shared" si="188"/>
        <v>0.69</v>
      </c>
      <c r="U251" s="194">
        <f t="shared" si="189"/>
        <v>1.4999999999999999E-4</v>
      </c>
      <c r="V251" s="197">
        <f t="shared" si="168"/>
        <v>0.3888888888888889</v>
      </c>
      <c r="W251" s="197">
        <f t="shared" si="134"/>
        <v>4.3555555555555561E-3</v>
      </c>
      <c r="X251" s="286">
        <f t="shared" si="135"/>
        <v>1</v>
      </c>
      <c r="Y251" s="286">
        <f t="shared" si="136"/>
        <v>0.17335969315081967</v>
      </c>
      <c r="Z251" s="286">
        <f t="shared" si="137"/>
        <v>0.54964853345132902</v>
      </c>
      <c r="AA251" s="286">
        <f t="shared" si="169"/>
        <v>0.17335969315081967</v>
      </c>
      <c r="AB251" s="197">
        <f t="shared" si="138"/>
        <v>0.36419974881911377</v>
      </c>
      <c r="AC251" s="287">
        <f t="shared" si="139"/>
        <v>4.4451203372005044E-7</v>
      </c>
      <c r="AD251" s="197">
        <f t="shared" si="170"/>
        <v>11.693936048110356</v>
      </c>
      <c r="AE251" s="197">
        <f t="shared" si="171"/>
        <v>35.08180814433107</v>
      </c>
      <c r="AF251" s="197">
        <f t="shared" si="172"/>
        <v>8.5178571428571423E-2</v>
      </c>
      <c r="AG251" s="197">
        <f t="shared" si="173"/>
        <v>0.25553571428571431</v>
      </c>
      <c r="AH251" s="197">
        <f t="shared" si="140"/>
        <v>0.11660930017110901</v>
      </c>
      <c r="AI251" s="197">
        <f t="shared" si="174"/>
        <v>0.11660930017110901</v>
      </c>
      <c r="AJ251" s="218">
        <f t="shared" si="141"/>
        <v>390.00000000000006</v>
      </c>
      <c r="AK251" s="197">
        <f t="shared" si="175"/>
        <v>6.0930617977437734E-2</v>
      </c>
      <c r="AL251" s="197">
        <f t="shared" si="176"/>
        <v>9.6203707235237593E-2</v>
      </c>
      <c r="AM251" s="197">
        <f t="shared" si="177"/>
        <v>4.0790371867740751E-3</v>
      </c>
      <c r="AN251" s="197">
        <f t="shared" si="142"/>
        <v>24.05</v>
      </c>
      <c r="AO251" s="197">
        <f t="shared" si="143"/>
        <v>21.69</v>
      </c>
      <c r="AP251" s="197">
        <f t="shared" si="178"/>
        <v>7.4093290390420161E-2</v>
      </c>
      <c r="AQ251" s="197">
        <f t="shared" si="179"/>
        <v>0.42250439890466829</v>
      </c>
      <c r="AR251" s="197">
        <f t="shared" si="180"/>
        <v>0.30589509873355925</v>
      </c>
      <c r="AS251" s="258">
        <f t="shared" si="181"/>
        <v>0.15228632177729159</v>
      </c>
      <c r="AT251" s="197">
        <f t="shared" si="144"/>
        <v>2.5974058656511614E-4</v>
      </c>
      <c r="AU251" s="194">
        <f t="shared" si="145"/>
        <v>21.19</v>
      </c>
      <c r="AV251" s="197">
        <f t="shared" si="146"/>
        <v>2.7E-2</v>
      </c>
      <c r="AW251" s="197">
        <f t="shared" si="147"/>
        <v>3.4260000000000002E-3</v>
      </c>
      <c r="AX251" s="197">
        <f t="shared" si="182"/>
        <v>6.1668000000000001E-2</v>
      </c>
      <c r="AY251" s="197">
        <f t="shared" si="148"/>
        <v>2.8867476000000005E-3</v>
      </c>
      <c r="AZ251" s="197">
        <f t="shared" si="149"/>
        <v>0</v>
      </c>
      <c r="BA251" s="197">
        <f t="shared" si="183"/>
        <v>7.2596940000000013E-2</v>
      </c>
      <c r="BB251" s="258">
        <f t="shared" si="150"/>
        <v>0.36575210336206115</v>
      </c>
      <c r="BC251" s="197">
        <f t="shared" si="151"/>
        <v>2.2380490766334034E-2</v>
      </c>
      <c r="BD251" s="197">
        <f t="shared" si="184"/>
        <v>4.4760981532668068E-3</v>
      </c>
      <c r="BE251" s="197">
        <f t="shared" si="185"/>
        <v>2.6856588919600841E-2</v>
      </c>
      <c r="BF251" s="197">
        <f t="shared" si="152"/>
        <v>0.20773291256157633</v>
      </c>
      <c r="BG251" s="197">
        <f t="shared" si="153"/>
        <v>5.4608303342508187E-4</v>
      </c>
      <c r="BH251" s="197">
        <f t="shared" si="154"/>
        <v>3.5336687086656722E-2</v>
      </c>
      <c r="BI251" s="197">
        <f t="shared" si="186"/>
        <v>0.44730899017824427</v>
      </c>
      <c r="BJ251" s="197">
        <f t="shared" si="155"/>
        <v>6.769615024661003</v>
      </c>
      <c r="BK251" s="288">
        <f t="shared" si="156"/>
        <v>0.93392401361838984</v>
      </c>
      <c r="BL251" s="197">
        <f t="shared" si="157"/>
        <v>0.37608972359227794</v>
      </c>
      <c r="BM251" s="197">
        <f t="shared" si="158"/>
        <v>7.4353030976985271E-2</v>
      </c>
      <c r="BN251" s="197">
        <f t="shared" si="159"/>
        <v>54.461181858619113</v>
      </c>
      <c r="BO251" s="197">
        <f t="shared" si="187"/>
        <v>0.2082789955950014</v>
      </c>
      <c r="BP251" s="197">
        <f t="shared" si="160"/>
        <v>65.620924669625111</v>
      </c>
      <c r="BQ251" s="197">
        <f t="shared" si="161"/>
        <v>9.9596940000000009E-2</v>
      </c>
      <c r="BR251" s="288">
        <f t="shared" si="162"/>
        <v>0.16008975919012108</v>
      </c>
      <c r="BS251" s="197">
        <f t="shared" si="163"/>
        <v>0.11660930017110901</v>
      </c>
      <c r="BT251" s="197">
        <f t="shared" si="164"/>
        <v>0.36419974881911377</v>
      </c>
      <c r="BU251" s="197">
        <f t="shared" si="165"/>
        <v>0.1713930788771201</v>
      </c>
      <c r="BV251" s="197">
        <f t="shared" si="166"/>
        <v>0.53530306917875781</v>
      </c>
      <c r="BW251" s="194"/>
      <c r="BX251" s="194"/>
      <c r="BY251" s="194"/>
      <c r="BZ251" s="194"/>
      <c r="CA251" s="194"/>
      <c r="CB251" s="194"/>
      <c r="CC251" s="194"/>
      <c r="CD251" s="194"/>
      <c r="CE251" s="194"/>
      <c r="CF251" s="194"/>
      <c r="CG251" s="194"/>
      <c r="CH251" s="194"/>
      <c r="CI251" s="194"/>
      <c r="CJ251" s="194"/>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row>
    <row r="252" spans="2:110" s="192" customFormat="1" hidden="1" x14ac:dyDescent="0.35">
      <c r="B252" s="289"/>
      <c r="C252" s="289"/>
      <c r="Q252" s="193"/>
      <c r="R252" s="194">
        <f t="shared" si="167"/>
        <v>18</v>
      </c>
      <c r="S252" s="197">
        <f t="shared" si="133"/>
        <v>0.3888888888888889</v>
      </c>
      <c r="T252" s="194">
        <f t="shared" si="188"/>
        <v>0.69</v>
      </c>
      <c r="U252" s="194">
        <f t="shared" si="189"/>
        <v>1.4999999999999999E-4</v>
      </c>
      <c r="V252" s="197">
        <f t="shared" si="168"/>
        <v>0.3888888888888889</v>
      </c>
      <c r="W252" s="197">
        <f t="shared" si="134"/>
        <v>4.3555555555555561E-3</v>
      </c>
      <c r="X252" s="286">
        <f t="shared" si="135"/>
        <v>1</v>
      </c>
      <c r="Y252" s="286">
        <f t="shared" si="136"/>
        <v>0.17335969315081967</v>
      </c>
      <c r="Z252" s="286">
        <f t="shared" si="137"/>
        <v>0.54964853345132902</v>
      </c>
      <c r="AA252" s="286">
        <f t="shared" si="169"/>
        <v>0.17335969315081967</v>
      </c>
      <c r="AB252" s="197">
        <f t="shared" si="138"/>
        <v>0.36419974881911377</v>
      </c>
      <c r="AC252" s="287">
        <f t="shared" si="139"/>
        <v>4.4451203372005044E-7</v>
      </c>
      <c r="AD252" s="197">
        <f t="shared" si="170"/>
        <v>11.693936048110356</v>
      </c>
      <c r="AE252" s="197">
        <f t="shared" si="171"/>
        <v>35.08180814433107</v>
      </c>
      <c r="AF252" s="197">
        <f t="shared" si="172"/>
        <v>8.5178571428571423E-2</v>
      </c>
      <c r="AG252" s="197">
        <f t="shared" si="173"/>
        <v>0.25553571428571431</v>
      </c>
      <c r="AH252" s="197">
        <f t="shared" si="140"/>
        <v>0.11660930017110901</v>
      </c>
      <c r="AI252" s="197">
        <f t="shared" si="174"/>
        <v>0.11660930017110901</v>
      </c>
      <c r="AJ252" s="218">
        <f t="shared" si="141"/>
        <v>390.00000000000006</v>
      </c>
      <c r="AK252" s="197">
        <f t="shared" si="175"/>
        <v>6.0930617977437734E-2</v>
      </c>
      <c r="AL252" s="197">
        <f t="shared" si="176"/>
        <v>9.6203707235237593E-2</v>
      </c>
      <c r="AM252" s="197">
        <f t="shared" si="177"/>
        <v>4.0790371867740751E-3</v>
      </c>
      <c r="AN252" s="197">
        <f t="shared" si="142"/>
        <v>24.05</v>
      </c>
      <c r="AO252" s="197">
        <f t="shared" si="143"/>
        <v>21.69</v>
      </c>
      <c r="AP252" s="197">
        <f t="shared" si="178"/>
        <v>7.4093290390420161E-2</v>
      </c>
      <c r="AQ252" s="197">
        <f t="shared" si="179"/>
        <v>0.42250439890466829</v>
      </c>
      <c r="AR252" s="197">
        <f t="shared" si="180"/>
        <v>0.30589509873355925</v>
      </c>
      <c r="AS252" s="258">
        <f t="shared" si="181"/>
        <v>0.15228632177729159</v>
      </c>
      <c r="AT252" s="197">
        <f t="shared" si="144"/>
        <v>2.5974058656511614E-4</v>
      </c>
      <c r="AU252" s="194">
        <f t="shared" si="145"/>
        <v>21.19</v>
      </c>
      <c r="AV252" s="197">
        <f t="shared" si="146"/>
        <v>2.7E-2</v>
      </c>
      <c r="AW252" s="197">
        <f t="shared" si="147"/>
        <v>3.4260000000000002E-3</v>
      </c>
      <c r="AX252" s="197">
        <f t="shared" si="182"/>
        <v>6.1668000000000001E-2</v>
      </c>
      <c r="AY252" s="197">
        <f t="shared" si="148"/>
        <v>2.8867476000000005E-3</v>
      </c>
      <c r="AZ252" s="197">
        <f t="shared" si="149"/>
        <v>0</v>
      </c>
      <c r="BA252" s="197">
        <f t="shared" si="183"/>
        <v>7.2596940000000013E-2</v>
      </c>
      <c r="BB252" s="258">
        <f t="shared" si="150"/>
        <v>0.36575210336206115</v>
      </c>
      <c r="BC252" s="197">
        <f t="shared" si="151"/>
        <v>2.2380490766334034E-2</v>
      </c>
      <c r="BD252" s="197">
        <f t="shared" si="184"/>
        <v>4.4760981532668068E-3</v>
      </c>
      <c r="BE252" s="197">
        <f t="shared" si="185"/>
        <v>2.6856588919600841E-2</v>
      </c>
      <c r="BF252" s="197">
        <f t="shared" si="152"/>
        <v>0.20773291256157633</v>
      </c>
      <c r="BG252" s="197">
        <f t="shared" si="153"/>
        <v>5.4608303342508187E-4</v>
      </c>
      <c r="BH252" s="197">
        <f t="shared" si="154"/>
        <v>3.5336687086656722E-2</v>
      </c>
      <c r="BI252" s="197">
        <f t="shared" si="186"/>
        <v>0.44730899017824427</v>
      </c>
      <c r="BJ252" s="197">
        <f t="shared" si="155"/>
        <v>6.769615024661003</v>
      </c>
      <c r="BK252" s="288">
        <f t="shared" si="156"/>
        <v>0.93392401361838984</v>
      </c>
      <c r="BL252" s="197">
        <f t="shared" si="157"/>
        <v>0.37608972359227794</v>
      </c>
      <c r="BM252" s="197">
        <f t="shared" si="158"/>
        <v>7.4353030976985271E-2</v>
      </c>
      <c r="BN252" s="197">
        <f t="shared" si="159"/>
        <v>54.461181858619113</v>
      </c>
      <c r="BO252" s="197">
        <f t="shared" si="187"/>
        <v>0.2082789955950014</v>
      </c>
      <c r="BP252" s="197">
        <f t="shared" si="160"/>
        <v>65.620924669625111</v>
      </c>
      <c r="BQ252" s="197">
        <f t="shared" si="161"/>
        <v>9.9596940000000009E-2</v>
      </c>
      <c r="BR252" s="288">
        <f t="shared" si="162"/>
        <v>0.16008975919012108</v>
      </c>
      <c r="BS252" s="197">
        <f t="shared" si="163"/>
        <v>0.11660930017110901</v>
      </c>
      <c r="BT252" s="197">
        <f t="shared" si="164"/>
        <v>0.36419974881911377</v>
      </c>
      <c r="BU252" s="197">
        <f t="shared" si="165"/>
        <v>0.1713930788771201</v>
      </c>
      <c r="BV252" s="197">
        <f t="shared" si="166"/>
        <v>0.53530306917875781</v>
      </c>
      <c r="BW252" s="194"/>
      <c r="BX252" s="194"/>
      <c r="BY252" s="194"/>
      <c r="BZ252" s="194"/>
      <c r="CA252" s="194"/>
      <c r="CB252" s="194"/>
      <c r="CC252" s="194"/>
      <c r="CD252" s="194"/>
      <c r="CE252" s="194"/>
      <c r="CF252" s="194"/>
      <c r="CG252" s="194"/>
      <c r="CH252" s="194"/>
      <c r="CI252" s="194"/>
      <c r="CJ252" s="194"/>
      <c r="CK252" s="194"/>
      <c r="CL252" s="194"/>
      <c r="CM252" s="194"/>
      <c r="CN252" s="194"/>
      <c r="CO252" s="194"/>
      <c r="CP252" s="194"/>
      <c r="CQ252" s="194"/>
      <c r="CR252" s="194"/>
      <c r="CS252" s="194"/>
      <c r="CT252" s="194"/>
      <c r="CU252" s="194"/>
      <c r="CV252" s="194"/>
      <c r="CW252" s="194"/>
      <c r="CX252" s="194"/>
      <c r="CY252" s="194"/>
      <c r="CZ252" s="194"/>
      <c r="DA252" s="194"/>
      <c r="DB252" s="194"/>
      <c r="DC252" s="194"/>
      <c r="DD252" s="194"/>
      <c r="DE252" s="194"/>
      <c r="DF252" s="194"/>
    </row>
    <row r="253" spans="2:110" s="192" customFormat="1" hidden="1" x14ac:dyDescent="0.35">
      <c r="B253" s="289"/>
      <c r="C253" s="289"/>
      <c r="Q253" s="193"/>
      <c r="R253" s="194">
        <f t="shared" si="167"/>
        <v>18</v>
      </c>
      <c r="S253" s="197">
        <f t="shared" si="133"/>
        <v>0.3888888888888889</v>
      </c>
      <c r="T253" s="194">
        <f t="shared" si="188"/>
        <v>0.69</v>
      </c>
      <c r="U253" s="194">
        <f t="shared" si="189"/>
        <v>1.4999999999999999E-4</v>
      </c>
      <c r="V253" s="197">
        <f t="shared" si="168"/>
        <v>0.3888888888888889</v>
      </c>
      <c r="W253" s="197">
        <f t="shared" si="134"/>
        <v>4.3555555555555561E-3</v>
      </c>
      <c r="X253" s="286">
        <f t="shared" si="135"/>
        <v>1</v>
      </c>
      <c r="Y253" s="286">
        <f t="shared" si="136"/>
        <v>0.17335969315081967</v>
      </c>
      <c r="Z253" s="286">
        <f t="shared" si="137"/>
        <v>0.54964853345132902</v>
      </c>
      <c r="AA253" s="286">
        <f t="shared" si="169"/>
        <v>0.17335969315081967</v>
      </c>
      <c r="AB253" s="197">
        <f t="shared" si="138"/>
        <v>0.36419974881911377</v>
      </c>
      <c r="AC253" s="287">
        <f t="shared" si="139"/>
        <v>4.4451203372005044E-7</v>
      </c>
      <c r="AD253" s="197">
        <f t="shared" si="170"/>
        <v>11.693936048110356</v>
      </c>
      <c r="AE253" s="197">
        <f t="shared" si="171"/>
        <v>35.08180814433107</v>
      </c>
      <c r="AF253" s="197">
        <f t="shared" si="172"/>
        <v>8.5178571428571423E-2</v>
      </c>
      <c r="AG253" s="197">
        <f t="shared" si="173"/>
        <v>0.25553571428571431</v>
      </c>
      <c r="AH253" s="197">
        <f t="shared" si="140"/>
        <v>0.11660930017110901</v>
      </c>
      <c r="AI253" s="197">
        <f t="shared" si="174"/>
        <v>0.11660930017110901</v>
      </c>
      <c r="AJ253" s="218">
        <f t="shared" si="141"/>
        <v>390.00000000000006</v>
      </c>
      <c r="AK253" s="197">
        <f t="shared" si="175"/>
        <v>6.0930617977437734E-2</v>
      </c>
      <c r="AL253" s="197">
        <f t="shared" si="176"/>
        <v>9.6203707235237593E-2</v>
      </c>
      <c r="AM253" s="197">
        <f t="shared" si="177"/>
        <v>4.0790371867740751E-3</v>
      </c>
      <c r="AN253" s="197">
        <f t="shared" si="142"/>
        <v>24.05</v>
      </c>
      <c r="AO253" s="197">
        <f t="shared" si="143"/>
        <v>21.69</v>
      </c>
      <c r="AP253" s="197">
        <f t="shared" si="178"/>
        <v>7.4093290390420161E-2</v>
      </c>
      <c r="AQ253" s="197">
        <f t="shared" si="179"/>
        <v>0.42250439890466829</v>
      </c>
      <c r="AR253" s="197">
        <f t="shared" si="180"/>
        <v>0.30589509873355925</v>
      </c>
      <c r="AS253" s="258">
        <f t="shared" si="181"/>
        <v>0.15228632177729159</v>
      </c>
      <c r="AT253" s="197">
        <f t="shared" si="144"/>
        <v>2.5974058656511614E-4</v>
      </c>
      <c r="AU253" s="194">
        <f t="shared" si="145"/>
        <v>21.19</v>
      </c>
      <c r="AV253" s="197">
        <f t="shared" si="146"/>
        <v>2.7E-2</v>
      </c>
      <c r="AW253" s="197">
        <f t="shared" si="147"/>
        <v>3.4260000000000002E-3</v>
      </c>
      <c r="AX253" s="197">
        <f t="shared" si="182"/>
        <v>6.1668000000000001E-2</v>
      </c>
      <c r="AY253" s="197">
        <f t="shared" si="148"/>
        <v>2.8867476000000005E-3</v>
      </c>
      <c r="AZ253" s="197">
        <f t="shared" si="149"/>
        <v>0</v>
      </c>
      <c r="BA253" s="197">
        <f t="shared" si="183"/>
        <v>7.2596940000000013E-2</v>
      </c>
      <c r="BB253" s="258">
        <f t="shared" si="150"/>
        <v>0.36575210336206115</v>
      </c>
      <c r="BC253" s="197">
        <f t="shared" si="151"/>
        <v>2.2380490766334034E-2</v>
      </c>
      <c r="BD253" s="197">
        <f t="shared" si="184"/>
        <v>4.4760981532668068E-3</v>
      </c>
      <c r="BE253" s="197">
        <f t="shared" si="185"/>
        <v>2.6856588919600841E-2</v>
      </c>
      <c r="BF253" s="197">
        <f t="shared" si="152"/>
        <v>0.20773291256157633</v>
      </c>
      <c r="BG253" s="197">
        <f t="shared" si="153"/>
        <v>5.4608303342508187E-4</v>
      </c>
      <c r="BH253" s="197">
        <f t="shared" si="154"/>
        <v>3.5336687086656722E-2</v>
      </c>
      <c r="BI253" s="197">
        <f t="shared" si="186"/>
        <v>0.44730899017824427</v>
      </c>
      <c r="BJ253" s="197">
        <f t="shared" si="155"/>
        <v>6.769615024661003</v>
      </c>
      <c r="BK253" s="288">
        <f t="shared" si="156"/>
        <v>0.93392401361838984</v>
      </c>
      <c r="BL253" s="197">
        <f t="shared" si="157"/>
        <v>0.37608972359227794</v>
      </c>
      <c r="BM253" s="197">
        <f t="shared" si="158"/>
        <v>7.4353030976985271E-2</v>
      </c>
      <c r="BN253" s="197">
        <f t="shared" si="159"/>
        <v>54.461181858619113</v>
      </c>
      <c r="BO253" s="197">
        <f t="shared" si="187"/>
        <v>0.2082789955950014</v>
      </c>
      <c r="BP253" s="197">
        <f t="shared" si="160"/>
        <v>65.620924669625111</v>
      </c>
      <c r="BQ253" s="197">
        <f t="shared" si="161"/>
        <v>9.9596940000000009E-2</v>
      </c>
      <c r="BR253" s="288">
        <f t="shared" si="162"/>
        <v>0.16008975919012108</v>
      </c>
      <c r="BS253" s="197">
        <f t="shared" si="163"/>
        <v>0.11660930017110901</v>
      </c>
      <c r="BT253" s="197">
        <f t="shared" si="164"/>
        <v>0.36419974881911377</v>
      </c>
      <c r="BU253" s="197">
        <f t="shared" si="165"/>
        <v>0.1713930788771201</v>
      </c>
      <c r="BV253" s="197">
        <f t="shared" si="166"/>
        <v>0.53530306917875781</v>
      </c>
      <c r="BW253" s="194"/>
      <c r="BX253" s="194"/>
      <c r="BY253" s="194"/>
      <c r="BZ253" s="194"/>
      <c r="CA253" s="194"/>
      <c r="CB253" s="194"/>
      <c r="CC253" s="194"/>
      <c r="CD253" s="194"/>
      <c r="CE253" s="194"/>
      <c r="CF253" s="194"/>
      <c r="CG253" s="194"/>
      <c r="CH253" s="194"/>
      <c r="CI253" s="194"/>
      <c r="CJ253" s="194"/>
      <c r="CK253" s="194"/>
      <c r="CL253" s="194"/>
      <c r="CM253" s="194"/>
      <c r="CN253" s="194"/>
      <c r="CO253" s="194"/>
      <c r="CP253" s="194"/>
      <c r="CQ253" s="194"/>
      <c r="CR253" s="194"/>
      <c r="CS253" s="194"/>
      <c r="CT253" s="194"/>
      <c r="CU253" s="194"/>
      <c r="CV253" s="194"/>
      <c r="CW253" s="194"/>
      <c r="CX253" s="194"/>
      <c r="CY253" s="194"/>
      <c r="CZ253" s="194"/>
      <c r="DA253" s="194"/>
      <c r="DB253" s="194"/>
      <c r="DC253" s="194"/>
      <c r="DD253" s="194"/>
      <c r="DE253" s="194"/>
      <c r="DF253" s="194"/>
    </row>
    <row r="254" spans="2:110" s="192" customFormat="1" hidden="1" x14ac:dyDescent="0.35">
      <c r="B254" s="289"/>
      <c r="C254" s="289"/>
      <c r="Q254" s="193"/>
      <c r="R254" s="194">
        <f t="shared" si="167"/>
        <v>18</v>
      </c>
      <c r="S254" s="197">
        <f t="shared" si="133"/>
        <v>0.3888888888888889</v>
      </c>
      <c r="T254" s="194">
        <f t="shared" si="188"/>
        <v>0.69</v>
      </c>
      <c r="U254" s="194">
        <f t="shared" si="189"/>
        <v>1.4999999999999999E-4</v>
      </c>
      <c r="V254" s="197">
        <f t="shared" si="168"/>
        <v>0.3888888888888889</v>
      </c>
      <c r="W254" s="197">
        <f t="shared" si="134"/>
        <v>4.3555555555555561E-3</v>
      </c>
      <c r="X254" s="286">
        <f t="shared" si="135"/>
        <v>1</v>
      </c>
      <c r="Y254" s="286">
        <f t="shared" si="136"/>
        <v>0.17335969315081967</v>
      </c>
      <c r="Z254" s="286">
        <f t="shared" si="137"/>
        <v>0.54964853345132902</v>
      </c>
      <c r="AA254" s="286">
        <f t="shared" si="169"/>
        <v>0.17335969315081967</v>
      </c>
      <c r="AB254" s="197">
        <f t="shared" si="138"/>
        <v>0.36419974881911377</v>
      </c>
      <c r="AC254" s="287">
        <f t="shared" si="139"/>
        <v>4.4451203372005044E-7</v>
      </c>
      <c r="AD254" s="197">
        <f t="shared" si="170"/>
        <v>11.693936048110356</v>
      </c>
      <c r="AE254" s="197">
        <f t="shared" si="171"/>
        <v>35.08180814433107</v>
      </c>
      <c r="AF254" s="197">
        <f t="shared" si="172"/>
        <v>8.5178571428571423E-2</v>
      </c>
      <c r="AG254" s="197">
        <f t="shared" si="173"/>
        <v>0.25553571428571431</v>
      </c>
      <c r="AH254" s="197">
        <f t="shared" si="140"/>
        <v>0.11660930017110901</v>
      </c>
      <c r="AI254" s="197">
        <f t="shared" si="174"/>
        <v>0.11660930017110901</v>
      </c>
      <c r="AJ254" s="218">
        <f t="shared" si="141"/>
        <v>390.00000000000006</v>
      </c>
      <c r="AK254" s="197">
        <f t="shared" si="175"/>
        <v>6.0930617977437734E-2</v>
      </c>
      <c r="AL254" s="197">
        <f t="shared" si="176"/>
        <v>9.6203707235237593E-2</v>
      </c>
      <c r="AM254" s="197">
        <f t="shared" si="177"/>
        <v>4.0790371867740751E-3</v>
      </c>
      <c r="AN254" s="197">
        <f t="shared" si="142"/>
        <v>24.05</v>
      </c>
      <c r="AO254" s="197">
        <f t="shared" si="143"/>
        <v>21.69</v>
      </c>
      <c r="AP254" s="197">
        <f t="shared" si="178"/>
        <v>7.4093290390420161E-2</v>
      </c>
      <c r="AQ254" s="197">
        <f t="shared" si="179"/>
        <v>0.42250439890466829</v>
      </c>
      <c r="AR254" s="197">
        <f t="shared" si="180"/>
        <v>0.30589509873355925</v>
      </c>
      <c r="AS254" s="258">
        <f t="shared" si="181"/>
        <v>0.15228632177729159</v>
      </c>
      <c r="AT254" s="197">
        <f t="shared" si="144"/>
        <v>2.5974058656511614E-4</v>
      </c>
      <c r="AU254" s="194">
        <f t="shared" si="145"/>
        <v>21.19</v>
      </c>
      <c r="AV254" s="197">
        <f t="shared" si="146"/>
        <v>2.7E-2</v>
      </c>
      <c r="AW254" s="197">
        <f t="shared" si="147"/>
        <v>3.4260000000000002E-3</v>
      </c>
      <c r="AX254" s="197">
        <f t="shared" si="182"/>
        <v>6.1668000000000001E-2</v>
      </c>
      <c r="AY254" s="197">
        <f t="shared" si="148"/>
        <v>2.8867476000000005E-3</v>
      </c>
      <c r="AZ254" s="197">
        <f t="shared" si="149"/>
        <v>0</v>
      </c>
      <c r="BA254" s="197">
        <f t="shared" si="183"/>
        <v>7.2596940000000013E-2</v>
      </c>
      <c r="BB254" s="258">
        <f t="shared" si="150"/>
        <v>0.36575210336206115</v>
      </c>
      <c r="BC254" s="197">
        <f t="shared" si="151"/>
        <v>2.2380490766334034E-2</v>
      </c>
      <c r="BD254" s="197">
        <f t="shared" si="184"/>
        <v>4.4760981532668068E-3</v>
      </c>
      <c r="BE254" s="197">
        <f t="shared" si="185"/>
        <v>2.6856588919600841E-2</v>
      </c>
      <c r="BF254" s="197">
        <f t="shared" si="152"/>
        <v>0.20773291256157633</v>
      </c>
      <c r="BG254" s="197">
        <f t="shared" si="153"/>
        <v>5.4608303342508187E-4</v>
      </c>
      <c r="BH254" s="197">
        <f t="shared" si="154"/>
        <v>3.5336687086656722E-2</v>
      </c>
      <c r="BI254" s="197">
        <f t="shared" si="186"/>
        <v>0.44730899017824427</v>
      </c>
      <c r="BJ254" s="197">
        <f t="shared" si="155"/>
        <v>6.769615024661003</v>
      </c>
      <c r="BK254" s="288">
        <f t="shared" si="156"/>
        <v>0.93392401361838984</v>
      </c>
      <c r="BL254" s="197">
        <f t="shared" si="157"/>
        <v>0.37608972359227794</v>
      </c>
      <c r="BM254" s="197">
        <f t="shared" si="158"/>
        <v>7.4353030976985271E-2</v>
      </c>
      <c r="BN254" s="197">
        <f t="shared" si="159"/>
        <v>54.461181858619113</v>
      </c>
      <c r="BO254" s="197">
        <f t="shared" si="187"/>
        <v>0.2082789955950014</v>
      </c>
      <c r="BP254" s="197">
        <f t="shared" si="160"/>
        <v>65.620924669625111</v>
      </c>
      <c r="BQ254" s="197">
        <f t="shared" si="161"/>
        <v>9.9596940000000009E-2</v>
      </c>
      <c r="BR254" s="288">
        <f t="shared" si="162"/>
        <v>0.16008975919012108</v>
      </c>
      <c r="BS254" s="197">
        <f t="shared" si="163"/>
        <v>0.11660930017110901</v>
      </c>
      <c r="BT254" s="197">
        <f t="shared" si="164"/>
        <v>0.36419974881911377</v>
      </c>
      <c r="BU254" s="197">
        <f t="shared" si="165"/>
        <v>0.1713930788771201</v>
      </c>
      <c r="BV254" s="197">
        <f t="shared" si="166"/>
        <v>0.53530306917875781</v>
      </c>
      <c r="BW254" s="194"/>
      <c r="BX254" s="194"/>
      <c r="BY254" s="194"/>
      <c r="BZ254" s="194"/>
      <c r="CA254" s="194"/>
      <c r="CB254" s="194"/>
      <c r="CC254" s="194"/>
      <c r="CD254" s="194"/>
      <c r="CE254" s="194"/>
      <c r="CF254" s="194"/>
      <c r="CG254" s="194"/>
      <c r="CH254" s="194"/>
      <c r="CI254" s="194"/>
      <c r="CJ254" s="194"/>
      <c r="CK254" s="194"/>
      <c r="CL254" s="194"/>
      <c r="CM254" s="194"/>
      <c r="CN254" s="194"/>
      <c r="CO254" s="194"/>
      <c r="CP254" s="194"/>
      <c r="CQ254" s="194"/>
      <c r="CR254" s="194"/>
      <c r="CS254" s="194"/>
      <c r="CT254" s="194"/>
      <c r="CU254" s="194"/>
      <c r="CV254" s="194"/>
      <c r="CW254" s="194"/>
      <c r="CX254" s="194"/>
      <c r="CY254" s="194"/>
      <c r="CZ254" s="194"/>
      <c r="DA254" s="194"/>
      <c r="DB254" s="194"/>
      <c r="DC254" s="194"/>
      <c r="DD254" s="194"/>
      <c r="DE254" s="194"/>
      <c r="DF254" s="194"/>
    </row>
    <row r="255" spans="2:110" s="192" customFormat="1" hidden="1" x14ac:dyDescent="0.35">
      <c r="B255" s="289"/>
      <c r="C255" s="289"/>
      <c r="Q255" s="193"/>
      <c r="R255" s="194">
        <f t="shared" si="167"/>
        <v>18</v>
      </c>
      <c r="S255" s="197">
        <f t="shared" si="133"/>
        <v>0.3888888888888889</v>
      </c>
      <c r="T255" s="194">
        <f t="shared" si="188"/>
        <v>0.69</v>
      </c>
      <c r="U255" s="194">
        <f t="shared" si="189"/>
        <v>1.4999999999999999E-4</v>
      </c>
      <c r="V255" s="197">
        <f t="shared" si="168"/>
        <v>0.3888888888888889</v>
      </c>
      <c r="W255" s="197">
        <f t="shared" si="134"/>
        <v>4.3555555555555561E-3</v>
      </c>
      <c r="X255" s="286">
        <f t="shared" si="135"/>
        <v>1</v>
      </c>
      <c r="Y255" s="286">
        <f t="shared" si="136"/>
        <v>0.17335969315081967</v>
      </c>
      <c r="Z255" s="286">
        <f t="shared" si="137"/>
        <v>0.54964853345132902</v>
      </c>
      <c r="AA255" s="286">
        <f t="shared" si="169"/>
        <v>0.17335969315081967</v>
      </c>
      <c r="AB255" s="197">
        <f t="shared" si="138"/>
        <v>0.36419974881911377</v>
      </c>
      <c r="AC255" s="287">
        <f t="shared" si="139"/>
        <v>4.4451203372005044E-7</v>
      </c>
      <c r="AD255" s="197">
        <f t="shared" si="170"/>
        <v>11.693936048110356</v>
      </c>
      <c r="AE255" s="197">
        <f t="shared" si="171"/>
        <v>35.08180814433107</v>
      </c>
      <c r="AF255" s="197">
        <f t="shared" si="172"/>
        <v>8.5178571428571423E-2</v>
      </c>
      <c r="AG255" s="197">
        <f t="shared" si="173"/>
        <v>0.25553571428571431</v>
      </c>
      <c r="AH255" s="197">
        <f t="shared" si="140"/>
        <v>0.11660930017110901</v>
      </c>
      <c r="AI255" s="197">
        <f t="shared" si="174"/>
        <v>0.11660930017110901</v>
      </c>
      <c r="AJ255" s="218">
        <f t="shared" si="141"/>
        <v>390.00000000000006</v>
      </c>
      <c r="AK255" s="197">
        <f t="shared" si="175"/>
        <v>6.0930617977437734E-2</v>
      </c>
      <c r="AL255" s="197">
        <f t="shared" si="176"/>
        <v>9.6203707235237593E-2</v>
      </c>
      <c r="AM255" s="197">
        <f t="shared" si="177"/>
        <v>4.0790371867740751E-3</v>
      </c>
      <c r="AN255" s="197">
        <f t="shared" si="142"/>
        <v>24.05</v>
      </c>
      <c r="AO255" s="197">
        <f t="shared" si="143"/>
        <v>21.69</v>
      </c>
      <c r="AP255" s="197">
        <f t="shared" si="178"/>
        <v>7.4093290390420161E-2</v>
      </c>
      <c r="AQ255" s="197">
        <f t="shared" si="179"/>
        <v>0.42250439890466829</v>
      </c>
      <c r="AR255" s="197">
        <f t="shared" si="180"/>
        <v>0.30589509873355925</v>
      </c>
      <c r="AS255" s="258">
        <f t="shared" si="181"/>
        <v>0.15228632177729159</v>
      </c>
      <c r="AT255" s="197">
        <f t="shared" si="144"/>
        <v>2.5974058656511614E-4</v>
      </c>
      <c r="AU255" s="194">
        <f t="shared" si="145"/>
        <v>21.19</v>
      </c>
      <c r="AV255" s="197">
        <f t="shared" si="146"/>
        <v>2.7E-2</v>
      </c>
      <c r="AW255" s="197">
        <f t="shared" si="147"/>
        <v>3.4260000000000002E-3</v>
      </c>
      <c r="AX255" s="197">
        <f t="shared" si="182"/>
        <v>6.1668000000000001E-2</v>
      </c>
      <c r="AY255" s="197">
        <f t="shared" si="148"/>
        <v>2.8867476000000005E-3</v>
      </c>
      <c r="AZ255" s="197">
        <f t="shared" si="149"/>
        <v>0</v>
      </c>
      <c r="BA255" s="197">
        <f t="shared" si="183"/>
        <v>7.2596940000000013E-2</v>
      </c>
      <c r="BB255" s="258">
        <f t="shared" si="150"/>
        <v>0.36575210336206115</v>
      </c>
      <c r="BC255" s="197">
        <f t="shared" si="151"/>
        <v>2.2380490766334034E-2</v>
      </c>
      <c r="BD255" s="197">
        <f t="shared" si="184"/>
        <v>4.4760981532668068E-3</v>
      </c>
      <c r="BE255" s="197">
        <f t="shared" si="185"/>
        <v>2.6856588919600841E-2</v>
      </c>
      <c r="BF255" s="197">
        <f t="shared" si="152"/>
        <v>0.20773291256157633</v>
      </c>
      <c r="BG255" s="197">
        <f t="shared" si="153"/>
        <v>5.4608303342508187E-4</v>
      </c>
      <c r="BH255" s="197">
        <f t="shared" si="154"/>
        <v>3.5336687086656722E-2</v>
      </c>
      <c r="BI255" s="197">
        <f t="shared" si="186"/>
        <v>0.44730899017824427</v>
      </c>
      <c r="BJ255" s="197">
        <f t="shared" si="155"/>
        <v>6.769615024661003</v>
      </c>
      <c r="BK255" s="288">
        <f t="shared" si="156"/>
        <v>0.93392401361838984</v>
      </c>
      <c r="BL255" s="197">
        <f t="shared" si="157"/>
        <v>0.37608972359227794</v>
      </c>
      <c r="BM255" s="197">
        <f t="shared" si="158"/>
        <v>7.4353030976985271E-2</v>
      </c>
      <c r="BN255" s="197">
        <f t="shared" si="159"/>
        <v>54.461181858619113</v>
      </c>
      <c r="BO255" s="197">
        <f t="shared" si="187"/>
        <v>0.2082789955950014</v>
      </c>
      <c r="BP255" s="197">
        <f t="shared" si="160"/>
        <v>65.620924669625111</v>
      </c>
      <c r="BQ255" s="197">
        <f t="shared" si="161"/>
        <v>9.9596940000000009E-2</v>
      </c>
      <c r="BR255" s="288">
        <f t="shared" si="162"/>
        <v>0.16008975919012108</v>
      </c>
      <c r="BS255" s="197">
        <f t="shared" si="163"/>
        <v>0.11660930017110901</v>
      </c>
      <c r="BT255" s="197">
        <f t="shared" si="164"/>
        <v>0.36419974881911377</v>
      </c>
      <c r="BU255" s="197">
        <f t="shared" si="165"/>
        <v>0.1713930788771201</v>
      </c>
      <c r="BV255" s="197">
        <f t="shared" si="166"/>
        <v>0.53530306917875781</v>
      </c>
      <c r="BW255" s="194"/>
      <c r="BX255" s="194"/>
      <c r="BY255" s="194"/>
      <c r="BZ255" s="194"/>
      <c r="CA255" s="194"/>
      <c r="CB255" s="194"/>
      <c r="CC255" s="194"/>
      <c r="CD255" s="194"/>
      <c r="CE255" s="194"/>
      <c r="CF255" s="194"/>
      <c r="CG255" s="194"/>
      <c r="CH255" s="194"/>
      <c r="CI255" s="194"/>
      <c r="CJ255" s="194"/>
      <c r="CK255" s="194"/>
      <c r="CL255" s="194"/>
      <c r="CM255" s="194"/>
      <c r="CN255" s="194"/>
      <c r="CO255" s="194"/>
      <c r="CP255" s="194"/>
      <c r="CQ255" s="194"/>
      <c r="CR255" s="194"/>
      <c r="CS255" s="194"/>
      <c r="CT255" s="194"/>
      <c r="CU255" s="194"/>
      <c r="CV255" s="194"/>
      <c r="CW255" s="194"/>
      <c r="CX255" s="194"/>
      <c r="CY255" s="194"/>
      <c r="CZ255" s="194"/>
      <c r="DA255" s="194"/>
      <c r="DB255" s="194"/>
      <c r="DC255" s="194"/>
      <c r="DD255" s="194"/>
      <c r="DE255" s="194"/>
      <c r="DF255" s="194"/>
    </row>
    <row r="256" spans="2:110" s="192" customFormat="1" hidden="1" x14ac:dyDescent="0.35">
      <c r="B256" s="289"/>
      <c r="C256" s="289"/>
      <c r="Q256" s="193"/>
      <c r="R256" s="194">
        <f t="shared" si="167"/>
        <v>18</v>
      </c>
      <c r="S256" s="197">
        <f t="shared" si="133"/>
        <v>0.3888888888888889</v>
      </c>
      <c r="T256" s="194">
        <f t="shared" si="188"/>
        <v>0.69</v>
      </c>
      <c r="U256" s="194">
        <f t="shared" si="189"/>
        <v>1.4999999999999999E-4</v>
      </c>
      <c r="V256" s="197">
        <f t="shared" si="168"/>
        <v>0.3888888888888889</v>
      </c>
      <c r="W256" s="197">
        <f t="shared" si="134"/>
        <v>4.3555555555555561E-3</v>
      </c>
      <c r="X256" s="286">
        <f t="shared" si="135"/>
        <v>1</v>
      </c>
      <c r="Y256" s="286">
        <f t="shared" si="136"/>
        <v>0.17335969315081967</v>
      </c>
      <c r="Z256" s="286">
        <f t="shared" si="137"/>
        <v>0.54964853345132902</v>
      </c>
      <c r="AA256" s="286">
        <f t="shared" si="169"/>
        <v>0.17335969315081967</v>
      </c>
      <c r="AB256" s="197">
        <f t="shared" si="138"/>
        <v>0.36419974881911377</v>
      </c>
      <c r="AC256" s="287">
        <f t="shared" si="139"/>
        <v>4.4451203372005044E-7</v>
      </c>
      <c r="AD256" s="197">
        <f t="shared" si="170"/>
        <v>11.693936048110356</v>
      </c>
      <c r="AE256" s="197">
        <f t="shared" si="171"/>
        <v>35.08180814433107</v>
      </c>
      <c r="AF256" s="197">
        <f t="shared" si="172"/>
        <v>8.5178571428571423E-2</v>
      </c>
      <c r="AG256" s="197">
        <f t="shared" si="173"/>
        <v>0.25553571428571431</v>
      </c>
      <c r="AH256" s="197">
        <f t="shared" si="140"/>
        <v>0.11660930017110901</v>
      </c>
      <c r="AI256" s="197">
        <f t="shared" si="174"/>
        <v>0.11660930017110901</v>
      </c>
      <c r="AJ256" s="218">
        <f t="shared" si="141"/>
        <v>390.00000000000006</v>
      </c>
      <c r="AK256" s="197">
        <f t="shared" si="175"/>
        <v>6.0930617977437734E-2</v>
      </c>
      <c r="AL256" s="197">
        <f t="shared" si="176"/>
        <v>9.6203707235237593E-2</v>
      </c>
      <c r="AM256" s="197">
        <f t="shared" si="177"/>
        <v>4.0790371867740751E-3</v>
      </c>
      <c r="AN256" s="197">
        <f t="shared" si="142"/>
        <v>24.05</v>
      </c>
      <c r="AO256" s="197">
        <f t="shared" si="143"/>
        <v>21.69</v>
      </c>
      <c r="AP256" s="197">
        <f t="shared" si="178"/>
        <v>7.4093290390420161E-2</v>
      </c>
      <c r="AQ256" s="197">
        <f t="shared" si="179"/>
        <v>0.42250439890466829</v>
      </c>
      <c r="AR256" s="197">
        <f t="shared" si="180"/>
        <v>0.30589509873355925</v>
      </c>
      <c r="AS256" s="258">
        <f t="shared" si="181"/>
        <v>0.15228632177729159</v>
      </c>
      <c r="AT256" s="197">
        <f t="shared" si="144"/>
        <v>2.5974058656511614E-4</v>
      </c>
      <c r="AU256" s="194">
        <f t="shared" si="145"/>
        <v>21.19</v>
      </c>
      <c r="AV256" s="197">
        <f t="shared" si="146"/>
        <v>2.7E-2</v>
      </c>
      <c r="AW256" s="197">
        <f t="shared" si="147"/>
        <v>3.4260000000000002E-3</v>
      </c>
      <c r="AX256" s="197">
        <f t="shared" si="182"/>
        <v>6.1668000000000001E-2</v>
      </c>
      <c r="AY256" s="197">
        <f t="shared" si="148"/>
        <v>2.8867476000000005E-3</v>
      </c>
      <c r="AZ256" s="197">
        <f t="shared" si="149"/>
        <v>0</v>
      </c>
      <c r="BA256" s="197">
        <f t="shared" si="183"/>
        <v>7.2596940000000013E-2</v>
      </c>
      <c r="BB256" s="258">
        <f t="shared" si="150"/>
        <v>0.36575210336206115</v>
      </c>
      <c r="BC256" s="197">
        <f t="shared" si="151"/>
        <v>2.2380490766334034E-2</v>
      </c>
      <c r="BD256" s="197">
        <f t="shared" si="184"/>
        <v>4.4760981532668068E-3</v>
      </c>
      <c r="BE256" s="197">
        <f t="shared" si="185"/>
        <v>2.6856588919600841E-2</v>
      </c>
      <c r="BF256" s="197">
        <f t="shared" si="152"/>
        <v>0.20773291256157633</v>
      </c>
      <c r="BG256" s="197">
        <f t="shared" si="153"/>
        <v>5.4608303342508187E-4</v>
      </c>
      <c r="BH256" s="197">
        <f t="shared" si="154"/>
        <v>3.5336687086656722E-2</v>
      </c>
      <c r="BI256" s="197">
        <f t="shared" si="186"/>
        <v>0.44730899017824427</v>
      </c>
      <c r="BJ256" s="197">
        <f t="shared" si="155"/>
        <v>6.769615024661003</v>
      </c>
      <c r="BK256" s="288">
        <f t="shared" si="156"/>
        <v>0.93392401361838984</v>
      </c>
      <c r="BL256" s="197">
        <f t="shared" si="157"/>
        <v>0.37608972359227794</v>
      </c>
      <c r="BM256" s="197">
        <f t="shared" si="158"/>
        <v>7.4353030976985271E-2</v>
      </c>
      <c r="BN256" s="197">
        <f t="shared" si="159"/>
        <v>54.461181858619113</v>
      </c>
      <c r="BO256" s="197">
        <f t="shared" si="187"/>
        <v>0.2082789955950014</v>
      </c>
      <c r="BP256" s="197">
        <f t="shared" si="160"/>
        <v>65.620924669625111</v>
      </c>
      <c r="BQ256" s="197">
        <f t="shared" si="161"/>
        <v>9.9596940000000009E-2</v>
      </c>
      <c r="BR256" s="288">
        <f t="shared" si="162"/>
        <v>0.16008975919012108</v>
      </c>
      <c r="BS256" s="197">
        <f t="shared" si="163"/>
        <v>0.11660930017110901</v>
      </c>
      <c r="BT256" s="197">
        <f t="shared" si="164"/>
        <v>0.36419974881911377</v>
      </c>
      <c r="BU256" s="197">
        <f t="shared" si="165"/>
        <v>0.1713930788771201</v>
      </c>
      <c r="BV256" s="197">
        <f t="shared" si="166"/>
        <v>0.53530306917875781</v>
      </c>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94"/>
      <c r="DB256" s="194"/>
      <c r="DC256" s="194"/>
      <c r="DD256" s="194"/>
      <c r="DE256" s="194"/>
      <c r="DF256" s="194"/>
    </row>
    <row r="257" spans="2:110" s="192" customFormat="1" hidden="1" x14ac:dyDescent="0.35">
      <c r="B257" s="289"/>
      <c r="C257" s="289"/>
      <c r="Q257" s="193"/>
      <c r="R257" s="194">
        <f t="shared" si="167"/>
        <v>18</v>
      </c>
      <c r="S257" s="197">
        <f t="shared" si="133"/>
        <v>0.3888888888888889</v>
      </c>
      <c r="T257" s="194">
        <f t="shared" si="188"/>
        <v>0.69</v>
      </c>
      <c r="U257" s="194">
        <f t="shared" si="189"/>
        <v>1.4999999999999999E-4</v>
      </c>
      <c r="V257" s="197">
        <f t="shared" si="168"/>
        <v>0.3888888888888889</v>
      </c>
      <c r="W257" s="197">
        <f t="shared" si="134"/>
        <v>4.3555555555555561E-3</v>
      </c>
      <c r="X257" s="286">
        <f t="shared" si="135"/>
        <v>1</v>
      </c>
      <c r="Y257" s="286">
        <f t="shared" si="136"/>
        <v>0.17335969315081967</v>
      </c>
      <c r="Z257" s="286">
        <f t="shared" si="137"/>
        <v>0.54964853345132902</v>
      </c>
      <c r="AA257" s="286">
        <f t="shared" si="169"/>
        <v>0.17335969315081967</v>
      </c>
      <c r="AB257" s="197">
        <f t="shared" si="138"/>
        <v>0.36419974881911377</v>
      </c>
      <c r="AC257" s="287">
        <f t="shared" si="139"/>
        <v>4.4451203372005044E-7</v>
      </c>
      <c r="AD257" s="197">
        <f t="shared" si="170"/>
        <v>11.693936048110356</v>
      </c>
      <c r="AE257" s="197">
        <f t="shared" si="171"/>
        <v>35.08180814433107</v>
      </c>
      <c r="AF257" s="197">
        <f t="shared" si="172"/>
        <v>8.5178571428571423E-2</v>
      </c>
      <c r="AG257" s="197">
        <f t="shared" si="173"/>
        <v>0.25553571428571431</v>
      </c>
      <c r="AH257" s="197">
        <f t="shared" si="140"/>
        <v>0.11660930017110901</v>
      </c>
      <c r="AI257" s="197">
        <f t="shared" si="174"/>
        <v>0.11660930017110901</v>
      </c>
      <c r="AJ257" s="218">
        <f t="shared" si="141"/>
        <v>390.00000000000006</v>
      </c>
      <c r="AK257" s="197">
        <f t="shared" si="175"/>
        <v>6.0930617977437734E-2</v>
      </c>
      <c r="AL257" s="197">
        <f t="shared" si="176"/>
        <v>9.6203707235237593E-2</v>
      </c>
      <c r="AM257" s="197">
        <f t="shared" si="177"/>
        <v>4.0790371867740751E-3</v>
      </c>
      <c r="AN257" s="197">
        <f t="shared" si="142"/>
        <v>24.05</v>
      </c>
      <c r="AO257" s="197">
        <f t="shared" si="143"/>
        <v>21.69</v>
      </c>
      <c r="AP257" s="197">
        <f t="shared" si="178"/>
        <v>7.4093290390420161E-2</v>
      </c>
      <c r="AQ257" s="197">
        <f t="shared" si="179"/>
        <v>0.42250439890466829</v>
      </c>
      <c r="AR257" s="197">
        <f t="shared" si="180"/>
        <v>0.30589509873355925</v>
      </c>
      <c r="AS257" s="258">
        <f t="shared" si="181"/>
        <v>0.15228632177729159</v>
      </c>
      <c r="AT257" s="197">
        <f t="shared" si="144"/>
        <v>2.5974058656511614E-4</v>
      </c>
      <c r="AU257" s="194">
        <f t="shared" si="145"/>
        <v>21.19</v>
      </c>
      <c r="AV257" s="197">
        <f t="shared" si="146"/>
        <v>2.7E-2</v>
      </c>
      <c r="AW257" s="197">
        <f t="shared" si="147"/>
        <v>3.4260000000000002E-3</v>
      </c>
      <c r="AX257" s="197">
        <f t="shared" si="182"/>
        <v>6.1668000000000001E-2</v>
      </c>
      <c r="AY257" s="197">
        <f t="shared" si="148"/>
        <v>2.8867476000000005E-3</v>
      </c>
      <c r="AZ257" s="197">
        <f t="shared" si="149"/>
        <v>0</v>
      </c>
      <c r="BA257" s="197">
        <f t="shared" si="183"/>
        <v>7.2596940000000013E-2</v>
      </c>
      <c r="BB257" s="258">
        <f t="shared" si="150"/>
        <v>0.36575210336206115</v>
      </c>
      <c r="BC257" s="197">
        <f t="shared" si="151"/>
        <v>2.2380490766334034E-2</v>
      </c>
      <c r="BD257" s="197">
        <f t="shared" si="184"/>
        <v>4.4760981532668068E-3</v>
      </c>
      <c r="BE257" s="197">
        <f t="shared" si="185"/>
        <v>2.6856588919600841E-2</v>
      </c>
      <c r="BF257" s="197">
        <f t="shared" si="152"/>
        <v>0.20773291256157633</v>
      </c>
      <c r="BG257" s="197">
        <f t="shared" si="153"/>
        <v>5.4608303342508187E-4</v>
      </c>
      <c r="BH257" s="197">
        <f t="shared" si="154"/>
        <v>3.5336687086656722E-2</v>
      </c>
      <c r="BI257" s="197">
        <f t="shared" si="186"/>
        <v>0.44730899017824427</v>
      </c>
      <c r="BJ257" s="197">
        <f t="shared" si="155"/>
        <v>6.769615024661003</v>
      </c>
      <c r="BK257" s="288">
        <f t="shared" si="156"/>
        <v>0.93392401361838984</v>
      </c>
      <c r="BL257" s="197">
        <f t="shared" si="157"/>
        <v>0.37608972359227794</v>
      </c>
      <c r="BM257" s="197">
        <f t="shared" si="158"/>
        <v>7.4353030976985271E-2</v>
      </c>
      <c r="BN257" s="197">
        <f t="shared" si="159"/>
        <v>54.461181858619113</v>
      </c>
      <c r="BO257" s="197">
        <f t="shared" si="187"/>
        <v>0.2082789955950014</v>
      </c>
      <c r="BP257" s="197">
        <f t="shared" si="160"/>
        <v>65.620924669625111</v>
      </c>
      <c r="BQ257" s="197">
        <f t="shared" si="161"/>
        <v>9.9596940000000009E-2</v>
      </c>
      <c r="BR257" s="288">
        <f t="shared" si="162"/>
        <v>0.16008975919012108</v>
      </c>
      <c r="BS257" s="197">
        <f t="shared" si="163"/>
        <v>0.11660930017110901</v>
      </c>
      <c r="BT257" s="197">
        <f t="shared" si="164"/>
        <v>0.36419974881911377</v>
      </c>
      <c r="BU257" s="197">
        <f t="shared" si="165"/>
        <v>0.1713930788771201</v>
      </c>
      <c r="BV257" s="197">
        <f t="shared" si="166"/>
        <v>0.53530306917875781</v>
      </c>
      <c r="BW257" s="194"/>
      <c r="BX257" s="194"/>
      <c r="BY257" s="194"/>
      <c r="BZ257" s="194"/>
      <c r="CA257" s="194"/>
      <c r="CB257" s="194"/>
      <c r="CC257" s="194"/>
      <c r="CD257" s="194"/>
      <c r="CE257" s="194"/>
      <c r="CF257" s="194"/>
      <c r="CG257" s="194"/>
      <c r="CH257" s="194"/>
      <c r="CI257" s="194"/>
      <c r="CJ257" s="194"/>
      <c r="CK257" s="194"/>
      <c r="CL257" s="194"/>
      <c r="CM257" s="194"/>
      <c r="CN257" s="194"/>
      <c r="CO257" s="194"/>
      <c r="CP257" s="194"/>
      <c r="CQ257" s="194"/>
      <c r="CR257" s="194"/>
      <c r="CS257" s="194"/>
      <c r="CT257" s="194"/>
      <c r="CU257" s="194"/>
      <c r="CV257" s="194"/>
      <c r="CW257" s="194"/>
      <c r="CX257" s="194"/>
      <c r="CY257" s="194"/>
      <c r="CZ257" s="194"/>
      <c r="DA257" s="194"/>
      <c r="DB257" s="194"/>
      <c r="DC257" s="194"/>
      <c r="DD257" s="194"/>
      <c r="DE257" s="194"/>
      <c r="DF257" s="194"/>
    </row>
    <row r="258" spans="2:110" s="192" customFormat="1" hidden="1" x14ac:dyDescent="0.35">
      <c r="B258" s="289"/>
      <c r="C258" s="289"/>
      <c r="Q258" s="193"/>
      <c r="R258" s="194">
        <f t="shared" si="167"/>
        <v>18</v>
      </c>
      <c r="S258" s="197">
        <f t="shared" si="133"/>
        <v>0.3888888888888889</v>
      </c>
      <c r="T258" s="194">
        <f t="shared" si="188"/>
        <v>0.69</v>
      </c>
      <c r="U258" s="194">
        <f t="shared" si="189"/>
        <v>1.4999999999999999E-4</v>
      </c>
      <c r="V258" s="197">
        <f t="shared" si="168"/>
        <v>0.3888888888888889</v>
      </c>
      <c r="W258" s="197">
        <f t="shared" si="134"/>
        <v>4.3555555555555561E-3</v>
      </c>
      <c r="X258" s="286">
        <f t="shared" si="135"/>
        <v>1</v>
      </c>
      <c r="Y258" s="286">
        <f t="shared" si="136"/>
        <v>0.17335969315081967</v>
      </c>
      <c r="Z258" s="286">
        <f t="shared" si="137"/>
        <v>0.54964853345132902</v>
      </c>
      <c r="AA258" s="286">
        <f t="shared" si="169"/>
        <v>0.17335969315081967</v>
      </c>
      <c r="AB258" s="197">
        <f t="shared" si="138"/>
        <v>0.36419974881911377</v>
      </c>
      <c r="AC258" s="287">
        <f t="shared" si="139"/>
        <v>4.4451203372005044E-7</v>
      </c>
      <c r="AD258" s="197">
        <f t="shared" si="170"/>
        <v>11.693936048110356</v>
      </c>
      <c r="AE258" s="197">
        <f t="shared" si="171"/>
        <v>35.08180814433107</v>
      </c>
      <c r="AF258" s="197">
        <f t="shared" si="172"/>
        <v>8.5178571428571423E-2</v>
      </c>
      <c r="AG258" s="197">
        <f t="shared" si="173"/>
        <v>0.25553571428571431</v>
      </c>
      <c r="AH258" s="197">
        <f t="shared" si="140"/>
        <v>0.11660930017110901</v>
      </c>
      <c r="AI258" s="197">
        <f t="shared" si="174"/>
        <v>0.11660930017110901</v>
      </c>
      <c r="AJ258" s="218">
        <f t="shared" si="141"/>
        <v>390.00000000000006</v>
      </c>
      <c r="AK258" s="197">
        <f t="shared" si="175"/>
        <v>6.0930617977437734E-2</v>
      </c>
      <c r="AL258" s="197">
        <f t="shared" si="176"/>
        <v>9.6203707235237593E-2</v>
      </c>
      <c r="AM258" s="197">
        <f t="shared" si="177"/>
        <v>4.0790371867740751E-3</v>
      </c>
      <c r="AN258" s="197">
        <f t="shared" si="142"/>
        <v>24.05</v>
      </c>
      <c r="AO258" s="197">
        <f t="shared" si="143"/>
        <v>21.69</v>
      </c>
      <c r="AP258" s="197">
        <f t="shared" si="178"/>
        <v>7.4093290390420161E-2</v>
      </c>
      <c r="AQ258" s="197">
        <f t="shared" si="179"/>
        <v>0.42250439890466829</v>
      </c>
      <c r="AR258" s="197">
        <f t="shared" si="180"/>
        <v>0.30589509873355925</v>
      </c>
      <c r="AS258" s="258">
        <f t="shared" si="181"/>
        <v>0.15228632177729159</v>
      </c>
      <c r="AT258" s="197">
        <f t="shared" si="144"/>
        <v>2.5974058656511614E-4</v>
      </c>
      <c r="AU258" s="194">
        <f t="shared" si="145"/>
        <v>21.19</v>
      </c>
      <c r="AV258" s="197">
        <f t="shared" si="146"/>
        <v>2.7E-2</v>
      </c>
      <c r="AW258" s="197">
        <f t="shared" si="147"/>
        <v>3.4260000000000002E-3</v>
      </c>
      <c r="AX258" s="197">
        <f t="shared" si="182"/>
        <v>6.1668000000000001E-2</v>
      </c>
      <c r="AY258" s="197">
        <f t="shared" si="148"/>
        <v>2.8867476000000005E-3</v>
      </c>
      <c r="AZ258" s="197">
        <f t="shared" si="149"/>
        <v>0</v>
      </c>
      <c r="BA258" s="197">
        <f t="shared" si="183"/>
        <v>7.2596940000000013E-2</v>
      </c>
      <c r="BB258" s="258">
        <f t="shared" si="150"/>
        <v>0.36575210336206115</v>
      </c>
      <c r="BC258" s="197">
        <f t="shared" si="151"/>
        <v>2.2380490766334034E-2</v>
      </c>
      <c r="BD258" s="197">
        <f t="shared" si="184"/>
        <v>4.4760981532668068E-3</v>
      </c>
      <c r="BE258" s="197">
        <f t="shared" si="185"/>
        <v>2.6856588919600841E-2</v>
      </c>
      <c r="BF258" s="197">
        <f t="shared" si="152"/>
        <v>0.20773291256157633</v>
      </c>
      <c r="BG258" s="197">
        <f t="shared" si="153"/>
        <v>5.4608303342508187E-4</v>
      </c>
      <c r="BH258" s="197">
        <f t="shared" si="154"/>
        <v>3.5336687086656722E-2</v>
      </c>
      <c r="BI258" s="197">
        <f t="shared" si="186"/>
        <v>0.44730899017824427</v>
      </c>
      <c r="BJ258" s="197">
        <f t="shared" si="155"/>
        <v>6.769615024661003</v>
      </c>
      <c r="BK258" s="288">
        <f t="shared" si="156"/>
        <v>0.93392401361838984</v>
      </c>
      <c r="BL258" s="197">
        <f t="shared" si="157"/>
        <v>0.37608972359227794</v>
      </c>
      <c r="BM258" s="197">
        <f t="shared" si="158"/>
        <v>7.4353030976985271E-2</v>
      </c>
      <c r="BN258" s="197">
        <f t="shared" si="159"/>
        <v>54.461181858619113</v>
      </c>
      <c r="BO258" s="197">
        <f t="shared" si="187"/>
        <v>0.2082789955950014</v>
      </c>
      <c r="BP258" s="197">
        <f t="shared" si="160"/>
        <v>65.620924669625111</v>
      </c>
      <c r="BQ258" s="197">
        <f t="shared" si="161"/>
        <v>9.9596940000000009E-2</v>
      </c>
      <c r="BR258" s="288">
        <f t="shared" si="162"/>
        <v>0.16008975919012108</v>
      </c>
      <c r="BS258" s="197">
        <f t="shared" si="163"/>
        <v>0.11660930017110901</v>
      </c>
      <c r="BT258" s="197">
        <f t="shared" si="164"/>
        <v>0.36419974881911377</v>
      </c>
      <c r="BU258" s="197">
        <f t="shared" si="165"/>
        <v>0.1713930788771201</v>
      </c>
      <c r="BV258" s="197">
        <f t="shared" si="166"/>
        <v>0.53530306917875781</v>
      </c>
      <c r="BW258" s="194"/>
      <c r="BX258" s="194"/>
      <c r="BY258" s="194"/>
      <c r="BZ258" s="194"/>
      <c r="CA258" s="194"/>
      <c r="CB258" s="194"/>
      <c r="CC258" s="194"/>
      <c r="CD258" s="194"/>
      <c r="CE258" s="194"/>
      <c r="CF258" s="194"/>
      <c r="CG258" s="194"/>
      <c r="CH258" s="194"/>
      <c r="CI258" s="194"/>
      <c r="CJ258" s="194"/>
      <c r="CK258" s="194"/>
      <c r="CL258" s="194"/>
      <c r="CM258" s="194"/>
      <c r="CN258" s="194"/>
      <c r="CO258" s="194"/>
      <c r="CP258" s="194"/>
      <c r="CQ258" s="194"/>
      <c r="CR258" s="194"/>
      <c r="CS258" s="194"/>
      <c r="CT258" s="194"/>
      <c r="CU258" s="194"/>
      <c r="CV258" s="194"/>
      <c r="CW258" s="194"/>
      <c r="CX258" s="194"/>
      <c r="CY258" s="194"/>
      <c r="CZ258" s="194"/>
      <c r="DA258" s="194"/>
      <c r="DB258" s="194"/>
      <c r="DC258" s="194"/>
      <c r="DD258" s="194"/>
      <c r="DE258" s="194"/>
      <c r="DF258" s="194"/>
    </row>
    <row r="259" spans="2:110" s="192" customFormat="1" hidden="1" x14ac:dyDescent="0.35">
      <c r="B259" s="289"/>
      <c r="C259" s="289"/>
      <c r="Q259" s="193"/>
      <c r="R259" s="194">
        <f t="shared" si="167"/>
        <v>18</v>
      </c>
      <c r="S259" s="197">
        <f t="shared" si="133"/>
        <v>0.3888888888888889</v>
      </c>
      <c r="T259" s="194">
        <f t="shared" si="188"/>
        <v>0.69</v>
      </c>
      <c r="U259" s="194">
        <f t="shared" si="189"/>
        <v>1.4999999999999999E-4</v>
      </c>
      <c r="V259" s="197">
        <f t="shared" si="168"/>
        <v>0.3888888888888889</v>
      </c>
      <c r="W259" s="197">
        <f t="shared" si="134"/>
        <v>4.3555555555555561E-3</v>
      </c>
      <c r="X259" s="286">
        <f t="shared" si="135"/>
        <v>1</v>
      </c>
      <c r="Y259" s="286">
        <f t="shared" si="136"/>
        <v>0.17335969315081967</v>
      </c>
      <c r="Z259" s="286">
        <f t="shared" si="137"/>
        <v>0.54964853345132902</v>
      </c>
      <c r="AA259" s="286">
        <f t="shared" si="169"/>
        <v>0.17335969315081967</v>
      </c>
      <c r="AB259" s="197">
        <f t="shared" si="138"/>
        <v>0.36419974881911377</v>
      </c>
      <c r="AC259" s="287">
        <f t="shared" si="139"/>
        <v>4.4451203372005044E-7</v>
      </c>
      <c r="AD259" s="197">
        <f t="shared" si="170"/>
        <v>11.693936048110356</v>
      </c>
      <c r="AE259" s="197">
        <f t="shared" si="171"/>
        <v>35.08180814433107</v>
      </c>
      <c r="AF259" s="197">
        <f t="shared" si="172"/>
        <v>8.5178571428571423E-2</v>
      </c>
      <c r="AG259" s="197">
        <f t="shared" si="173"/>
        <v>0.25553571428571431</v>
      </c>
      <c r="AH259" s="197">
        <f t="shared" si="140"/>
        <v>0.11660930017110901</v>
      </c>
      <c r="AI259" s="197">
        <f t="shared" si="174"/>
        <v>0.11660930017110901</v>
      </c>
      <c r="AJ259" s="218">
        <f t="shared" si="141"/>
        <v>390.00000000000006</v>
      </c>
      <c r="AK259" s="197">
        <f t="shared" si="175"/>
        <v>6.0930617977437734E-2</v>
      </c>
      <c r="AL259" s="197">
        <f t="shared" si="176"/>
        <v>9.6203707235237593E-2</v>
      </c>
      <c r="AM259" s="197">
        <f t="shared" si="177"/>
        <v>4.0790371867740751E-3</v>
      </c>
      <c r="AN259" s="197">
        <f t="shared" si="142"/>
        <v>24.05</v>
      </c>
      <c r="AO259" s="197">
        <f t="shared" si="143"/>
        <v>21.69</v>
      </c>
      <c r="AP259" s="197">
        <f t="shared" si="178"/>
        <v>7.4093290390420161E-2</v>
      </c>
      <c r="AQ259" s="197">
        <f t="shared" si="179"/>
        <v>0.42250439890466829</v>
      </c>
      <c r="AR259" s="197">
        <f t="shared" si="180"/>
        <v>0.30589509873355925</v>
      </c>
      <c r="AS259" s="258">
        <f t="shared" si="181"/>
        <v>0.15228632177729159</v>
      </c>
      <c r="AT259" s="197">
        <f t="shared" si="144"/>
        <v>2.5974058656511614E-4</v>
      </c>
      <c r="AU259" s="194">
        <f t="shared" si="145"/>
        <v>21.19</v>
      </c>
      <c r="AV259" s="197">
        <f t="shared" si="146"/>
        <v>2.7E-2</v>
      </c>
      <c r="AW259" s="197">
        <f t="shared" si="147"/>
        <v>3.4260000000000002E-3</v>
      </c>
      <c r="AX259" s="197">
        <f t="shared" si="182"/>
        <v>6.1668000000000001E-2</v>
      </c>
      <c r="AY259" s="197">
        <f t="shared" si="148"/>
        <v>2.8867476000000005E-3</v>
      </c>
      <c r="AZ259" s="197">
        <f t="shared" si="149"/>
        <v>0</v>
      </c>
      <c r="BA259" s="197">
        <f t="shared" si="183"/>
        <v>7.2596940000000013E-2</v>
      </c>
      <c r="BB259" s="258">
        <f t="shared" si="150"/>
        <v>0.36575210336206115</v>
      </c>
      <c r="BC259" s="197">
        <f t="shared" si="151"/>
        <v>2.2380490766334034E-2</v>
      </c>
      <c r="BD259" s="197">
        <f t="shared" si="184"/>
        <v>4.4760981532668068E-3</v>
      </c>
      <c r="BE259" s="197">
        <f t="shared" si="185"/>
        <v>2.6856588919600841E-2</v>
      </c>
      <c r="BF259" s="197">
        <f t="shared" si="152"/>
        <v>0.20773291256157633</v>
      </c>
      <c r="BG259" s="197">
        <f t="shared" si="153"/>
        <v>5.4608303342508187E-4</v>
      </c>
      <c r="BH259" s="197">
        <f t="shared" si="154"/>
        <v>3.5336687086656722E-2</v>
      </c>
      <c r="BI259" s="197">
        <f t="shared" si="186"/>
        <v>0.44730899017824427</v>
      </c>
      <c r="BJ259" s="197">
        <f t="shared" si="155"/>
        <v>6.769615024661003</v>
      </c>
      <c r="BK259" s="288">
        <f t="shared" si="156"/>
        <v>0.93392401361838984</v>
      </c>
      <c r="BL259" s="197">
        <f t="shared" si="157"/>
        <v>0.37608972359227794</v>
      </c>
      <c r="BM259" s="197">
        <f t="shared" si="158"/>
        <v>7.4353030976985271E-2</v>
      </c>
      <c r="BN259" s="197">
        <f t="shared" si="159"/>
        <v>54.461181858619113</v>
      </c>
      <c r="BO259" s="197">
        <f t="shared" si="187"/>
        <v>0.2082789955950014</v>
      </c>
      <c r="BP259" s="197">
        <f t="shared" si="160"/>
        <v>65.620924669625111</v>
      </c>
      <c r="BQ259" s="197">
        <f t="shared" si="161"/>
        <v>9.9596940000000009E-2</v>
      </c>
      <c r="BR259" s="288">
        <f t="shared" si="162"/>
        <v>0.16008975919012108</v>
      </c>
      <c r="BS259" s="197">
        <f t="shared" si="163"/>
        <v>0.11660930017110901</v>
      </c>
      <c r="BT259" s="197">
        <f t="shared" si="164"/>
        <v>0.36419974881911377</v>
      </c>
      <c r="BU259" s="197">
        <f t="shared" si="165"/>
        <v>0.1713930788771201</v>
      </c>
      <c r="BV259" s="197">
        <f t="shared" si="166"/>
        <v>0.53530306917875781</v>
      </c>
      <c r="BW259" s="194"/>
      <c r="BX259" s="194"/>
      <c r="BY259" s="194"/>
      <c r="BZ259" s="194"/>
      <c r="CA259" s="194"/>
      <c r="CB259" s="194"/>
      <c r="CC259" s="194"/>
      <c r="CD259" s="194"/>
      <c r="CE259" s="194"/>
      <c r="CF259" s="194"/>
      <c r="CG259" s="194"/>
      <c r="CH259" s="194"/>
      <c r="CI259" s="194"/>
      <c r="CJ259" s="194"/>
      <c r="CK259" s="194"/>
      <c r="CL259" s="194"/>
      <c r="CM259" s="194"/>
      <c r="CN259" s="194"/>
      <c r="CO259" s="194"/>
      <c r="CP259" s="194"/>
      <c r="CQ259" s="194"/>
      <c r="CR259" s="194"/>
      <c r="CS259" s="194"/>
      <c r="CT259" s="194"/>
      <c r="CU259" s="194"/>
      <c r="CV259" s="194"/>
      <c r="CW259" s="194"/>
      <c r="CX259" s="194"/>
      <c r="CY259" s="194"/>
      <c r="CZ259" s="194"/>
      <c r="DA259" s="194"/>
      <c r="DB259" s="194"/>
      <c r="DC259" s="194"/>
      <c r="DD259" s="194"/>
      <c r="DE259" s="194"/>
      <c r="DF259" s="194"/>
    </row>
    <row r="260" spans="2:110" s="192" customFormat="1" hidden="1" x14ac:dyDescent="0.35">
      <c r="B260" s="289"/>
      <c r="C260" s="289"/>
      <c r="Q260" s="193"/>
      <c r="R260" s="194">
        <f t="shared" si="167"/>
        <v>18</v>
      </c>
      <c r="S260" s="197">
        <f t="shared" si="133"/>
        <v>0.3888888888888889</v>
      </c>
      <c r="T260" s="194">
        <f t="shared" si="188"/>
        <v>0.69</v>
      </c>
      <c r="U260" s="194">
        <f t="shared" si="189"/>
        <v>1.4999999999999999E-4</v>
      </c>
      <c r="V260" s="197">
        <f t="shared" si="168"/>
        <v>0.3888888888888889</v>
      </c>
      <c r="W260" s="197">
        <f t="shared" si="134"/>
        <v>4.3555555555555561E-3</v>
      </c>
      <c r="X260" s="286">
        <f t="shared" si="135"/>
        <v>1</v>
      </c>
      <c r="Y260" s="286">
        <f t="shared" si="136"/>
        <v>0.17335969315081967</v>
      </c>
      <c r="Z260" s="286">
        <f t="shared" si="137"/>
        <v>0.54964853345132902</v>
      </c>
      <c r="AA260" s="286">
        <f t="shared" si="169"/>
        <v>0.17335969315081967</v>
      </c>
      <c r="AB260" s="197">
        <f t="shared" si="138"/>
        <v>0.36419974881911377</v>
      </c>
      <c r="AC260" s="287">
        <f t="shared" si="139"/>
        <v>4.4451203372005044E-7</v>
      </c>
      <c r="AD260" s="197">
        <f t="shared" si="170"/>
        <v>11.693936048110356</v>
      </c>
      <c r="AE260" s="197">
        <f t="shared" si="171"/>
        <v>35.08180814433107</v>
      </c>
      <c r="AF260" s="197">
        <f t="shared" si="172"/>
        <v>8.5178571428571423E-2</v>
      </c>
      <c r="AG260" s="197">
        <f t="shared" si="173"/>
        <v>0.25553571428571431</v>
      </c>
      <c r="AH260" s="197">
        <f t="shared" si="140"/>
        <v>0.11660930017110901</v>
      </c>
      <c r="AI260" s="197">
        <f t="shared" si="174"/>
        <v>0.11660930017110901</v>
      </c>
      <c r="AJ260" s="218">
        <f t="shared" si="141"/>
        <v>390.00000000000006</v>
      </c>
      <c r="AK260" s="197">
        <f t="shared" si="175"/>
        <v>6.0930617977437734E-2</v>
      </c>
      <c r="AL260" s="197">
        <f t="shared" si="176"/>
        <v>9.6203707235237593E-2</v>
      </c>
      <c r="AM260" s="197">
        <f t="shared" si="177"/>
        <v>4.0790371867740751E-3</v>
      </c>
      <c r="AN260" s="197">
        <f t="shared" si="142"/>
        <v>24.05</v>
      </c>
      <c r="AO260" s="197">
        <f t="shared" si="143"/>
        <v>21.69</v>
      </c>
      <c r="AP260" s="197">
        <f t="shared" si="178"/>
        <v>7.4093290390420161E-2</v>
      </c>
      <c r="AQ260" s="197">
        <f t="shared" si="179"/>
        <v>0.42250439890466829</v>
      </c>
      <c r="AR260" s="197">
        <f t="shared" si="180"/>
        <v>0.30589509873355925</v>
      </c>
      <c r="AS260" s="258">
        <f t="shared" si="181"/>
        <v>0.15228632177729159</v>
      </c>
      <c r="AT260" s="197">
        <f t="shared" si="144"/>
        <v>2.5974058656511614E-4</v>
      </c>
      <c r="AU260" s="194">
        <f t="shared" si="145"/>
        <v>21.19</v>
      </c>
      <c r="AV260" s="197">
        <f t="shared" si="146"/>
        <v>2.7E-2</v>
      </c>
      <c r="AW260" s="197">
        <f t="shared" si="147"/>
        <v>3.4260000000000002E-3</v>
      </c>
      <c r="AX260" s="197">
        <f t="shared" si="182"/>
        <v>6.1668000000000001E-2</v>
      </c>
      <c r="AY260" s="197">
        <f t="shared" si="148"/>
        <v>2.8867476000000005E-3</v>
      </c>
      <c r="AZ260" s="197">
        <f t="shared" si="149"/>
        <v>0</v>
      </c>
      <c r="BA260" s="197">
        <f t="shared" si="183"/>
        <v>7.2596940000000013E-2</v>
      </c>
      <c r="BB260" s="258">
        <f t="shared" si="150"/>
        <v>0.36575210336206115</v>
      </c>
      <c r="BC260" s="197">
        <f t="shared" si="151"/>
        <v>2.2380490766334034E-2</v>
      </c>
      <c r="BD260" s="197">
        <f t="shared" si="184"/>
        <v>4.4760981532668068E-3</v>
      </c>
      <c r="BE260" s="197">
        <f t="shared" si="185"/>
        <v>2.6856588919600841E-2</v>
      </c>
      <c r="BF260" s="197">
        <f t="shared" si="152"/>
        <v>0.20773291256157633</v>
      </c>
      <c r="BG260" s="197">
        <f t="shared" si="153"/>
        <v>5.4608303342508187E-4</v>
      </c>
      <c r="BH260" s="197">
        <f t="shared" si="154"/>
        <v>3.5336687086656722E-2</v>
      </c>
      <c r="BI260" s="197">
        <f t="shared" si="186"/>
        <v>0.44730899017824427</v>
      </c>
      <c r="BJ260" s="197">
        <f t="shared" si="155"/>
        <v>6.769615024661003</v>
      </c>
      <c r="BK260" s="288">
        <f t="shared" si="156"/>
        <v>0.93392401361838984</v>
      </c>
      <c r="BL260" s="197">
        <f t="shared" si="157"/>
        <v>0.37608972359227794</v>
      </c>
      <c r="BM260" s="197">
        <f t="shared" si="158"/>
        <v>7.4353030976985271E-2</v>
      </c>
      <c r="BN260" s="197">
        <f t="shared" si="159"/>
        <v>54.461181858619113</v>
      </c>
      <c r="BO260" s="197">
        <f t="shared" si="187"/>
        <v>0.2082789955950014</v>
      </c>
      <c r="BP260" s="197">
        <f t="shared" si="160"/>
        <v>65.620924669625111</v>
      </c>
      <c r="BQ260" s="197">
        <f t="shared" si="161"/>
        <v>9.9596940000000009E-2</v>
      </c>
      <c r="BR260" s="288">
        <f t="shared" si="162"/>
        <v>0.16008975919012108</v>
      </c>
      <c r="BS260" s="197">
        <f t="shared" si="163"/>
        <v>0.11660930017110901</v>
      </c>
      <c r="BT260" s="197">
        <f t="shared" si="164"/>
        <v>0.36419974881911377</v>
      </c>
      <c r="BU260" s="197">
        <f t="shared" si="165"/>
        <v>0.1713930788771201</v>
      </c>
      <c r="BV260" s="197">
        <f t="shared" si="166"/>
        <v>0.53530306917875781</v>
      </c>
      <c r="BW260" s="194"/>
      <c r="BX260" s="194"/>
      <c r="BY260" s="194"/>
      <c r="BZ260" s="194"/>
      <c r="CA260" s="194"/>
      <c r="CB260" s="194"/>
      <c r="CC260" s="194"/>
      <c r="CD260" s="194"/>
      <c r="CE260" s="194"/>
      <c r="CF260" s="194"/>
      <c r="CG260" s="194"/>
      <c r="CH260" s="194"/>
      <c r="CI260" s="194"/>
      <c r="CJ260" s="194"/>
      <c r="CK260" s="194"/>
      <c r="CL260" s="194"/>
      <c r="CM260" s="194"/>
      <c r="CN260" s="194"/>
      <c r="CO260" s="194"/>
      <c r="CP260" s="194"/>
      <c r="CQ260" s="194"/>
      <c r="CR260" s="194"/>
      <c r="CS260" s="194"/>
      <c r="CT260" s="194"/>
      <c r="CU260" s="194"/>
      <c r="CV260" s="194"/>
      <c r="CW260" s="194"/>
      <c r="CX260" s="194"/>
      <c r="CY260" s="194"/>
      <c r="CZ260" s="194"/>
      <c r="DA260" s="194"/>
      <c r="DB260" s="194"/>
      <c r="DC260" s="194"/>
      <c r="DD260" s="194"/>
      <c r="DE260" s="194"/>
      <c r="DF260" s="194"/>
    </row>
    <row r="261" spans="2:110" s="192" customFormat="1" hidden="1" x14ac:dyDescent="0.35">
      <c r="B261" s="289"/>
      <c r="C261" s="289"/>
      <c r="Q261" s="193"/>
      <c r="R261" s="194">
        <f t="shared" si="167"/>
        <v>18</v>
      </c>
      <c r="S261" s="197">
        <f t="shared" si="133"/>
        <v>0.3888888888888889</v>
      </c>
      <c r="T261" s="194">
        <f t="shared" si="188"/>
        <v>0.69</v>
      </c>
      <c r="U261" s="194">
        <f t="shared" si="189"/>
        <v>1.4999999999999999E-4</v>
      </c>
      <c r="V261" s="197">
        <f t="shared" si="168"/>
        <v>0.3888888888888889</v>
      </c>
      <c r="W261" s="197">
        <f t="shared" si="134"/>
        <v>4.3555555555555561E-3</v>
      </c>
      <c r="X261" s="286">
        <f t="shared" si="135"/>
        <v>1</v>
      </c>
      <c r="Y261" s="286">
        <f t="shared" si="136"/>
        <v>0.17335969315081967</v>
      </c>
      <c r="Z261" s="286">
        <f t="shared" si="137"/>
        <v>0.54964853345132902</v>
      </c>
      <c r="AA261" s="286">
        <f t="shared" si="169"/>
        <v>0.17335969315081967</v>
      </c>
      <c r="AB261" s="197">
        <f t="shared" si="138"/>
        <v>0.36419974881911377</v>
      </c>
      <c r="AC261" s="287">
        <f t="shared" si="139"/>
        <v>4.4451203372005044E-7</v>
      </c>
      <c r="AD261" s="197">
        <f t="shared" si="170"/>
        <v>11.693936048110356</v>
      </c>
      <c r="AE261" s="197">
        <f t="shared" si="171"/>
        <v>35.08180814433107</v>
      </c>
      <c r="AF261" s="197">
        <f t="shared" si="172"/>
        <v>8.5178571428571423E-2</v>
      </c>
      <c r="AG261" s="197">
        <f t="shared" si="173"/>
        <v>0.25553571428571431</v>
      </c>
      <c r="AH261" s="197">
        <f t="shared" si="140"/>
        <v>0.11660930017110901</v>
      </c>
      <c r="AI261" s="197">
        <f t="shared" si="174"/>
        <v>0.11660930017110901</v>
      </c>
      <c r="AJ261" s="218">
        <f t="shared" si="141"/>
        <v>390.00000000000006</v>
      </c>
      <c r="AK261" s="197">
        <f t="shared" si="175"/>
        <v>6.0930617977437734E-2</v>
      </c>
      <c r="AL261" s="197">
        <f t="shared" si="176"/>
        <v>9.6203707235237593E-2</v>
      </c>
      <c r="AM261" s="197">
        <f t="shared" si="177"/>
        <v>4.0790371867740751E-3</v>
      </c>
      <c r="AN261" s="197">
        <f t="shared" si="142"/>
        <v>24.05</v>
      </c>
      <c r="AO261" s="197">
        <f t="shared" si="143"/>
        <v>21.69</v>
      </c>
      <c r="AP261" s="197">
        <f t="shared" si="178"/>
        <v>7.4093290390420161E-2</v>
      </c>
      <c r="AQ261" s="197">
        <f t="shared" si="179"/>
        <v>0.42250439890466829</v>
      </c>
      <c r="AR261" s="197">
        <f t="shared" si="180"/>
        <v>0.30589509873355925</v>
      </c>
      <c r="AS261" s="258">
        <f t="shared" si="181"/>
        <v>0.15228632177729159</v>
      </c>
      <c r="AT261" s="197">
        <f t="shared" si="144"/>
        <v>2.5974058656511614E-4</v>
      </c>
      <c r="AU261" s="194">
        <f t="shared" si="145"/>
        <v>21.19</v>
      </c>
      <c r="AV261" s="197">
        <f t="shared" si="146"/>
        <v>2.7E-2</v>
      </c>
      <c r="AW261" s="197">
        <f t="shared" si="147"/>
        <v>3.4260000000000002E-3</v>
      </c>
      <c r="AX261" s="197">
        <f t="shared" si="182"/>
        <v>6.1668000000000001E-2</v>
      </c>
      <c r="AY261" s="197">
        <f t="shared" si="148"/>
        <v>2.8867476000000005E-3</v>
      </c>
      <c r="AZ261" s="197">
        <f t="shared" si="149"/>
        <v>0</v>
      </c>
      <c r="BA261" s="197">
        <f t="shared" si="183"/>
        <v>7.2596940000000013E-2</v>
      </c>
      <c r="BB261" s="258">
        <f t="shared" si="150"/>
        <v>0.36575210336206115</v>
      </c>
      <c r="BC261" s="197">
        <f t="shared" si="151"/>
        <v>2.2380490766334034E-2</v>
      </c>
      <c r="BD261" s="197">
        <f t="shared" si="184"/>
        <v>4.4760981532668068E-3</v>
      </c>
      <c r="BE261" s="197">
        <f t="shared" si="185"/>
        <v>2.6856588919600841E-2</v>
      </c>
      <c r="BF261" s="197">
        <f t="shared" si="152"/>
        <v>0.20773291256157633</v>
      </c>
      <c r="BG261" s="197">
        <f t="shared" si="153"/>
        <v>5.4608303342508187E-4</v>
      </c>
      <c r="BH261" s="197">
        <f t="shared" si="154"/>
        <v>3.5336687086656722E-2</v>
      </c>
      <c r="BI261" s="197">
        <f t="shared" si="186"/>
        <v>0.44730899017824427</v>
      </c>
      <c r="BJ261" s="197">
        <f t="shared" si="155"/>
        <v>6.769615024661003</v>
      </c>
      <c r="BK261" s="288">
        <f t="shared" si="156"/>
        <v>0.93392401361838984</v>
      </c>
      <c r="BL261" s="197">
        <f t="shared" si="157"/>
        <v>0.37608972359227794</v>
      </c>
      <c r="BM261" s="197">
        <f t="shared" si="158"/>
        <v>7.4353030976985271E-2</v>
      </c>
      <c r="BN261" s="197">
        <f t="shared" si="159"/>
        <v>54.461181858619113</v>
      </c>
      <c r="BO261" s="197">
        <f t="shared" si="187"/>
        <v>0.2082789955950014</v>
      </c>
      <c r="BP261" s="197">
        <f t="shared" si="160"/>
        <v>65.620924669625111</v>
      </c>
      <c r="BQ261" s="197">
        <f t="shared" si="161"/>
        <v>9.9596940000000009E-2</v>
      </c>
      <c r="BR261" s="288">
        <f t="shared" si="162"/>
        <v>0.16008975919012108</v>
      </c>
      <c r="BS261" s="197">
        <f t="shared" si="163"/>
        <v>0.11660930017110901</v>
      </c>
      <c r="BT261" s="197">
        <f t="shared" si="164"/>
        <v>0.36419974881911377</v>
      </c>
      <c r="BU261" s="197">
        <f t="shared" si="165"/>
        <v>0.1713930788771201</v>
      </c>
      <c r="BV261" s="197">
        <f t="shared" si="166"/>
        <v>0.53530306917875781</v>
      </c>
      <c r="BW261" s="194"/>
      <c r="BX261" s="194"/>
      <c r="BY261" s="194"/>
      <c r="BZ261" s="194"/>
      <c r="CA261" s="194"/>
      <c r="CB261" s="194"/>
      <c r="CC261" s="194"/>
      <c r="CD261" s="194"/>
      <c r="CE261" s="194"/>
      <c r="CF261" s="194"/>
      <c r="CG261" s="194"/>
      <c r="CH261" s="194"/>
      <c r="CI261" s="194"/>
      <c r="CJ261" s="194"/>
      <c r="CK261" s="194"/>
      <c r="CL261" s="194"/>
      <c r="CM261" s="194"/>
      <c r="CN261" s="194"/>
      <c r="CO261" s="194"/>
      <c r="CP261" s="194"/>
      <c r="CQ261" s="194"/>
      <c r="CR261" s="194"/>
      <c r="CS261" s="194"/>
      <c r="CT261" s="194"/>
      <c r="CU261" s="194"/>
      <c r="CV261" s="194"/>
      <c r="CW261" s="194"/>
      <c r="CX261" s="194"/>
      <c r="CY261" s="194"/>
      <c r="CZ261" s="194"/>
      <c r="DA261" s="194"/>
      <c r="DB261" s="194"/>
      <c r="DC261" s="194"/>
      <c r="DD261" s="194"/>
      <c r="DE261" s="194"/>
      <c r="DF261" s="194"/>
    </row>
    <row r="262" spans="2:110" s="192" customFormat="1" hidden="1" x14ac:dyDescent="0.35">
      <c r="B262" s="289"/>
      <c r="C262" s="289"/>
      <c r="Q262" s="193"/>
      <c r="R262" s="194">
        <f t="shared" si="167"/>
        <v>18</v>
      </c>
      <c r="S262" s="197">
        <f t="shared" si="133"/>
        <v>0.3888888888888889</v>
      </c>
      <c r="T262" s="194">
        <f t="shared" si="188"/>
        <v>0.69</v>
      </c>
      <c r="U262" s="194">
        <f t="shared" si="189"/>
        <v>1.4999999999999999E-4</v>
      </c>
      <c r="V262" s="197">
        <f t="shared" si="168"/>
        <v>0.3888888888888889</v>
      </c>
      <c r="W262" s="197">
        <f t="shared" si="134"/>
        <v>4.3555555555555561E-3</v>
      </c>
      <c r="X262" s="286">
        <f t="shared" si="135"/>
        <v>1</v>
      </c>
      <c r="Y262" s="286">
        <f t="shared" si="136"/>
        <v>0.17335969315081967</v>
      </c>
      <c r="Z262" s="286">
        <f t="shared" si="137"/>
        <v>0.54964853345132902</v>
      </c>
      <c r="AA262" s="286">
        <f t="shared" si="169"/>
        <v>0.17335969315081967</v>
      </c>
      <c r="AB262" s="197">
        <f t="shared" si="138"/>
        <v>0.36419974881911377</v>
      </c>
      <c r="AC262" s="287">
        <f t="shared" si="139"/>
        <v>4.4451203372005044E-7</v>
      </c>
      <c r="AD262" s="197">
        <f t="shared" si="170"/>
        <v>11.693936048110356</v>
      </c>
      <c r="AE262" s="197">
        <f t="shared" si="171"/>
        <v>35.08180814433107</v>
      </c>
      <c r="AF262" s="197">
        <f t="shared" si="172"/>
        <v>8.5178571428571423E-2</v>
      </c>
      <c r="AG262" s="197">
        <f t="shared" si="173"/>
        <v>0.25553571428571431</v>
      </c>
      <c r="AH262" s="197">
        <f t="shared" si="140"/>
        <v>0.11660930017110901</v>
      </c>
      <c r="AI262" s="197">
        <f t="shared" si="174"/>
        <v>0.11660930017110901</v>
      </c>
      <c r="AJ262" s="218">
        <f t="shared" si="141"/>
        <v>390.00000000000006</v>
      </c>
      <c r="AK262" s="197">
        <f t="shared" si="175"/>
        <v>6.0930617977437734E-2</v>
      </c>
      <c r="AL262" s="197">
        <f t="shared" si="176"/>
        <v>9.6203707235237593E-2</v>
      </c>
      <c r="AM262" s="197">
        <f t="shared" si="177"/>
        <v>4.0790371867740751E-3</v>
      </c>
      <c r="AN262" s="197">
        <f t="shared" si="142"/>
        <v>24.05</v>
      </c>
      <c r="AO262" s="197">
        <f t="shared" si="143"/>
        <v>21.69</v>
      </c>
      <c r="AP262" s="197">
        <f t="shared" si="178"/>
        <v>7.4093290390420161E-2</v>
      </c>
      <c r="AQ262" s="197">
        <f t="shared" si="179"/>
        <v>0.42250439890466829</v>
      </c>
      <c r="AR262" s="197">
        <f t="shared" si="180"/>
        <v>0.30589509873355925</v>
      </c>
      <c r="AS262" s="258">
        <f t="shared" si="181"/>
        <v>0.15228632177729159</v>
      </c>
      <c r="AT262" s="197">
        <f t="shared" si="144"/>
        <v>2.5974058656511614E-4</v>
      </c>
      <c r="AU262" s="194">
        <f t="shared" si="145"/>
        <v>21.19</v>
      </c>
      <c r="AV262" s="197">
        <f t="shared" si="146"/>
        <v>2.7E-2</v>
      </c>
      <c r="AW262" s="197">
        <f t="shared" si="147"/>
        <v>3.4260000000000002E-3</v>
      </c>
      <c r="AX262" s="197">
        <f t="shared" si="182"/>
        <v>6.1668000000000001E-2</v>
      </c>
      <c r="AY262" s="197">
        <f t="shared" si="148"/>
        <v>2.8867476000000005E-3</v>
      </c>
      <c r="AZ262" s="197">
        <f t="shared" si="149"/>
        <v>0</v>
      </c>
      <c r="BA262" s="197">
        <f t="shared" si="183"/>
        <v>7.2596940000000013E-2</v>
      </c>
      <c r="BB262" s="258">
        <f t="shared" si="150"/>
        <v>0.36575210336206115</v>
      </c>
      <c r="BC262" s="197">
        <f t="shared" si="151"/>
        <v>2.2380490766334034E-2</v>
      </c>
      <c r="BD262" s="197">
        <f t="shared" si="184"/>
        <v>4.4760981532668068E-3</v>
      </c>
      <c r="BE262" s="197">
        <f t="shared" si="185"/>
        <v>2.6856588919600841E-2</v>
      </c>
      <c r="BF262" s="197">
        <f t="shared" si="152"/>
        <v>0.20773291256157633</v>
      </c>
      <c r="BG262" s="197">
        <f t="shared" si="153"/>
        <v>5.4608303342508187E-4</v>
      </c>
      <c r="BH262" s="197">
        <f t="shared" si="154"/>
        <v>3.5336687086656722E-2</v>
      </c>
      <c r="BI262" s="197">
        <f t="shared" si="186"/>
        <v>0.44730899017824427</v>
      </c>
      <c r="BJ262" s="197">
        <f t="shared" si="155"/>
        <v>6.769615024661003</v>
      </c>
      <c r="BK262" s="288">
        <f t="shared" si="156"/>
        <v>0.93392401361838984</v>
      </c>
      <c r="BL262" s="197">
        <f t="shared" si="157"/>
        <v>0.37608972359227794</v>
      </c>
      <c r="BM262" s="197">
        <f t="shared" si="158"/>
        <v>7.4353030976985271E-2</v>
      </c>
      <c r="BN262" s="197">
        <f t="shared" si="159"/>
        <v>54.461181858619113</v>
      </c>
      <c r="BO262" s="197">
        <f t="shared" si="187"/>
        <v>0.2082789955950014</v>
      </c>
      <c r="BP262" s="197">
        <f t="shared" si="160"/>
        <v>65.620924669625111</v>
      </c>
      <c r="BQ262" s="197">
        <f t="shared" si="161"/>
        <v>9.9596940000000009E-2</v>
      </c>
      <c r="BR262" s="288">
        <f t="shared" si="162"/>
        <v>0.16008975919012108</v>
      </c>
      <c r="BS262" s="197">
        <f t="shared" si="163"/>
        <v>0.11660930017110901</v>
      </c>
      <c r="BT262" s="197">
        <f t="shared" si="164"/>
        <v>0.36419974881911377</v>
      </c>
      <c r="BU262" s="197">
        <f t="shared" si="165"/>
        <v>0.1713930788771201</v>
      </c>
      <c r="BV262" s="197">
        <f t="shared" si="166"/>
        <v>0.53530306917875781</v>
      </c>
      <c r="BW262" s="194"/>
      <c r="BX262" s="194"/>
      <c r="BY262" s="194"/>
      <c r="BZ262" s="194"/>
      <c r="CA262" s="194"/>
      <c r="CB262" s="194"/>
      <c r="CC262" s="194"/>
      <c r="CD262" s="194"/>
      <c r="CE262" s="194"/>
      <c r="CF262" s="194"/>
      <c r="CG262" s="194"/>
      <c r="CH262" s="194"/>
      <c r="CI262" s="194"/>
      <c r="CJ262" s="194"/>
      <c r="CK262" s="194"/>
      <c r="CL262" s="194"/>
      <c r="CM262" s="194"/>
      <c r="CN262" s="194"/>
      <c r="CO262" s="194"/>
      <c r="CP262" s="194"/>
      <c r="CQ262" s="194"/>
      <c r="CR262" s="194"/>
      <c r="CS262" s="194"/>
      <c r="CT262" s="194"/>
      <c r="CU262" s="194"/>
      <c r="CV262" s="194"/>
      <c r="CW262" s="194"/>
      <c r="CX262" s="194"/>
      <c r="CY262" s="194"/>
      <c r="CZ262" s="194"/>
      <c r="DA262" s="194"/>
      <c r="DB262" s="194"/>
      <c r="DC262" s="194"/>
      <c r="DD262" s="194"/>
      <c r="DE262" s="194"/>
      <c r="DF262" s="194"/>
    </row>
    <row r="263" spans="2:110" s="192" customFormat="1" hidden="1" x14ac:dyDescent="0.35">
      <c r="B263" s="289"/>
      <c r="C263" s="289"/>
      <c r="Q263" s="193"/>
      <c r="R263" s="194">
        <f t="shared" si="167"/>
        <v>18</v>
      </c>
      <c r="S263" s="197">
        <f t="shared" si="133"/>
        <v>0.3888888888888889</v>
      </c>
      <c r="T263" s="194">
        <f t="shared" si="188"/>
        <v>0.69</v>
      </c>
      <c r="U263" s="194">
        <f t="shared" si="189"/>
        <v>1.4999999999999999E-4</v>
      </c>
      <c r="V263" s="197">
        <f t="shared" si="168"/>
        <v>0.3888888888888889</v>
      </c>
      <c r="W263" s="197">
        <f t="shared" si="134"/>
        <v>4.3555555555555561E-3</v>
      </c>
      <c r="X263" s="286">
        <f t="shared" si="135"/>
        <v>1</v>
      </c>
      <c r="Y263" s="286">
        <f t="shared" si="136"/>
        <v>0.17335969315081967</v>
      </c>
      <c r="Z263" s="286">
        <f t="shared" si="137"/>
        <v>0.54964853345132902</v>
      </c>
      <c r="AA263" s="286">
        <f t="shared" si="169"/>
        <v>0.17335969315081967</v>
      </c>
      <c r="AB263" s="197">
        <f t="shared" si="138"/>
        <v>0.36419974881911377</v>
      </c>
      <c r="AC263" s="287">
        <f t="shared" si="139"/>
        <v>4.4451203372005044E-7</v>
      </c>
      <c r="AD263" s="197">
        <f t="shared" si="170"/>
        <v>11.693936048110356</v>
      </c>
      <c r="AE263" s="197">
        <f t="shared" si="171"/>
        <v>35.08180814433107</v>
      </c>
      <c r="AF263" s="197">
        <f t="shared" si="172"/>
        <v>8.5178571428571423E-2</v>
      </c>
      <c r="AG263" s="197">
        <f t="shared" si="173"/>
        <v>0.25553571428571431</v>
      </c>
      <c r="AH263" s="197">
        <f t="shared" si="140"/>
        <v>0.11660930017110901</v>
      </c>
      <c r="AI263" s="197">
        <f t="shared" si="174"/>
        <v>0.11660930017110901</v>
      </c>
      <c r="AJ263" s="218">
        <f t="shared" si="141"/>
        <v>390.00000000000006</v>
      </c>
      <c r="AK263" s="197">
        <f t="shared" si="175"/>
        <v>6.0930617977437734E-2</v>
      </c>
      <c r="AL263" s="197">
        <f t="shared" si="176"/>
        <v>9.6203707235237593E-2</v>
      </c>
      <c r="AM263" s="197">
        <f t="shared" si="177"/>
        <v>4.0790371867740751E-3</v>
      </c>
      <c r="AN263" s="197">
        <f t="shared" si="142"/>
        <v>24.05</v>
      </c>
      <c r="AO263" s="197">
        <f t="shared" si="143"/>
        <v>21.69</v>
      </c>
      <c r="AP263" s="197">
        <f t="shared" si="178"/>
        <v>7.4093290390420161E-2</v>
      </c>
      <c r="AQ263" s="197">
        <f t="shared" si="179"/>
        <v>0.42250439890466829</v>
      </c>
      <c r="AR263" s="197">
        <f t="shared" si="180"/>
        <v>0.30589509873355925</v>
      </c>
      <c r="AS263" s="258">
        <f t="shared" si="181"/>
        <v>0.15228632177729159</v>
      </c>
      <c r="AT263" s="197">
        <f t="shared" si="144"/>
        <v>2.5974058656511614E-4</v>
      </c>
      <c r="AU263" s="194">
        <f t="shared" si="145"/>
        <v>21.19</v>
      </c>
      <c r="AV263" s="197">
        <f t="shared" si="146"/>
        <v>2.7E-2</v>
      </c>
      <c r="AW263" s="197">
        <f t="shared" si="147"/>
        <v>3.4260000000000002E-3</v>
      </c>
      <c r="AX263" s="197">
        <f t="shared" si="182"/>
        <v>6.1668000000000001E-2</v>
      </c>
      <c r="AY263" s="197">
        <f t="shared" si="148"/>
        <v>2.8867476000000005E-3</v>
      </c>
      <c r="AZ263" s="197">
        <f t="shared" si="149"/>
        <v>0</v>
      </c>
      <c r="BA263" s="197">
        <f t="shared" si="183"/>
        <v>7.2596940000000013E-2</v>
      </c>
      <c r="BB263" s="258">
        <f t="shared" si="150"/>
        <v>0.36575210336206115</v>
      </c>
      <c r="BC263" s="197">
        <f t="shared" si="151"/>
        <v>2.2380490766334034E-2</v>
      </c>
      <c r="BD263" s="197">
        <f t="shared" si="184"/>
        <v>4.4760981532668068E-3</v>
      </c>
      <c r="BE263" s="197">
        <f t="shared" si="185"/>
        <v>2.6856588919600841E-2</v>
      </c>
      <c r="BF263" s="197">
        <f t="shared" si="152"/>
        <v>0.20773291256157633</v>
      </c>
      <c r="BG263" s="197">
        <f t="shared" si="153"/>
        <v>5.4608303342508187E-4</v>
      </c>
      <c r="BH263" s="197">
        <f t="shared" si="154"/>
        <v>3.5336687086656722E-2</v>
      </c>
      <c r="BI263" s="197">
        <f t="shared" si="186"/>
        <v>0.44730899017824427</v>
      </c>
      <c r="BJ263" s="197">
        <f t="shared" si="155"/>
        <v>6.769615024661003</v>
      </c>
      <c r="BK263" s="288">
        <f t="shared" si="156"/>
        <v>0.93392401361838984</v>
      </c>
      <c r="BL263" s="197">
        <f t="shared" si="157"/>
        <v>0.37608972359227794</v>
      </c>
      <c r="BM263" s="197">
        <f t="shared" si="158"/>
        <v>7.4353030976985271E-2</v>
      </c>
      <c r="BN263" s="197">
        <f t="shared" si="159"/>
        <v>54.461181858619113</v>
      </c>
      <c r="BO263" s="197">
        <f t="shared" si="187"/>
        <v>0.2082789955950014</v>
      </c>
      <c r="BP263" s="197">
        <f t="shared" si="160"/>
        <v>65.620924669625111</v>
      </c>
      <c r="BQ263" s="197">
        <f t="shared" si="161"/>
        <v>9.9596940000000009E-2</v>
      </c>
      <c r="BR263" s="288">
        <f t="shared" si="162"/>
        <v>0.16008975919012108</v>
      </c>
      <c r="BS263" s="197">
        <f t="shared" si="163"/>
        <v>0.11660930017110901</v>
      </c>
      <c r="BT263" s="197">
        <f t="shared" si="164"/>
        <v>0.36419974881911377</v>
      </c>
      <c r="BU263" s="197">
        <f t="shared" si="165"/>
        <v>0.1713930788771201</v>
      </c>
      <c r="BV263" s="197">
        <f t="shared" si="166"/>
        <v>0.53530306917875781</v>
      </c>
      <c r="BW263" s="194"/>
      <c r="BX263" s="194"/>
      <c r="BY263" s="194"/>
      <c r="BZ263" s="194"/>
      <c r="CA263" s="194"/>
      <c r="CB263" s="194"/>
      <c r="CC263" s="194"/>
      <c r="CD263" s="194"/>
      <c r="CE263" s="194"/>
      <c r="CF263" s="194"/>
      <c r="CG263" s="194"/>
      <c r="CH263" s="194"/>
      <c r="CI263" s="194"/>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row>
    <row r="264" spans="2:110" s="192" customFormat="1" hidden="1" x14ac:dyDescent="0.35">
      <c r="B264" s="289"/>
      <c r="C264" s="289"/>
      <c r="Q264" s="193"/>
      <c r="R264" s="194">
        <f t="shared" si="167"/>
        <v>18</v>
      </c>
      <c r="S264" s="197">
        <f t="shared" si="133"/>
        <v>0.3888888888888889</v>
      </c>
      <c r="T264" s="194">
        <f t="shared" si="188"/>
        <v>0.69</v>
      </c>
      <c r="U264" s="194">
        <f t="shared" si="189"/>
        <v>1.4999999999999999E-4</v>
      </c>
      <c r="V264" s="197">
        <f t="shared" si="168"/>
        <v>0.3888888888888889</v>
      </c>
      <c r="W264" s="197">
        <f t="shared" si="134"/>
        <v>4.3555555555555561E-3</v>
      </c>
      <c r="X264" s="286">
        <f t="shared" si="135"/>
        <v>1</v>
      </c>
      <c r="Y264" s="286">
        <f t="shared" si="136"/>
        <v>0.17335969315081967</v>
      </c>
      <c r="Z264" s="286">
        <f t="shared" si="137"/>
        <v>0.54964853345132902</v>
      </c>
      <c r="AA264" s="286">
        <f t="shared" si="169"/>
        <v>0.17335969315081967</v>
      </c>
      <c r="AB264" s="197">
        <f t="shared" si="138"/>
        <v>0.36419974881911377</v>
      </c>
      <c r="AC264" s="287">
        <f t="shared" si="139"/>
        <v>4.4451203372005044E-7</v>
      </c>
      <c r="AD264" s="197">
        <f t="shared" si="170"/>
        <v>11.693936048110356</v>
      </c>
      <c r="AE264" s="197">
        <f t="shared" si="171"/>
        <v>35.08180814433107</v>
      </c>
      <c r="AF264" s="197">
        <f t="shared" si="172"/>
        <v>8.5178571428571423E-2</v>
      </c>
      <c r="AG264" s="197">
        <f t="shared" si="173"/>
        <v>0.25553571428571431</v>
      </c>
      <c r="AH264" s="197">
        <f t="shared" si="140"/>
        <v>0.11660930017110901</v>
      </c>
      <c r="AI264" s="197">
        <f t="shared" si="174"/>
        <v>0.11660930017110901</v>
      </c>
      <c r="AJ264" s="218">
        <f t="shared" si="141"/>
        <v>390.00000000000006</v>
      </c>
      <c r="AK264" s="197">
        <f t="shared" si="175"/>
        <v>6.0930617977437734E-2</v>
      </c>
      <c r="AL264" s="197">
        <f t="shared" si="176"/>
        <v>9.6203707235237593E-2</v>
      </c>
      <c r="AM264" s="197">
        <f t="shared" si="177"/>
        <v>4.0790371867740751E-3</v>
      </c>
      <c r="AN264" s="197">
        <f t="shared" si="142"/>
        <v>24.05</v>
      </c>
      <c r="AO264" s="197">
        <f t="shared" si="143"/>
        <v>21.69</v>
      </c>
      <c r="AP264" s="197">
        <f t="shared" si="178"/>
        <v>7.4093290390420161E-2</v>
      </c>
      <c r="AQ264" s="197">
        <f t="shared" si="179"/>
        <v>0.42250439890466829</v>
      </c>
      <c r="AR264" s="197">
        <f t="shared" si="180"/>
        <v>0.30589509873355925</v>
      </c>
      <c r="AS264" s="258">
        <f t="shared" si="181"/>
        <v>0.15228632177729159</v>
      </c>
      <c r="AT264" s="197">
        <f t="shared" si="144"/>
        <v>2.5974058656511614E-4</v>
      </c>
      <c r="AU264" s="194">
        <f t="shared" si="145"/>
        <v>21.19</v>
      </c>
      <c r="AV264" s="197">
        <f t="shared" si="146"/>
        <v>2.7E-2</v>
      </c>
      <c r="AW264" s="197">
        <f t="shared" si="147"/>
        <v>3.4260000000000002E-3</v>
      </c>
      <c r="AX264" s="197">
        <f t="shared" si="182"/>
        <v>6.1668000000000001E-2</v>
      </c>
      <c r="AY264" s="197">
        <f t="shared" si="148"/>
        <v>2.8867476000000005E-3</v>
      </c>
      <c r="AZ264" s="197">
        <f t="shared" si="149"/>
        <v>0</v>
      </c>
      <c r="BA264" s="197">
        <f t="shared" si="183"/>
        <v>7.2596940000000013E-2</v>
      </c>
      <c r="BB264" s="258">
        <f t="shared" si="150"/>
        <v>0.36575210336206115</v>
      </c>
      <c r="BC264" s="197">
        <f t="shared" si="151"/>
        <v>2.2380490766334034E-2</v>
      </c>
      <c r="BD264" s="197">
        <f t="shared" si="184"/>
        <v>4.4760981532668068E-3</v>
      </c>
      <c r="BE264" s="197">
        <f t="shared" si="185"/>
        <v>2.6856588919600841E-2</v>
      </c>
      <c r="BF264" s="197">
        <f t="shared" si="152"/>
        <v>0.20773291256157633</v>
      </c>
      <c r="BG264" s="197">
        <f t="shared" si="153"/>
        <v>5.4608303342508187E-4</v>
      </c>
      <c r="BH264" s="197">
        <f t="shared" si="154"/>
        <v>3.5336687086656722E-2</v>
      </c>
      <c r="BI264" s="197">
        <f t="shared" si="186"/>
        <v>0.44730899017824427</v>
      </c>
      <c r="BJ264" s="197">
        <f t="shared" si="155"/>
        <v>6.769615024661003</v>
      </c>
      <c r="BK264" s="288">
        <f t="shared" si="156"/>
        <v>0.93392401361838984</v>
      </c>
      <c r="BL264" s="197">
        <f t="shared" si="157"/>
        <v>0.37608972359227794</v>
      </c>
      <c r="BM264" s="197">
        <f t="shared" si="158"/>
        <v>7.4353030976985271E-2</v>
      </c>
      <c r="BN264" s="197">
        <f t="shared" si="159"/>
        <v>54.461181858619113</v>
      </c>
      <c r="BO264" s="197">
        <f t="shared" si="187"/>
        <v>0.2082789955950014</v>
      </c>
      <c r="BP264" s="197">
        <f t="shared" si="160"/>
        <v>65.620924669625111</v>
      </c>
      <c r="BQ264" s="197">
        <f t="shared" si="161"/>
        <v>9.9596940000000009E-2</v>
      </c>
      <c r="BR264" s="288">
        <f t="shared" si="162"/>
        <v>0.16008975919012108</v>
      </c>
      <c r="BS264" s="197">
        <f t="shared" si="163"/>
        <v>0.11660930017110901</v>
      </c>
      <c r="BT264" s="197">
        <f t="shared" si="164"/>
        <v>0.36419974881911377</v>
      </c>
      <c r="BU264" s="197">
        <f t="shared" si="165"/>
        <v>0.1713930788771201</v>
      </c>
      <c r="BV264" s="197">
        <f t="shared" si="166"/>
        <v>0.53530306917875781</v>
      </c>
      <c r="BW264" s="194"/>
      <c r="BX264" s="194"/>
      <c r="BY264" s="194"/>
      <c r="BZ264" s="194"/>
      <c r="CA264" s="194"/>
      <c r="CB264" s="194"/>
      <c r="CC264" s="194"/>
      <c r="CD264" s="194"/>
      <c r="CE264" s="194"/>
      <c r="CF264" s="194"/>
      <c r="CG264" s="194"/>
      <c r="CH264" s="194"/>
      <c r="CI264" s="194"/>
      <c r="CJ264" s="194"/>
      <c r="CK264" s="194"/>
      <c r="CL264" s="194"/>
      <c r="CM264" s="194"/>
      <c r="CN264" s="194"/>
      <c r="CO264" s="194"/>
      <c r="CP264" s="194"/>
      <c r="CQ264" s="194"/>
      <c r="CR264" s="194"/>
      <c r="CS264" s="194"/>
      <c r="CT264" s="194"/>
      <c r="CU264" s="194"/>
      <c r="CV264" s="194"/>
      <c r="CW264" s="194"/>
      <c r="CX264" s="194"/>
      <c r="CY264" s="194"/>
      <c r="CZ264" s="194"/>
      <c r="DA264" s="194"/>
      <c r="DB264" s="194"/>
      <c r="DC264" s="194"/>
      <c r="DD264" s="194"/>
      <c r="DE264" s="194"/>
      <c r="DF264" s="194"/>
    </row>
    <row r="265" spans="2:110" s="192" customFormat="1" hidden="1" x14ac:dyDescent="0.35">
      <c r="B265" s="289"/>
      <c r="C265" s="289"/>
      <c r="Q265" s="193"/>
      <c r="R265" s="194">
        <f t="shared" si="167"/>
        <v>18</v>
      </c>
      <c r="S265" s="197">
        <f t="shared" si="133"/>
        <v>0.3888888888888889</v>
      </c>
      <c r="T265" s="194">
        <f t="shared" si="188"/>
        <v>0.69</v>
      </c>
      <c r="U265" s="194">
        <f t="shared" si="189"/>
        <v>1.4999999999999999E-4</v>
      </c>
      <c r="V265" s="197">
        <f t="shared" si="168"/>
        <v>0.3888888888888889</v>
      </c>
      <c r="W265" s="197">
        <f t="shared" si="134"/>
        <v>4.3555555555555561E-3</v>
      </c>
      <c r="X265" s="286">
        <f t="shared" si="135"/>
        <v>1</v>
      </c>
      <c r="Y265" s="286">
        <f t="shared" si="136"/>
        <v>0.17335969315081967</v>
      </c>
      <c r="Z265" s="286">
        <f t="shared" si="137"/>
        <v>0.54964853345132902</v>
      </c>
      <c r="AA265" s="286">
        <f t="shared" si="169"/>
        <v>0.17335969315081967</v>
      </c>
      <c r="AB265" s="197">
        <f t="shared" si="138"/>
        <v>0.36419974881911377</v>
      </c>
      <c r="AC265" s="287">
        <f t="shared" si="139"/>
        <v>4.4451203372005044E-7</v>
      </c>
      <c r="AD265" s="197">
        <f t="shared" si="170"/>
        <v>11.693936048110356</v>
      </c>
      <c r="AE265" s="197">
        <f t="shared" si="171"/>
        <v>35.08180814433107</v>
      </c>
      <c r="AF265" s="197">
        <f t="shared" si="172"/>
        <v>8.5178571428571423E-2</v>
      </c>
      <c r="AG265" s="197">
        <f t="shared" si="173"/>
        <v>0.25553571428571431</v>
      </c>
      <c r="AH265" s="197">
        <f t="shared" si="140"/>
        <v>0.11660930017110901</v>
      </c>
      <c r="AI265" s="197">
        <f t="shared" si="174"/>
        <v>0.11660930017110901</v>
      </c>
      <c r="AJ265" s="218">
        <f t="shared" si="141"/>
        <v>390.00000000000006</v>
      </c>
      <c r="AK265" s="197">
        <f t="shared" si="175"/>
        <v>6.0930617977437734E-2</v>
      </c>
      <c r="AL265" s="197">
        <f t="shared" si="176"/>
        <v>9.6203707235237593E-2</v>
      </c>
      <c r="AM265" s="197">
        <f t="shared" si="177"/>
        <v>4.0790371867740751E-3</v>
      </c>
      <c r="AN265" s="197">
        <f t="shared" si="142"/>
        <v>24.05</v>
      </c>
      <c r="AO265" s="197">
        <f t="shared" si="143"/>
        <v>21.69</v>
      </c>
      <c r="AP265" s="197">
        <f t="shared" si="178"/>
        <v>7.4093290390420161E-2</v>
      </c>
      <c r="AQ265" s="197">
        <f t="shared" si="179"/>
        <v>0.42250439890466829</v>
      </c>
      <c r="AR265" s="197">
        <f t="shared" si="180"/>
        <v>0.30589509873355925</v>
      </c>
      <c r="AS265" s="258">
        <f t="shared" si="181"/>
        <v>0.15228632177729159</v>
      </c>
      <c r="AT265" s="197">
        <f t="shared" si="144"/>
        <v>2.5974058656511614E-4</v>
      </c>
      <c r="AU265" s="194">
        <f t="shared" si="145"/>
        <v>21.19</v>
      </c>
      <c r="AV265" s="197">
        <f t="shared" si="146"/>
        <v>2.7E-2</v>
      </c>
      <c r="AW265" s="197">
        <f t="shared" si="147"/>
        <v>3.4260000000000002E-3</v>
      </c>
      <c r="AX265" s="197">
        <f t="shared" si="182"/>
        <v>6.1668000000000001E-2</v>
      </c>
      <c r="AY265" s="197">
        <f t="shared" si="148"/>
        <v>2.8867476000000005E-3</v>
      </c>
      <c r="AZ265" s="197">
        <f t="shared" si="149"/>
        <v>0</v>
      </c>
      <c r="BA265" s="197">
        <f t="shared" si="183"/>
        <v>7.2596940000000013E-2</v>
      </c>
      <c r="BB265" s="258">
        <f t="shared" si="150"/>
        <v>0.36575210336206115</v>
      </c>
      <c r="BC265" s="197">
        <f t="shared" si="151"/>
        <v>2.2380490766334034E-2</v>
      </c>
      <c r="BD265" s="197">
        <f t="shared" si="184"/>
        <v>4.4760981532668068E-3</v>
      </c>
      <c r="BE265" s="197">
        <f t="shared" si="185"/>
        <v>2.6856588919600841E-2</v>
      </c>
      <c r="BF265" s="197">
        <f t="shared" si="152"/>
        <v>0.20773291256157633</v>
      </c>
      <c r="BG265" s="197">
        <f t="shared" si="153"/>
        <v>5.4608303342508187E-4</v>
      </c>
      <c r="BH265" s="197">
        <f t="shared" si="154"/>
        <v>3.5336687086656722E-2</v>
      </c>
      <c r="BI265" s="197">
        <f t="shared" si="186"/>
        <v>0.44730899017824427</v>
      </c>
      <c r="BJ265" s="197">
        <f t="shared" si="155"/>
        <v>6.769615024661003</v>
      </c>
      <c r="BK265" s="288">
        <f t="shared" si="156"/>
        <v>0.93392401361838984</v>
      </c>
      <c r="BL265" s="197">
        <f t="shared" si="157"/>
        <v>0.37608972359227794</v>
      </c>
      <c r="BM265" s="197">
        <f t="shared" si="158"/>
        <v>7.4353030976985271E-2</v>
      </c>
      <c r="BN265" s="197">
        <f t="shared" si="159"/>
        <v>54.461181858619113</v>
      </c>
      <c r="BO265" s="197">
        <f t="shared" si="187"/>
        <v>0.2082789955950014</v>
      </c>
      <c r="BP265" s="197">
        <f t="shared" si="160"/>
        <v>65.620924669625111</v>
      </c>
      <c r="BQ265" s="197">
        <f t="shared" si="161"/>
        <v>9.9596940000000009E-2</v>
      </c>
      <c r="BR265" s="288">
        <f t="shared" si="162"/>
        <v>0.16008975919012108</v>
      </c>
      <c r="BS265" s="197">
        <f t="shared" si="163"/>
        <v>0.11660930017110901</v>
      </c>
      <c r="BT265" s="197">
        <f t="shared" si="164"/>
        <v>0.36419974881911377</v>
      </c>
      <c r="BU265" s="197">
        <f t="shared" si="165"/>
        <v>0.1713930788771201</v>
      </c>
      <c r="BV265" s="197">
        <f t="shared" si="166"/>
        <v>0.53530306917875781</v>
      </c>
      <c r="BW265" s="194"/>
      <c r="BX265" s="194"/>
      <c r="BY265" s="194"/>
      <c r="BZ265" s="194"/>
      <c r="CA265" s="194"/>
      <c r="CB265" s="194"/>
      <c r="CC265" s="194"/>
      <c r="CD265" s="194"/>
      <c r="CE265" s="194"/>
      <c r="CF265" s="194"/>
      <c r="CG265" s="194"/>
      <c r="CH265" s="194"/>
      <c r="CI265" s="194"/>
      <c r="CJ265" s="194"/>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row>
    <row r="266" spans="2:110" s="192" customFormat="1" hidden="1" x14ac:dyDescent="0.35">
      <c r="B266" s="289"/>
      <c r="C266" s="289"/>
      <c r="Q266" s="193"/>
      <c r="R266" s="194">
        <f t="shared" si="167"/>
        <v>18</v>
      </c>
      <c r="S266" s="197">
        <f t="shared" si="133"/>
        <v>0.3888888888888889</v>
      </c>
      <c r="T266" s="194">
        <f t="shared" si="188"/>
        <v>0.69</v>
      </c>
      <c r="U266" s="194">
        <f t="shared" si="189"/>
        <v>1.4999999999999999E-4</v>
      </c>
      <c r="V266" s="197">
        <f t="shared" si="168"/>
        <v>0.3888888888888889</v>
      </c>
      <c r="W266" s="197">
        <f t="shared" si="134"/>
        <v>4.3555555555555561E-3</v>
      </c>
      <c r="X266" s="286">
        <f t="shared" si="135"/>
        <v>1</v>
      </c>
      <c r="Y266" s="286">
        <f t="shared" si="136"/>
        <v>0.17335969315081967</v>
      </c>
      <c r="Z266" s="286">
        <f t="shared" si="137"/>
        <v>0.54964853345132902</v>
      </c>
      <c r="AA266" s="286">
        <f t="shared" si="169"/>
        <v>0.17335969315081967</v>
      </c>
      <c r="AB266" s="197">
        <f t="shared" si="138"/>
        <v>0.36419974881911377</v>
      </c>
      <c r="AC266" s="287">
        <f t="shared" si="139"/>
        <v>4.4451203372005044E-7</v>
      </c>
      <c r="AD266" s="197">
        <f t="shared" si="170"/>
        <v>11.693936048110356</v>
      </c>
      <c r="AE266" s="197">
        <f t="shared" si="171"/>
        <v>35.08180814433107</v>
      </c>
      <c r="AF266" s="197">
        <f t="shared" si="172"/>
        <v>8.5178571428571423E-2</v>
      </c>
      <c r="AG266" s="197">
        <f t="shared" si="173"/>
        <v>0.25553571428571431</v>
      </c>
      <c r="AH266" s="197">
        <f t="shared" si="140"/>
        <v>0.11660930017110901</v>
      </c>
      <c r="AI266" s="197">
        <f t="shared" si="174"/>
        <v>0.11660930017110901</v>
      </c>
      <c r="AJ266" s="218">
        <f t="shared" si="141"/>
        <v>390.00000000000006</v>
      </c>
      <c r="AK266" s="197">
        <f t="shared" si="175"/>
        <v>6.0930617977437734E-2</v>
      </c>
      <c r="AL266" s="197">
        <f t="shared" si="176"/>
        <v>9.6203707235237593E-2</v>
      </c>
      <c r="AM266" s="197">
        <f t="shared" si="177"/>
        <v>4.0790371867740751E-3</v>
      </c>
      <c r="AN266" s="197">
        <f t="shared" si="142"/>
        <v>24.05</v>
      </c>
      <c r="AO266" s="197">
        <f t="shared" si="143"/>
        <v>21.69</v>
      </c>
      <c r="AP266" s="197">
        <f t="shared" si="178"/>
        <v>7.4093290390420161E-2</v>
      </c>
      <c r="AQ266" s="197">
        <f t="shared" si="179"/>
        <v>0.42250439890466829</v>
      </c>
      <c r="AR266" s="197">
        <f t="shared" si="180"/>
        <v>0.30589509873355925</v>
      </c>
      <c r="AS266" s="258">
        <f t="shared" si="181"/>
        <v>0.15228632177729159</v>
      </c>
      <c r="AT266" s="197">
        <f t="shared" si="144"/>
        <v>2.5974058656511614E-4</v>
      </c>
      <c r="AU266" s="194">
        <f t="shared" si="145"/>
        <v>21.19</v>
      </c>
      <c r="AV266" s="197">
        <f t="shared" si="146"/>
        <v>2.7E-2</v>
      </c>
      <c r="AW266" s="197">
        <f t="shared" si="147"/>
        <v>3.4260000000000002E-3</v>
      </c>
      <c r="AX266" s="197">
        <f t="shared" si="182"/>
        <v>6.1668000000000001E-2</v>
      </c>
      <c r="AY266" s="197">
        <f t="shared" si="148"/>
        <v>2.8867476000000005E-3</v>
      </c>
      <c r="AZ266" s="197">
        <f t="shared" si="149"/>
        <v>0</v>
      </c>
      <c r="BA266" s="197">
        <f t="shared" si="183"/>
        <v>7.2596940000000013E-2</v>
      </c>
      <c r="BB266" s="258">
        <f t="shared" si="150"/>
        <v>0.36575210336206115</v>
      </c>
      <c r="BC266" s="197">
        <f t="shared" si="151"/>
        <v>2.2380490766334034E-2</v>
      </c>
      <c r="BD266" s="197">
        <f t="shared" si="184"/>
        <v>4.4760981532668068E-3</v>
      </c>
      <c r="BE266" s="197">
        <f t="shared" si="185"/>
        <v>2.6856588919600841E-2</v>
      </c>
      <c r="BF266" s="197">
        <f t="shared" si="152"/>
        <v>0.20773291256157633</v>
      </c>
      <c r="BG266" s="197">
        <f t="shared" si="153"/>
        <v>5.4608303342508187E-4</v>
      </c>
      <c r="BH266" s="197">
        <f t="shared" si="154"/>
        <v>3.5336687086656722E-2</v>
      </c>
      <c r="BI266" s="197">
        <f t="shared" si="186"/>
        <v>0.44730899017824427</v>
      </c>
      <c r="BJ266" s="197">
        <f t="shared" si="155"/>
        <v>6.769615024661003</v>
      </c>
      <c r="BK266" s="288">
        <f t="shared" si="156"/>
        <v>0.93392401361838984</v>
      </c>
      <c r="BL266" s="197">
        <f t="shared" si="157"/>
        <v>0.37608972359227794</v>
      </c>
      <c r="BM266" s="197">
        <f t="shared" si="158"/>
        <v>7.4353030976985271E-2</v>
      </c>
      <c r="BN266" s="197">
        <f t="shared" si="159"/>
        <v>54.461181858619113</v>
      </c>
      <c r="BO266" s="197">
        <f t="shared" si="187"/>
        <v>0.2082789955950014</v>
      </c>
      <c r="BP266" s="197">
        <f t="shared" si="160"/>
        <v>65.620924669625111</v>
      </c>
      <c r="BQ266" s="197">
        <f t="shared" si="161"/>
        <v>9.9596940000000009E-2</v>
      </c>
      <c r="BR266" s="288">
        <f t="shared" si="162"/>
        <v>0.16008975919012108</v>
      </c>
      <c r="BS266" s="197">
        <f t="shared" si="163"/>
        <v>0.11660930017110901</v>
      </c>
      <c r="BT266" s="197">
        <f t="shared" si="164"/>
        <v>0.36419974881911377</v>
      </c>
      <c r="BU266" s="197">
        <f t="shared" si="165"/>
        <v>0.1713930788771201</v>
      </c>
      <c r="BV266" s="197">
        <f t="shared" si="166"/>
        <v>0.53530306917875781</v>
      </c>
      <c r="BW266" s="194"/>
      <c r="BX266" s="194"/>
      <c r="BY266" s="194"/>
      <c r="BZ266" s="194"/>
      <c r="CA266" s="194"/>
      <c r="CB266" s="194"/>
      <c r="CC266" s="194"/>
      <c r="CD266" s="194"/>
      <c r="CE266" s="194"/>
      <c r="CF266" s="194"/>
      <c r="CG266" s="194"/>
      <c r="CH266" s="194"/>
      <c r="CI266" s="194"/>
      <c r="CJ266" s="194"/>
      <c r="CK266" s="194"/>
      <c r="CL266" s="194"/>
      <c r="CM266" s="194"/>
      <c r="CN266" s="194"/>
      <c r="CO266" s="194"/>
      <c r="CP266" s="194"/>
      <c r="CQ266" s="194"/>
      <c r="CR266" s="194"/>
      <c r="CS266" s="194"/>
      <c r="CT266" s="194"/>
      <c r="CU266" s="194"/>
      <c r="CV266" s="194"/>
      <c r="CW266" s="194"/>
      <c r="CX266" s="194"/>
      <c r="CY266" s="194"/>
      <c r="CZ266" s="194"/>
      <c r="DA266" s="194"/>
      <c r="DB266" s="194"/>
      <c r="DC266" s="194"/>
      <c r="DD266" s="194"/>
      <c r="DE266" s="194"/>
      <c r="DF266" s="194"/>
    </row>
    <row r="267" spans="2:110" s="192" customFormat="1" hidden="1" x14ac:dyDescent="0.35">
      <c r="B267" s="289"/>
      <c r="C267" s="289"/>
      <c r="Q267" s="193"/>
      <c r="R267" s="194">
        <f t="shared" si="167"/>
        <v>18</v>
      </c>
      <c r="S267" s="197">
        <f t="shared" si="133"/>
        <v>0.3888888888888889</v>
      </c>
      <c r="T267" s="194">
        <f t="shared" si="188"/>
        <v>0.69</v>
      </c>
      <c r="U267" s="194">
        <f t="shared" si="189"/>
        <v>1.4999999999999999E-4</v>
      </c>
      <c r="V267" s="197">
        <f t="shared" si="168"/>
        <v>0.3888888888888889</v>
      </c>
      <c r="W267" s="197">
        <f t="shared" si="134"/>
        <v>4.3555555555555561E-3</v>
      </c>
      <c r="X267" s="286">
        <f t="shared" si="135"/>
        <v>1</v>
      </c>
      <c r="Y267" s="286">
        <f t="shared" si="136"/>
        <v>0.17335969315081967</v>
      </c>
      <c r="Z267" s="286">
        <f t="shared" si="137"/>
        <v>0.54964853345132902</v>
      </c>
      <c r="AA267" s="286">
        <f t="shared" si="169"/>
        <v>0.17335969315081967</v>
      </c>
      <c r="AB267" s="197">
        <f t="shared" si="138"/>
        <v>0.36419974881911377</v>
      </c>
      <c r="AC267" s="287">
        <f t="shared" si="139"/>
        <v>4.4451203372005044E-7</v>
      </c>
      <c r="AD267" s="197">
        <f t="shared" si="170"/>
        <v>11.693936048110356</v>
      </c>
      <c r="AE267" s="197">
        <f t="shared" si="171"/>
        <v>35.08180814433107</v>
      </c>
      <c r="AF267" s="197">
        <f t="shared" si="172"/>
        <v>8.5178571428571423E-2</v>
      </c>
      <c r="AG267" s="197">
        <f t="shared" si="173"/>
        <v>0.25553571428571431</v>
      </c>
      <c r="AH267" s="197">
        <f t="shared" si="140"/>
        <v>0.11660930017110901</v>
      </c>
      <c r="AI267" s="197">
        <f t="shared" si="174"/>
        <v>0.11660930017110901</v>
      </c>
      <c r="AJ267" s="218">
        <f t="shared" si="141"/>
        <v>390.00000000000006</v>
      </c>
      <c r="AK267" s="197">
        <f t="shared" si="175"/>
        <v>6.0930617977437734E-2</v>
      </c>
      <c r="AL267" s="197">
        <f t="shared" si="176"/>
        <v>9.6203707235237593E-2</v>
      </c>
      <c r="AM267" s="197">
        <f t="shared" si="177"/>
        <v>4.0790371867740751E-3</v>
      </c>
      <c r="AN267" s="197">
        <f t="shared" si="142"/>
        <v>24.05</v>
      </c>
      <c r="AO267" s="197">
        <f t="shared" si="143"/>
        <v>21.69</v>
      </c>
      <c r="AP267" s="197">
        <f t="shared" si="178"/>
        <v>7.4093290390420161E-2</v>
      </c>
      <c r="AQ267" s="197">
        <f t="shared" si="179"/>
        <v>0.42250439890466829</v>
      </c>
      <c r="AR267" s="197">
        <f t="shared" si="180"/>
        <v>0.30589509873355925</v>
      </c>
      <c r="AS267" s="258">
        <f t="shared" si="181"/>
        <v>0.15228632177729159</v>
      </c>
      <c r="AT267" s="197">
        <f t="shared" si="144"/>
        <v>2.5974058656511614E-4</v>
      </c>
      <c r="AU267" s="194">
        <f t="shared" si="145"/>
        <v>21.19</v>
      </c>
      <c r="AV267" s="197">
        <f t="shared" si="146"/>
        <v>2.7E-2</v>
      </c>
      <c r="AW267" s="197">
        <f t="shared" si="147"/>
        <v>3.4260000000000002E-3</v>
      </c>
      <c r="AX267" s="197">
        <f t="shared" si="182"/>
        <v>6.1668000000000001E-2</v>
      </c>
      <c r="AY267" s="197">
        <f t="shared" si="148"/>
        <v>2.8867476000000005E-3</v>
      </c>
      <c r="AZ267" s="197">
        <f t="shared" si="149"/>
        <v>0</v>
      </c>
      <c r="BA267" s="197">
        <f t="shared" si="183"/>
        <v>7.2596940000000013E-2</v>
      </c>
      <c r="BB267" s="258">
        <f t="shared" si="150"/>
        <v>0.36575210336206115</v>
      </c>
      <c r="BC267" s="197">
        <f t="shared" si="151"/>
        <v>2.2380490766334034E-2</v>
      </c>
      <c r="BD267" s="197">
        <f t="shared" si="184"/>
        <v>4.4760981532668068E-3</v>
      </c>
      <c r="BE267" s="197">
        <f t="shared" si="185"/>
        <v>2.6856588919600841E-2</v>
      </c>
      <c r="BF267" s="197">
        <f t="shared" si="152"/>
        <v>0.20773291256157633</v>
      </c>
      <c r="BG267" s="197">
        <f t="shared" si="153"/>
        <v>5.4608303342508187E-4</v>
      </c>
      <c r="BH267" s="197">
        <f t="shared" si="154"/>
        <v>3.5336687086656722E-2</v>
      </c>
      <c r="BI267" s="197">
        <f t="shared" si="186"/>
        <v>0.44730899017824427</v>
      </c>
      <c r="BJ267" s="197">
        <f t="shared" si="155"/>
        <v>6.769615024661003</v>
      </c>
      <c r="BK267" s="288">
        <f t="shared" si="156"/>
        <v>0.93392401361838984</v>
      </c>
      <c r="BL267" s="197">
        <f t="shared" si="157"/>
        <v>0.37608972359227794</v>
      </c>
      <c r="BM267" s="197">
        <f t="shared" si="158"/>
        <v>7.4353030976985271E-2</v>
      </c>
      <c r="BN267" s="197">
        <f t="shared" si="159"/>
        <v>54.461181858619113</v>
      </c>
      <c r="BO267" s="197">
        <f t="shared" si="187"/>
        <v>0.2082789955950014</v>
      </c>
      <c r="BP267" s="197">
        <f t="shared" si="160"/>
        <v>65.620924669625111</v>
      </c>
      <c r="BQ267" s="197">
        <f t="shared" si="161"/>
        <v>9.9596940000000009E-2</v>
      </c>
      <c r="BR267" s="288">
        <f t="shared" si="162"/>
        <v>0.16008975919012108</v>
      </c>
      <c r="BS267" s="197">
        <f t="shared" si="163"/>
        <v>0.11660930017110901</v>
      </c>
      <c r="BT267" s="197">
        <f t="shared" si="164"/>
        <v>0.36419974881911377</v>
      </c>
      <c r="BU267" s="197">
        <f t="shared" si="165"/>
        <v>0.1713930788771201</v>
      </c>
      <c r="BV267" s="197">
        <f t="shared" si="166"/>
        <v>0.53530306917875781</v>
      </c>
      <c r="BW267" s="194"/>
      <c r="BX267" s="194"/>
      <c r="BY267" s="194"/>
      <c r="BZ267" s="194"/>
      <c r="CA267" s="194"/>
      <c r="CB267" s="194"/>
      <c r="CC267" s="194"/>
      <c r="CD267" s="194"/>
      <c r="CE267" s="194"/>
      <c r="CF267" s="194"/>
      <c r="CG267" s="194"/>
      <c r="CH267" s="194"/>
      <c r="CI267" s="194"/>
      <c r="CJ267" s="194"/>
      <c r="CK267" s="194"/>
      <c r="CL267" s="194"/>
      <c r="CM267" s="194"/>
      <c r="CN267" s="194"/>
      <c r="CO267" s="194"/>
      <c r="CP267" s="194"/>
      <c r="CQ267" s="194"/>
      <c r="CR267" s="194"/>
      <c r="CS267" s="194"/>
      <c r="CT267" s="194"/>
      <c r="CU267" s="194"/>
      <c r="CV267" s="194"/>
      <c r="CW267" s="194"/>
      <c r="CX267" s="194"/>
      <c r="CY267" s="194"/>
      <c r="CZ267" s="194"/>
      <c r="DA267" s="194"/>
      <c r="DB267" s="194"/>
      <c r="DC267" s="194"/>
      <c r="DD267" s="194"/>
      <c r="DE267" s="194"/>
      <c r="DF267" s="194"/>
    </row>
    <row r="268" spans="2:110" s="192" customFormat="1" hidden="1" x14ac:dyDescent="0.35">
      <c r="B268" s="289"/>
      <c r="C268" s="289"/>
      <c r="Q268" s="193"/>
      <c r="R268" s="194">
        <f t="shared" si="167"/>
        <v>18</v>
      </c>
      <c r="S268" s="197">
        <f t="shared" si="133"/>
        <v>0.3888888888888889</v>
      </c>
      <c r="T268" s="194">
        <f t="shared" si="188"/>
        <v>0.69</v>
      </c>
      <c r="U268" s="194">
        <f t="shared" si="189"/>
        <v>1.4999999999999999E-4</v>
      </c>
      <c r="V268" s="197">
        <f t="shared" si="168"/>
        <v>0.3888888888888889</v>
      </c>
      <c r="W268" s="197">
        <f t="shared" si="134"/>
        <v>4.3555555555555561E-3</v>
      </c>
      <c r="X268" s="286">
        <f t="shared" si="135"/>
        <v>1</v>
      </c>
      <c r="Y268" s="286">
        <f t="shared" si="136"/>
        <v>0.17335969315081967</v>
      </c>
      <c r="Z268" s="286">
        <f t="shared" si="137"/>
        <v>0.54964853345132902</v>
      </c>
      <c r="AA268" s="286">
        <f t="shared" si="169"/>
        <v>0.17335969315081967</v>
      </c>
      <c r="AB268" s="197">
        <f t="shared" si="138"/>
        <v>0.36419974881911377</v>
      </c>
      <c r="AC268" s="287">
        <f t="shared" si="139"/>
        <v>4.4451203372005044E-7</v>
      </c>
      <c r="AD268" s="197">
        <f t="shared" si="170"/>
        <v>11.693936048110356</v>
      </c>
      <c r="AE268" s="197">
        <f t="shared" si="171"/>
        <v>35.08180814433107</v>
      </c>
      <c r="AF268" s="197">
        <f t="shared" si="172"/>
        <v>8.5178571428571423E-2</v>
      </c>
      <c r="AG268" s="197">
        <f t="shared" si="173"/>
        <v>0.25553571428571431</v>
      </c>
      <c r="AH268" s="197">
        <f t="shared" si="140"/>
        <v>0.11660930017110901</v>
      </c>
      <c r="AI268" s="197">
        <f t="shared" si="174"/>
        <v>0.11660930017110901</v>
      </c>
      <c r="AJ268" s="218">
        <f t="shared" si="141"/>
        <v>390.00000000000006</v>
      </c>
      <c r="AK268" s="197">
        <f t="shared" si="175"/>
        <v>6.0930617977437734E-2</v>
      </c>
      <c r="AL268" s="197">
        <f t="shared" si="176"/>
        <v>9.6203707235237593E-2</v>
      </c>
      <c r="AM268" s="197">
        <f t="shared" si="177"/>
        <v>4.0790371867740751E-3</v>
      </c>
      <c r="AN268" s="197">
        <f t="shared" si="142"/>
        <v>24.05</v>
      </c>
      <c r="AO268" s="197">
        <f t="shared" si="143"/>
        <v>21.69</v>
      </c>
      <c r="AP268" s="197">
        <f t="shared" si="178"/>
        <v>7.4093290390420161E-2</v>
      </c>
      <c r="AQ268" s="197">
        <f t="shared" si="179"/>
        <v>0.42250439890466829</v>
      </c>
      <c r="AR268" s="197">
        <f t="shared" si="180"/>
        <v>0.30589509873355925</v>
      </c>
      <c r="AS268" s="258">
        <f t="shared" si="181"/>
        <v>0.15228632177729159</v>
      </c>
      <c r="AT268" s="197">
        <f t="shared" si="144"/>
        <v>2.5974058656511614E-4</v>
      </c>
      <c r="AU268" s="194">
        <f t="shared" si="145"/>
        <v>21.19</v>
      </c>
      <c r="AV268" s="197">
        <f t="shared" si="146"/>
        <v>2.7E-2</v>
      </c>
      <c r="AW268" s="197">
        <f t="shared" si="147"/>
        <v>3.4260000000000002E-3</v>
      </c>
      <c r="AX268" s="197">
        <f t="shared" si="182"/>
        <v>6.1668000000000001E-2</v>
      </c>
      <c r="AY268" s="197">
        <f t="shared" si="148"/>
        <v>2.8867476000000005E-3</v>
      </c>
      <c r="AZ268" s="197">
        <f t="shared" si="149"/>
        <v>0</v>
      </c>
      <c r="BA268" s="197">
        <f t="shared" si="183"/>
        <v>7.2596940000000013E-2</v>
      </c>
      <c r="BB268" s="258">
        <f t="shared" si="150"/>
        <v>0.36575210336206115</v>
      </c>
      <c r="BC268" s="197">
        <f t="shared" si="151"/>
        <v>2.2380490766334034E-2</v>
      </c>
      <c r="BD268" s="197">
        <f t="shared" si="184"/>
        <v>4.4760981532668068E-3</v>
      </c>
      <c r="BE268" s="197">
        <f t="shared" si="185"/>
        <v>2.6856588919600841E-2</v>
      </c>
      <c r="BF268" s="197">
        <f t="shared" si="152"/>
        <v>0.20773291256157633</v>
      </c>
      <c r="BG268" s="197">
        <f t="shared" si="153"/>
        <v>5.4608303342508187E-4</v>
      </c>
      <c r="BH268" s="197">
        <f t="shared" si="154"/>
        <v>3.5336687086656722E-2</v>
      </c>
      <c r="BI268" s="197">
        <f t="shared" si="186"/>
        <v>0.44730899017824427</v>
      </c>
      <c r="BJ268" s="197">
        <f t="shared" si="155"/>
        <v>6.769615024661003</v>
      </c>
      <c r="BK268" s="288">
        <f t="shared" si="156"/>
        <v>0.93392401361838984</v>
      </c>
      <c r="BL268" s="197">
        <f t="shared" si="157"/>
        <v>0.37608972359227794</v>
      </c>
      <c r="BM268" s="197">
        <f t="shared" si="158"/>
        <v>7.4353030976985271E-2</v>
      </c>
      <c r="BN268" s="197">
        <f t="shared" si="159"/>
        <v>54.461181858619113</v>
      </c>
      <c r="BO268" s="197">
        <f t="shared" si="187"/>
        <v>0.2082789955950014</v>
      </c>
      <c r="BP268" s="197">
        <f t="shared" si="160"/>
        <v>65.620924669625111</v>
      </c>
      <c r="BQ268" s="197">
        <f t="shared" si="161"/>
        <v>9.9596940000000009E-2</v>
      </c>
      <c r="BR268" s="288">
        <f t="shared" si="162"/>
        <v>0.16008975919012108</v>
      </c>
      <c r="BS268" s="197">
        <f t="shared" si="163"/>
        <v>0.11660930017110901</v>
      </c>
      <c r="BT268" s="197">
        <f t="shared" si="164"/>
        <v>0.36419974881911377</v>
      </c>
      <c r="BU268" s="197">
        <f t="shared" si="165"/>
        <v>0.1713930788771201</v>
      </c>
      <c r="BV268" s="197">
        <f t="shared" si="166"/>
        <v>0.53530306917875781</v>
      </c>
      <c r="BW268" s="194"/>
      <c r="BX268" s="194"/>
      <c r="BY268" s="194"/>
      <c r="BZ268" s="194"/>
      <c r="CA268" s="194"/>
      <c r="CB268" s="194"/>
      <c r="CC268" s="194"/>
      <c r="CD268" s="194"/>
      <c r="CE268" s="194"/>
      <c r="CF268" s="194"/>
      <c r="CG268" s="194"/>
      <c r="CH268" s="194"/>
      <c r="CI268" s="194"/>
      <c r="CJ268" s="194"/>
      <c r="CK268" s="194"/>
      <c r="CL268" s="194"/>
      <c r="CM268" s="194"/>
      <c r="CN268" s="194"/>
      <c r="CO268" s="194"/>
      <c r="CP268" s="194"/>
      <c r="CQ268" s="194"/>
      <c r="CR268" s="194"/>
      <c r="CS268" s="194"/>
      <c r="CT268" s="194"/>
      <c r="CU268" s="194"/>
      <c r="CV268" s="194"/>
      <c r="CW268" s="194"/>
      <c r="CX268" s="194"/>
      <c r="CY268" s="194"/>
      <c r="CZ268" s="194"/>
      <c r="DA268" s="194"/>
      <c r="DB268" s="194"/>
      <c r="DC268" s="194"/>
      <c r="DD268" s="194"/>
      <c r="DE268" s="194"/>
      <c r="DF268" s="194"/>
    </row>
    <row r="269" spans="2:110" s="192" customFormat="1" hidden="1" x14ac:dyDescent="0.35">
      <c r="B269" s="289"/>
      <c r="C269" s="289"/>
      <c r="Q269" s="193"/>
      <c r="R269" s="194">
        <f t="shared" si="167"/>
        <v>18</v>
      </c>
      <c r="S269" s="197">
        <f t="shared" si="133"/>
        <v>0.3888888888888889</v>
      </c>
      <c r="T269" s="194">
        <f t="shared" si="188"/>
        <v>0.69</v>
      </c>
      <c r="U269" s="194">
        <f t="shared" si="189"/>
        <v>1.4999999999999999E-4</v>
      </c>
      <c r="V269" s="197">
        <f t="shared" si="168"/>
        <v>0.3888888888888889</v>
      </c>
      <c r="W269" s="197">
        <f t="shared" si="134"/>
        <v>4.3555555555555561E-3</v>
      </c>
      <c r="X269" s="286">
        <f t="shared" si="135"/>
        <v>1</v>
      </c>
      <c r="Y269" s="286">
        <f t="shared" si="136"/>
        <v>0.17335969315081967</v>
      </c>
      <c r="Z269" s="286">
        <f t="shared" si="137"/>
        <v>0.54964853345132902</v>
      </c>
      <c r="AA269" s="286">
        <f t="shared" si="169"/>
        <v>0.17335969315081967</v>
      </c>
      <c r="AB269" s="197">
        <f t="shared" si="138"/>
        <v>0.36419974881911377</v>
      </c>
      <c r="AC269" s="287">
        <f t="shared" si="139"/>
        <v>4.4451203372005044E-7</v>
      </c>
      <c r="AD269" s="197">
        <f t="shared" si="170"/>
        <v>11.693936048110356</v>
      </c>
      <c r="AE269" s="197">
        <f t="shared" si="171"/>
        <v>35.08180814433107</v>
      </c>
      <c r="AF269" s="197">
        <f t="shared" si="172"/>
        <v>8.5178571428571423E-2</v>
      </c>
      <c r="AG269" s="197">
        <f t="shared" si="173"/>
        <v>0.25553571428571431</v>
      </c>
      <c r="AH269" s="197">
        <f t="shared" si="140"/>
        <v>0.11660930017110901</v>
      </c>
      <c r="AI269" s="197">
        <f t="shared" si="174"/>
        <v>0.11660930017110901</v>
      </c>
      <c r="AJ269" s="218">
        <f t="shared" si="141"/>
        <v>390.00000000000006</v>
      </c>
      <c r="AK269" s="197">
        <f t="shared" si="175"/>
        <v>6.0930617977437734E-2</v>
      </c>
      <c r="AL269" s="197">
        <f t="shared" si="176"/>
        <v>9.6203707235237593E-2</v>
      </c>
      <c r="AM269" s="197">
        <f t="shared" si="177"/>
        <v>4.0790371867740751E-3</v>
      </c>
      <c r="AN269" s="197">
        <f t="shared" si="142"/>
        <v>24.05</v>
      </c>
      <c r="AO269" s="197">
        <f t="shared" si="143"/>
        <v>21.69</v>
      </c>
      <c r="AP269" s="197">
        <f t="shared" si="178"/>
        <v>7.4093290390420161E-2</v>
      </c>
      <c r="AQ269" s="197">
        <f t="shared" si="179"/>
        <v>0.42250439890466829</v>
      </c>
      <c r="AR269" s="197">
        <f t="shared" si="180"/>
        <v>0.30589509873355925</v>
      </c>
      <c r="AS269" s="258">
        <f t="shared" si="181"/>
        <v>0.15228632177729159</v>
      </c>
      <c r="AT269" s="197">
        <f t="shared" si="144"/>
        <v>2.5974058656511614E-4</v>
      </c>
      <c r="AU269" s="194">
        <f t="shared" si="145"/>
        <v>21.19</v>
      </c>
      <c r="AV269" s="197">
        <f t="shared" si="146"/>
        <v>2.7E-2</v>
      </c>
      <c r="AW269" s="197">
        <f t="shared" si="147"/>
        <v>3.4260000000000002E-3</v>
      </c>
      <c r="AX269" s="197">
        <f t="shared" si="182"/>
        <v>6.1668000000000001E-2</v>
      </c>
      <c r="AY269" s="197">
        <f t="shared" si="148"/>
        <v>2.8867476000000005E-3</v>
      </c>
      <c r="AZ269" s="197">
        <f t="shared" si="149"/>
        <v>0</v>
      </c>
      <c r="BA269" s="197">
        <f t="shared" si="183"/>
        <v>7.2596940000000013E-2</v>
      </c>
      <c r="BB269" s="258">
        <f t="shared" si="150"/>
        <v>0.36575210336206115</v>
      </c>
      <c r="BC269" s="197">
        <f t="shared" si="151"/>
        <v>2.2380490766334034E-2</v>
      </c>
      <c r="BD269" s="197">
        <f t="shared" si="184"/>
        <v>4.4760981532668068E-3</v>
      </c>
      <c r="BE269" s="197">
        <f t="shared" si="185"/>
        <v>2.6856588919600841E-2</v>
      </c>
      <c r="BF269" s="197">
        <f t="shared" si="152"/>
        <v>0.20773291256157633</v>
      </c>
      <c r="BG269" s="197">
        <f t="shared" si="153"/>
        <v>5.4608303342508187E-4</v>
      </c>
      <c r="BH269" s="197">
        <f t="shared" si="154"/>
        <v>3.5336687086656722E-2</v>
      </c>
      <c r="BI269" s="197">
        <f t="shared" si="186"/>
        <v>0.44730899017824427</v>
      </c>
      <c r="BJ269" s="197">
        <f t="shared" si="155"/>
        <v>6.769615024661003</v>
      </c>
      <c r="BK269" s="288">
        <f t="shared" si="156"/>
        <v>0.93392401361838984</v>
      </c>
      <c r="BL269" s="197">
        <f t="shared" si="157"/>
        <v>0.37608972359227794</v>
      </c>
      <c r="BM269" s="197">
        <f t="shared" si="158"/>
        <v>7.4353030976985271E-2</v>
      </c>
      <c r="BN269" s="197">
        <f t="shared" si="159"/>
        <v>54.461181858619113</v>
      </c>
      <c r="BO269" s="197">
        <f t="shared" si="187"/>
        <v>0.2082789955950014</v>
      </c>
      <c r="BP269" s="197">
        <f t="shared" si="160"/>
        <v>65.620924669625111</v>
      </c>
      <c r="BQ269" s="197">
        <f t="shared" si="161"/>
        <v>9.9596940000000009E-2</v>
      </c>
      <c r="BR269" s="288">
        <f t="shared" si="162"/>
        <v>0.16008975919012108</v>
      </c>
      <c r="BS269" s="197">
        <f t="shared" si="163"/>
        <v>0.11660930017110901</v>
      </c>
      <c r="BT269" s="197">
        <f t="shared" si="164"/>
        <v>0.36419974881911377</v>
      </c>
      <c r="BU269" s="197">
        <f t="shared" si="165"/>
        <v>0.1713930788771201</v>
      </c>
      <c r="BV269" s="197">
        <f t="shared" si="166"/>
        <v>0.53530306917875781</v>
      </c>
      <c r="BW269" s="194"/>
      <c r="BX269" s="194"/>
      <c r="BY269" s="194"/>
      <c r="BZ269" s="194"/>
      <c r="CA269" s="194"/>
      <c r="CB269" s="194"/>
      <c r="CC269" s="194"/>
      <c r="CD269" s="194"/>
      <c r="CE269" s="194"/>
      <c r="CF269" s="194"/>
      <c r="CG269" s="194"/>
      <c r="CH269" s="194"/>
      <c r="CI269" s="194"/>
      <c r="CJ269" s="194"/>
      <c r="CK269" s="194"/>
      <c r="CL269" s="194"/>
      <c r="CM269" s="194"/>
      <c r="CN269" s="194"/>
      <c r="CO269" s="194"/>
      <c r="CP269" s="194"/>
      <c r="CQ269" s="194"/>
      <c r="CR269" s="194"/>
      <c r="CS269" s="194"/>
      <c r="CT269" s="194"/>
      <c r="CU269" s="194"/>
      <c r="CV269" s="194"/>
      <c r="CW269" s="194"/>
      <c r="CX269" s="194"/>
      <c r="CY269" s="194"/>
      <c r="CZ269" s="194"/>
      <c r="DA269" s="194"/>
      <c r="DB269" s="194"/>
      <c r="DC269" s="194"/>
      <c r="DD269" s="194"/>
      <c r="DE269" s="194"/>
      <c r="DF269" s="194"/>
    </row>
    <row r="270" spans="2:110" s="192" customFormat="1" hidden="1" x14ac:dyDescent="0.35">
      <c r="B270" s="289"/>
      <c r="C270" s="289"/>
      <c r="Q270" s="193"/>
      <c r="R270" s="194">
        <f t="shared" si="167"/>
        <v>18</v>
      </c>
      <c r="S270" s="197">
        <f t="shared" si="133"/>
        <v>0.3888888888888889</v>
      </c>
      <c r="T270" s="194">
        <f t="shared" si="188"/>
        <v>0.69</v>
      </c>
      <c r="U270" s="194">
        <f t="shared" si="189"/>
        <v>1.4999999999999999E-4</v>
      </c>
      <c r="V270" s="197">
        <f t="shared" si="168"/>
        <v>0.3888888888888889</v>
      </c>
      <c r="W270" s="197">
        <f t="shared" si="134"/>
        <v>4.3555555555555561E-3</v>
      </c>
      <c r="X270" s="286">
        <f t="shared" si="135"/>
        <v>1</v>
      </c>
      <c r="Y270" s="286">
        <f t="shared" si="136"/>
        <v>0.17335969315081967</v>
      </c>
      <c r="Z270" s="286">
        <f t="shared" si="137"/>
        <v>0.54964853345132902</v>
      </c>
      <c r="AA270" s="286">
        <f t="shared" si="169"/>
        <v>0.17335969315081967</v>
      </c>
      <c r="AB270" s="197">
        <f t="shared" si="138"/>
        <v>0.36419974881911377</v>
      </c>
      <c r="AC270" s="287">
        <f t="shared" si="139"/>
        <v>4.4451203372005044E-7</v>
      </c>
      <c r="AD270" s="197">
        <f t="shared" si="170"/>
        <v>11.693936048110356</v>
      </c>
      <c r="AE270" s="197">
        <f t="shared" si="171"/>
        <v>35.08180814433107</v>
      </c>
      <c r="AF270" s="197">
        <f t="shared" si="172"/>
        <v>8.5178571428571423E-2</v>
      </c>
      <c r="AG270" s="197">
        <f t="shared" si="173"/>
        <v>0.25553571428571431</v>
      </c>
      <c r="AH270" s="197">
        <f t="shared" si="140"/>
        <v>0.11660930017110901</v>
      </c>
      <c r="AI270" s="197">
        <f t="shared" si="174"/>
        <v>0.11660930017110901</v>
      </c>
      <c r="AJ270" s="218">
        <f t="shared" si="141"/>
        <v>390.00000000000006</v>
      </c>
      <c r="AK270" s="197">
        <f t="shared" si="175"/>
        <v>6.0930617977437734E-2</v>
      </c>
      <c r="AL270" s="197">
        <f t="shared" si="176"/>
        <v>9.6203707235237593E-2</v>
      </c>
      <c r="AM270" s="197">
        <f t="shared" si="177"/>
        <v>4.0790371867740751E-3</v>
      </c>
      <c r="AN270" s="197">
        <f t="shared" si="142"/>
        <v>24.05</v>
      </c>
      <c r="AO270" s="197">
        <f t="shared" si="143"/>
        <v>21.69</v>
      </c>
      <c r="AP270" s="197">
        <f t="shared" si="178"/>
        <v>7.4093290390420161E-2</v>
      </c>
      <c r="AQ270" s="197">
        <f t="shared" si="179"/>
        <v>0.42250439890466829</v>
      </c>
      <c r="AR270" s="197">
        <f t="shared" si="180"/>
        <v>0.30589509873355925</v>
      </c>
      <c r="AS270" s="258">
        <f t="shared" si="181"/>
        <v>0.15228632177729159</v>
      </c>
      <c r="AT270" s="197">
        <f t="shared" si="144"/>
        <v>2.5974058656511614E-4</v>
      </c>
      <c r="AU270" s="194">
        <f t="shared" si="145"/>
        <v>21.19</v>
      </c>
      <c r="AV270" s="197">
        <f t="shared" si="146"/>
        <v>2.7E-2</v>
      </c>
      <c r="AW270" s="197">
        <f t="shared" si="147"/>
        <v>3.4260000000000002E-3</v>
      </c>
      <c r="AX270" s="197">
        <f t="shared" si="182"/>
        <v>6.1668000000000001E-2</v>
      </c>
      <c r="AY270" s="197">
        <f t="shared" si="148"/>
        <v>2.8867476000000005E-3</v>
      </c>
      <c r="AZ270" s="197">
        <f t="shared" si="149"/>
        <v>0</v>
      </c>
      <c r="BA270" s="197">
        <f t="shared" si="183"/>
        <v>7.2596940000000013E-2</v>
      </c>
      <c r="BB270" s="258">
        <f t="shared" si="150"/>
        <v>0.36575210336206115</v>
      </c>
      <c r="BC270" s="197">
        <f t="shared" si="151"/>
        <v>2.2380490766334034E-2</v>
      </c>
      <c r="BD270" s="197">
        <f t="shared" si="184"/>
        <v>4.4760981532668068E-3</v>
      </c>
      <c r="BE270" s="197">
        <f t="shared" si="185"/>
        <v>2.6856588919600841E-2</v>
      </c>
      <c r="BF270" s="197">
        <f t="shared" si="152"/>
        <v>0.20773291256157633</v>
      </c>
      <c r="BG270" s="197">
        <f t="shared" si="153"/>
        <v>5.4608303342508187E-4</v>
      </c>
      <c r="BH270" s="197">
        <f t="shared" si="154"/>
        <v>3.5336687086656722E-2</v>
      </c>
      <c r="BI270" s="197">
        <f t="shared" si="186"/>
        <v>0.44730899017824427</v>
      </c>
      <c r="BJ270" s="197">
        <f t="shared" si="155"/>
        <v>6.769615024661003</v>
      </c>
      <c r="BK270" s="288">
        <f t="shared" si="156"/>
        <v>0.93392401361838984</v>
      </c>
      <c r="BL270" s="197">
        <f t="shared" si="157"/>
        <v>0.37608972359227794</v>
      </c>
      <c r="BM270" s="197">
        <f t="shared" si="158"/>
        <v>7.4353030976985271E-2</v>
      </c>
      <c r="BN270" s="197">
        <f t="shared" si="159"/>
        <v>54.461181858619113</v>
      </c>
      <c r="BO270" s="197">
        <f t="shared" si="187"/>
        <v>0.2082789955950014</v>
      </c>
      <c r="BP270" s="197">
        <f t="shared" si="160"/>
        <v>65.620924669625111</v>
      </c>
      <c r="BQ270" s="197">
        <f t="shared" si="161"/>
        <v>9.9596940000000009E-2</v>
      </c>
      <c r="BR270" s="288">
        <f t="shared" si="162"/>
        <v>0.16008975919012108</v>
      </c>
      <c r="BS270" s="197">
        <f t="shared" si="163"/>
        <v>0.11660930017110901</v>
      </c>
      <c r="BT270" s="197">
        <f t="shared" si="164"/>
        <v>0.36419974881911377</v>
      </c>
      <c r="BU270" s="197">
        <f t="shared" si="165"/>
        <v>0.1713930788771201</v>
      </c>
      <c r="BV270" s="197">
        <f t="shared" si="166"/>
        <v>0.53530306917875781</v>
      </c>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94"/>
      <c r="DB270" s="194"/>
      <c r="DC270" s="194"/>
      <c r="DD270" s="194"/>
      <c r="DE270" s="194"/>
      <c r="DF270" s="194"/>
    </row>
    <row r="271" spans="2:110" s="192" customFormat="1" hidden="1" x14ac:dyDescent="0.35">
      <c r="B271" s="289"/>
      <c r="C271" s="289"/>
      <c r="Q271" s="193"/>
      <c r="R271" s="194">
        <f t="shared" si="167"/>
        <v>18</v>
      </c>
      <c r="S271" s="197">
        <f t="shared" si="133"/>
        <v>0.3888888888888889</v>
      </c>
      <c r="T271" s="194">
        <f t="shared" si="188"/>
        <v>0.69</v>
      </c>
      <c r="U271" s="194">
        <f t="shared" si="189"/>
        <v>1.4999999999999999E-4</v>
      </c>
      <c r="V271" s="197">
        <f t="shared" si="168"/>
        <v>0.3888888888888889</v>
      </c>
      <c r="W271" s="197">
        <f t="shared" si="134"/>
        <v>4.3555555555555561E-3</v>
      </c>
      <c r="X271" s="286">
        <f t="shared" si="135"/>
        <v>1</v>
      </c>
      <c r="Y271" s="286">
        <f t="shared" si="136"/>
        <v>0.17335969315081967</v>
      </c>
      <c r="Z271" s="286">
        <f t="shared" si="137"/>
        <v>0.54964853345132902</v>
      </c>
      <c r="AA271" s="286">
        <f t="shared" si="169"/>
        <v>0.17335969315081967</v>
      </c>
      <c r="AB271" s="197">
        <f t="shared" si="138"/>
        <v>0.36419974881911377</v>
      </c>
      <c r="AC271" s="287">
        <f t="shared" si="139"/>
        <v>4.4451203372005044E-7</v>
      </c>
      <c r="AD271" s="197">
        <f t="shared" si="170"/>
        <v>11.693936048110356</v>
      </c>
      <c r="AE271" s="197">
        <f t="shared" si="171"/>
        <v>35.08180814433107</v>
      </c>
      <c r="AF271" s="197">
        <f t="shared" si="172"/>
        <v>8.5178571428571423E-2</v>
      </c>
      <c r="AG271" s="197">
        <f t="shared" si="173"/>
        <v>0.25553571428571431</v>
      </c>
      <c r="AH271" s="197">
        <f t="shared" si="140"/>
        <v>0.11660930017110901</v>
      </c>
      <c r="AI271" s="197">
        <f t="shared" si="174"/>
        <v>0.11660930017110901</v>
      </c>
      <c r="AJ271" s="218">
        <f t="shared" si="141"/>
        <v>390.00000000000006</v>
      </c>
      <c r="AK271" s="197">
        <f t="shared" si="175"/>
        <v>6.0930617977437734E-2</v>
      </c>
      <c r="AL271" s="197">
        <f t="shared" si="176"/>
        <v>9.6203707235237593E-2</v>
      </c>
      <c r="AM271" s="197">
        <f t="shared" si="177"/>
        <v>4.0790371867740751E-3</v>
      </c>
      <c r="AN271" s="197">
        <f t="shared" si="142"/>
        <v>24.05</v>
      </c>
      <c r="AO271" s="197">
        <f t="shared" si="143"/>
        <v>21.69</v>
      </c>
      <c r="AP271" s="197">
        <f t="shared" si="178"/>
        <v>7.4093290390420161E-2</v>
      </c>
      <c r="AQ271" s="197">
        <f t="shared" si="179"/>
        <v>0.42250439890466829</v>
      </c>
      <c r="AR271" s="197">
        <f t="shared" si="180"/>
        <v>0.30589509873355925</v>
      </c>
      <c r="AS271" s="258">
        <f t="shared" si="181"/>
        <v>0.15228632177729159</v>
      </c>
      <c r="AT271" s="197">
        <f t="shared" si="144"/>
        <v>2.5974058656511614E-4</v>
      </c>
      <c r="AU271" s="194">
        <f t="shared" si="145"/>
        <v>21.19</v>
      </c>
      <c r="AV271" s="197">
        <f t="shared" si="146"/>
        <v>2.7E-2</v>
      </c>
      <c r="AW271" s="197">
        <f t="shared" si="147"/>
        <v>3.4260000000000002E-3</v>
      </c>
      <c r="AX271" s="197">
        <f t="shared" si="182"/>
        <v>6.1668000000000001E-2</v>
      </c>
      <c r="AY271" s="197">
        <f t="shared" si="148"/>
        <v>2.8867476000000005E-3</v>
      </c>
      <c r="AZ271" s="197">
        <f t="shared" si="149"/>
        <v>0</v>
      </c>
      <c r="BA271" s="197">
        <f t="shared" si="183"/>
        <v>7.2596940000000013E-2</v>
      </c>
      <c r="BB271" s="258">
        <f t="shared" si="150"/>
        <v>0.36575210336206115</v>
      </c>
      <c r="BC271" s="197">
        <f t="shared" si="151"/>
        <v>2.2380490766334034E-2</v>
      </c>
      <c r="BD271" s="197">
        <f t="shared" si="184"/>
        <v>4.4760981532668068E-3</v>
      </c>
      <c r="BE271" s="197">
        <f t="shared" si="185"/>
        <v>2.6856588919600841E-2</v>
      </c>
      <c r="BF271" s="197">
        <f t="shared" si="152"/>
        <v>0.20773291256157633</v>
      </c>
      <c r="BG271" s="197">
        <f t="shared" si="153"/>
        <v>5.4608303342508187E-4</v>
      </c>
      <c r="BH271" s="197">
        <f t="shared" si="154"/>
        <v>3.5336687086656722E-2</v>
      </c>
      <c r="BI271" s="197">
        <f t="shared" si="186"/>
        <v>0.44730899017824427</v>
      </c>
      <c r="BJ271" s="197">
        <f t="shared" si="155"/>
        <v>6.769615024661003</v>
      </c>
      <c r="BK271" s="288">
        <f t="shared" si="156"/>
        <v>0.93392401361838984</v>
      </c>
      <c r="BL271" s="197">
        <f t="shared" si="157"/>
        <v>0.37608972359227794</v>
      </c>
      <c r="BM271" s="197">
        <f t="shared" si="158"/>
        <v>7.4353030976985271E-2</v>
      </c>
      <c r="BN271" s="197">
        <f t="shared" si="159"/>
        <v>54.461181858619113</v>
      </c>
      <c r="BO271" s="197">
        <f t="shared" si="187"/>
        <v>0.2082789955950014</v>
      </c>
      <c r="BP271" s="197">
        <f t="shared" si="160"/>
        <v>65.620924669625111</v>
      </c>
      <c r="BQ271" s="197">
        <f t="shared" si="161"/>
        <v>9.9596940000000009E-2</v>
      </c>
      <c r="BR271" s="288">
        <f t="shared" si="162"/>
        <v>0.16008975919012108</v>
      </c>
      <c r="BS271" s="197">
        <f t="shared" si="163"/>
        <v>0.11660930017110901</v>
      </c>
      <c r="BT271" s="197">
        <f t="shared" si="164"/>
        <v>0.36419974881911377</v>
      </c>
      <c r="BU271" s="197">
        <f t="shared" si="165"/>
        <v>0.1713930788771201</v>
      </c>
      <c r="BV271" s="197">
        <f t="shared" si="166"/>
        <v>0.53530306917875781</v>
      </c>
      <c r="BW271" s="194"/>
      <c r="BX271" s="194"/>
      <c r="BY271" s="194"/>
      <c r="BZ271" s="194"/>
      <c r="CA271" s="194"/>
      <c r="CB271" s="194"/>
      <c r="CC271" s="194"/>
      <c r="CD271" s="194"/>
      <c r="CE271" s="194"/>
      <c r="CF271" s="194"/>
      <c r="CG271" s="194"/>
      <c r="CH271" s="194"/>
      <c r="CI271" s="194"/>
      <c r="CJ271" s="194"/>
      <c r="CK271" s="194"/>
      <c r="CL271" s="194"/>
      <c r="CM271" s="194"/>
      <c r="CN271" s="194"/>
      <c r="CO271" s="194"/>
      <c r="CP271" s="194"/>
      <c r="CQ271" s="194"/>
      <c r="CR271" s="194"/>
      <c r="CS271" s="194"/>
      <c r="CT271" s="194"/>
      <c r="CU271" s="194"/>
      <c r="CV271" s="194"/>
      <c r="CW271" s="194"/>
      <c r="CX271" s="194"/>
      <c r="CY271" s="194"/>
      <c r="CZ271" s="194"/>
      <c r="DA271" s="194"/>
      <c r="DB271" s="194"/>
      <c r="DC271" s="194"/>
      <c r="DD271" s="194"/>
      <c r="DE271" s="194"/>
      <c r="DF271" s="194"/>
    </row>
    <row r="272" spans="2:110" s="192" customFormat="1" hidden="1" x14ac:dyDescent="0.35">
      <c r="B272" s="289"/>
      <c r="C272" s="289"/>
      <c r="Q272" s="193"/>
      <c r="R272" s="194">
        <f t="shared" si="167"/>
        <v>18</v>
      </c>
      <c r="S272" s="197">
        <f t="shared" si="133"/>
        <v>0.3888888888888889</v>
      </c>
      <c r="T272" s="194">
        <f t="shared" si="188"/>
        <v>0.69</v>
      </c>
      <c r="U272" s="194">
        <f t="shared" si="189"/>
        <v>1.4999999999999999E-4</v>
      </c>
      <c r="V272" s="197">
        <f t="shared" si="168"/>
        <v>0.3888888888888889</v>
      </c>
      <c r="W272" s="197">
        <f t="shared" si="134"/>
        <v>4.3555555555555561E-3</v>
      </c>
      <c r="X272" s="286">
        <f t="shared" si="135"/>
        <v>1</v>
      </c>
      <c r="Y272" s="286">
        <f t="shared" si="136"/>
        <v>0.17335969315081967</v>
      </c>
      <c r="Z272" s="286">
        <f t="shared" si="137"/>
        <v>0.54964853345132902</v>
      </c>
      <c r="AA272" s="286">
        <f t="shared" si="169"/>
        <v>0.17335969315081967</v>
      </c>
      <c r="AB272" s="197">
        <f t="shared" si="138"/>
        <v>0.36419974881911377</v>
      </c>
      <c r="AC272" s="287">
        <f t="shared" si="139"/>
        <v>4.4451203372005044E-7</v>
      </c>
      <c r="AD272" s="197">
        <f t="shared" si="170"/>
        <v>11.693936048110356</v>
      </c>
      <c r="AE272" s="197">
        <f t="shared" si="171"/>
        <v>35.08180814433107</v>
      </c>
      <c r="AF272" s="197">
        <f t="shared" si="172"/>
        <v>8.5178571428571423E-2</v>
      </c>
      <c r="AG272" s="197">
        <f t="shared" si="173"/>
        <v>0.25553571428571431</v>
      </c>
      <c r="AH272" s="197">
        <f t="shared" si="140"/>
        <v>0.11660930017110901</v>
      </c>
      <c r="AI272" s="197">
        <f t="shared" si="174"/>
        <v>0.11660930017110901</v>
      </c>
      <c r="AJ272" s="218">
        <f t="shared" si="141"/>
        <v>390.00000000000006</v>
      </c>
      <c r="AK272" s="197">
        <f t="shared" si="175"/>
        <v>6.0930617977437734E-2</v>
      </c>
      <c r="AL272" s="197">
        <f t="shared" si="176"/>
        <v>9.6203707235237593E-2</v>
      </c>
      <c r="AM272" s="197">
        <f t="shared" si="177"/>
        <v>4.0790371867740751E-3</v>
      </c>
      <c r="AN272" s="197">
        <f t="shared" si="142"/>
        <v>24.05</v>
      </c>
      <c r="AO272" s="197">
        <f t="shared" si="143"/>
        <v>21.69</v>
      </c>
      <c r="AP272" s="197">
        <f t="shared" si="178"/>
        <v>7.4093290390420161E-2</v>
      </c>
      <c r="AQ272" s="197">
        <f t="shared" si="179"/>
        <v>0.42250439890466829</v>
      </c>
      <c r="AR272" s="197">
        <f t="shared" si="180"/>
        <v>0.30589509873355925</v>
      </c>
      <c r="AS272" s="258">
        <f t="shared" si="181"/>
        <v>0.15228632177729159</v>
      </c>
      <c r="AT272" s="197">
        <f t="shared" si="144"/>
        <v>2.5974058656511614E-4</v>
      </c>
      <c r="AU272" s="194">
        <f t="shared" si="145"/>
        <v>21.19</v>
      </c>
      <c r="AV272" s="197">
        <f t="shared" si="146"/>
        <v>2.7E-2</v>
      </c>
      <c r="AW272" s="197">
        <f t="shared" si="147"/>
        <v>3.4260000000000002E-3</v>
      </c>
      <c r="AX272" s="197">
        <f t="shared" si="182"/>
        <v>6.1668000000000001E-2</v>
      </c>
      <c r="AY272" s="197">
        <f t="shared" si="148"/>
        <v>2.8867476000000005E-3</v>
      </c>
      <c r="AZ272" s="197">
        <f t="shared" si="149"/>
        <v>0</v>
      </c>
      <c r="BA272" s="197">
        <f t="shared" si="183"/>
        <v>7.2596940000000013E-2</v>
      </c>
      <c r="BB272" s="258">
        <f t="shared" si="150"/>
        <v>0.36575210336206115</v>
      </c>
      <c r="BC272" s="197">
        <f t="shared" si="151"/>
        <v>2.2380490766334034E-2</v>
      </c>
      <c r="BD272" s="197">
        <f t="shared" si="184"/>
        <v>4.4760981532668068E-3</v>
      </c>
      <c r="BE272" s="197">
        <f t="shared" si="185"/>
        <v>2.6856588919600841E-2</v>
      </c>
      <c r="BF272" s="197">
        <f t="shared" si="152"/>
        <v>0.20773291256157633</v>
      </c>
      <c r="BG272" s="197">
        <f t="shared" si="153"/>
        <v>5.4608303342508187E-4</v>
      </c>
      <c r="BH272" s="197">
        <f t="shared" si="154"/>
        <v>3.5336687086656722E-2</v>
      </c>
      <c r="BI272" s="197">
        <f t="shared" si="186"/>
        <v>0.44730899017824427</v>
      </c>
      <c r="BJ272" s="197">
        <f t="shared" si="155"/>
        <v>6.769615024661003</v>
      </c>
      <c r="BK272" s="288">
        <f t="shared" si="156"/>
        <v>0.93392401361838984</v>
      </c>
      <c r="BL272" s="197">
        <f t="shared" si="157"/>
        <v>0.37608972359227794</v>
      </c>
      <c r="BM272" s="197">
        <f t="shared" si="158"/>
        <v>7.4353030976985271E-2</v>
      </c>
      <c r="BN272" s="197">
        <f t="shared" si="159"/>
        <v>54.461181858619113</v>
      </c>
      <c r="BO272" s="197">
        <f t="shared" si="187"/>
        <v>0.2082789955950014</v>
      </c>
      <c r="BP272" s="197">
        <f t="shared" si="160"/>
        <v>65.620924669625111</v>
      </c>
      <c r="BQ272" s="197">
        <f t="shared" si="161"/>
        <v>9.9596940000000009E-2</v>
      </c>
      <c r="BR272" s="288">
        <f t="shared" si="162"/>
        <v>0.16008975919012108</v>
      </c>
      <c r="BS272" s="197">
        <f t="shared" si="163"/>
        <v>0.11660930017110901</v>
      </c>
      <c r="BT272" s="197">
        <f t="shared" si="164"/>
        <v>0.36419974881911377</v>
      </c>
      <c r="BU272" s="197">
        <f t="shared" si="165"/>
        <v>0.1713930788771201</v>
      </c>
      <c r="BV272" s="197">
        <f t="shared" si="166"/>
        <v>0.53530306917875781</v>
      </c>
      <c r="BW272" s="194"/>
      <c r="BX272" s="194"/>
      <c r="BY272" s="194"/>
      <c r="BZ272" s="194"/>
      <c r="CA272" s="194"/>
      <c r="CB272" s="194"/>
      <c r="CC272" s="194"/>
      <c r="CD272" s="194"/>
      <c r="CE272" s="194"/>
      <c r="CF272" s="194"/>
      <c r="CG272" s="194"/>
      <c r="CH272" s="194"/>
      <c r="CI272" s="194"/>
      <c r="CJ272" s="194"/>
      <c r="CK272" s="194"/>
      <c r="CL272" s="194"/>
      <c r="CM272" s="194"/>
      <c r="CN272" s="194"/>
      <c r="CO272" s="194"/>
      <c r="CP272" s="194"/>
      <c r="CQ272" s="194"/>
      <c r="CR272" s="194"/>
      <c r="CS272" s="194"/>
      <c r="CT272" s="194"/>
      <c r="CU272" s="194"/>
      <c r="CV272" s="194"/>
      <c r="CW272" s="194"/>
      <c r="CX272" s="194"/>
      <c r="CY272" s="194"/>
      <c r="CZ272" s="194"/>
      <c r="DA272" s="194"/>
      <c r="DB272" s="194"/>
      <c r="DC272" s="194"/>
      <c r="DD272" s="194"/>
      <c r="DE272" s="194"/>
      <c r="DF272" s="194"/>
    </row>
    <row r="273" spans="2:110" s="192" customFormat="1" hidden="1" x14ac:dyDescent="0.35">
      <c r="B273" s="289"/>
      <c r="C273" s="289"/>
      <c r="Q273" s="193"/>
      <c r="R273" s="194">
        <f t="shared" si="167"/>
        <v>18</v>
      </c>
      <c r="S273" s="197">
        <f t="shared" si="133"/>
        <v>0.3888888888888889</v>
      </c>
      <c r="T273" s="194">
        <f t="shared" si="188"/>
        <v>0.69</v>
      </c>
      <c r="U273" s="194">
        <f t="shared" si="189"/>
        <v>1.4999999999999999E-4</v>
      </c>
      <c r="V273" s="197">
        <f t="shared" si="168"/>
        <v>0.3888888888888889</v>
      </c>
      <c r="W273" s="197">
        <f t="shared" si="134"/>
        <v>4.3555555555555561E-3</v>
      </c>
      <c r="X273" s="286">
        <f t="shared" si="135"/>
        <v>1</v>
      </c>
      <c r="Y273" s="286">
        <f t="shared" si="136"/>
        <v>0.17335969315081967</v>
      </c>
      <c r="Z273" s="286">
        <f t="shared" si="137"/>
        <v>0.54964853345132902</v>
      </c>
      <c r="AA273" s="286">
        <f t="shared" si="169"/>
        <v>0.17335969315081967</v>
      </c>
      <c r="AB273" s="197">
        <f t="shared" si="138"/>
        <v>0.36419974881911377</v>
      </c>
      <c r="AC273" s="287">
        <f t="shared" si="139"/>
        <v>4.4451203372005044E-7</v>
      </c>
      <c r="AD273" s="197">
        <f t="shared" si="170"/>
        <v>11.693936048110356</v>
      </c>
      <c r="AE273" s="197">
        <f t="shared" si="171"/>
        <v>35.08180814433107</v>
      </c>
      <c r="AF273" s="197">
        <f t="shared" si="172"/>
        <v>8.5178571428571423E-2</v>
      </c>
      <c r="AG273" s="197">
        <f t="shared" si="173"/>
        <v>0.25553571428571431</v>
      </c>
      <c r="AH273" s="197">
        <f t="shared" si="140"/>
        <v>0.11660930017110901</v>
      </c>
      <c r="AI273" s="197">
        <f t="shared" si="174"/>
        <v>0.11660930017110901</v>
      </c>
      <c r="AJ273" s="218">
        <f t="shared" si="141"/>
        <v>390.00000000000006</v>
      </c>
      <c r="AK273" s="197">
        <f t="shared" si="175"/>
        <v>6.0930617977437734E-2</v>
      </c>
      <c r="AL273" s="197">
        <f t="shared" si="176"/>
        <v>9.6203707235237593E-2</v>
      </c>
      <c r="AM273" s="197">
        <f t="shared" si="177"/>
        <v>4.0790371867740751E-3</v>
      </c>
      <c r="AN273" s="197">
        <f t="shared" si="142"/>
        <v>24.05</v>
      </c>
      <c r="AO273" s="197">
        <f t="shared" si="143"/>
        <v>21.69</v>
      </c>
      <c r="AP273" s="197">
        <f t="shared" si="178"/>
        <v>7.4093290390420161E-2</v>
      </c>
      <c r="AQ273" s="197">
        <f t="shared" si="179"/>
        <v>0.42250439890466829</v>
      </c>
      <c r="AR273" s="197">
        <f t="shared" si="180"/>
        <v>0.30589509873355925</v>
      </c>
      <c r="AS273" s="258">
        <f t="shared" si="181"/>
        <v>0.15228632177729159</v>
      </c>
      <c r="AT273" s="197">
        <f t="shared" si="144"/>
        <v>2.5974058656511614E-4</v>
      </c>
      <c r="AU273" s="194">
        <f t="shared" si="145"/>
        <v>21.19</v>
      </c>
      <c r="AV273" s="197">
        <f t="shared" si="146"/>
        <v>2.7E-2</v>
      </c>
      <c r="AW273" s="197">
        <f t="shared" si="147"/>
        <v>3.4260000000000002E-3</v>
      </c>
      <c r="AX273" s="197">
        <f t="shared" si="182"/>
        <v>6.1668000000000001E-2</v>
      </c>
      <c r="AY273" s="197">
        <f t="shared" si="148"/>
        <v>2.8867476000000005E-3</v>
      </c>
      <c r="AZ273" s="197">
        <f t="shared" si="149"/>
        <v>0</v>
      </c>
      <c r="BA273" s="197">
        <f t="shared" si="183"/>
        <v>7.2596940000000013E-2</v>
      </c>
      <c r="BB273" s="258">
        <f t="shared" si="150"/>
        <v>0.36575210336206115</v>
      </c>
      <c r="BC273" s="197">
        <f t="shared" si="151"/>
        <v>2.2380490766334034E-2</v>
      </c>
      <c r="BD273" s="197">
        <f t="shared" si="184"/>
        <v>4.4760981532668068E-3</v>
      </c>
      <c r="BE273" s="197">
        <f t="shared" si="185"/>
        <v>2.6856588919600841E-2</v>
      </c>
      <c r="BF273" s="197">
        <f t="shared" si="152"/>
        <v>0.20773291256157633</v>
      </c>
      <c r="BG273" s="197">
        <f t="shared" si="153"/>
        <v>5.4608303342508187E-4</v>
      </c>
      <c r="BH273" s="197">
        <f t="shared" si="154"/>
        <v>3.5336687086656722E-2</v>
      </c>
      <c r="BI273" s="197">
        <f t="shared" si="186"/>
        <v>0.44730899017824427</v>
      </c>
      <c r="BJ273" s="197">
        <f t="shared" si="155"/>
        <v>6.769615024661003</v>
      </c>
      <c r="BK273" s="288">
        <f t="shared" si="156"/>
        <v>0.93392401361838984</v>
      </c>
      <c r="BL273" s="197">
        <f t="shared" si="157"/>
        <v>0.37608972359227794</v>
      </c>
      <c r="BM273" s="197">
        <f t="shared" si="158"/>
        <v>7.4353030976985271E-2</v>
      </c>
      <c r="BN273" s="197">
        <f t="shared" si="159"/>
        <v>54.461181858619113</v>
      </c>
      <c r="BO273" s="197">
        <f t="shared" si="187"/>
        <v>0.2082789955950014</v>
      </c>
      <c r="BP273" s="197">
        <f t="shared" si="160"/>
        <v>65.620924669625111</v>
      </c>
      <c r="BQ273" s="197">
        <f t="shared" si="161"/>
        <v>9.9596940000000009E-2</v>
      </c>
      <c r="BR273" s="288">
        <f t="shared" si="162"/>
        <v>0.16008975919012108</v>
      </c>
      <c r="BS273" s="197">
        <f t="shared" si="163"/>
        <v>0.11660930017110901</v>
      </c>
      <c r="BT273" s="197">
        <f t="shared" si="164"/>
        <v>0.36419974881911377</v>
      </c>
      <c r="BU273" s="197">
        <f t="shared" si="165"/>
        <v>0.1713930788771201</v>
      </c>
      <c r="BV273" s="197">
        <f t="shared" si="166"/>
        <v>0.53530306917875781</v>
      </c>
      <c r="BW273" s="194"/>
      <c r="BX273" s="194"/>
      <c r="BY273" s="194"/>
      <c r="BZ273" s="194"/>
      <c r="CA273" s="194"/>
      <c r="CB273" s="194"/>
      <c r="CC273" s="194"/>
      <c r="CD273" s="194"/>
      <c r="CE273" s="194"/>
      <c r="CF273" s="194"/>
      <c r="CG273" s="194"/>
      <c r="CH273" s="194"/>
      <c r="CI273" s="194"/>
      <c r="CJ273" s="194"/>
      <c r="CK273" s="194"/>
      <c r="CL273" s="194"/>
      <c r="CM273" s="194"/>
      <c r="CN273" s="194"/>
      <c r="CO273" s="194"/>
      <c r="CP273" s="194"/>
      <c r="CQ273" s="194"/>
      <c r="CR273" s="194"/>
      <c r="CS273" s="194"/>
      <c r="CT273" s="194"/>
      <c r="CU273" s="194"/>
      <c r="CV273" s="194"/>
      <c r="CW273" s="194"/>
      <c r="CX273" s="194"/>
      <c r="CY273" s="194"/>
      <c r="CZ273" s="194"/>
      <c r="DA273" s="194"/>
      <c r="DB273" s="194"/>
      <c r="DC273" s="194"/>
      <c r="DD273" s="194"/>
      <c r="DE273" s="194"/>
      <c r="DF273" s="194"/>
    </row>
    <row r="274" spans="2:110" s="192" customFormat="1" hidden="1" x14ac:dyDescent="0.35">
      <c r="B274" s="289"/>
      <c r="C274" s="289"/>
      <c r="Q274" s="193"/>
      <c r="R274" s="194">
        <f t="shared" si="167"/>
        <v>18</v>
      </c>
      <c r="S274" s="197">
        <f t="shared" si="133"/>
        <v>0.3888888888888889</v>
      </c>
      <c r="T274" s="194">
        <f t="shared" si="188"/>
        <v>0.69</v>
      </c>
      <c r="U274" s="194">
        <f t="shared" si="189"/>
        <v>1.4999999999999999E-4</v>
      </c>
      <c r="V274" s="197">
        <f t="shared" si="168"/>
        <v>0.3888888888888889</v>
      </c>
      <c r="W274" s="197">
        <f t="shared" si="134"/>
        <v>4.3555555555555561E-3</v>
      </c>
      <c r="X274" s="286">
        <f t="shared" si="135"/>
        <v>1</v>
      </c>
      <c r="Y274" s="286">
        <f t="shared" si="136"/>
        <v>0.17335969315081967</v>
      </c>
      <c r="Z274" s="286">
        <f t="shared" si="137"/>
        <v>0.54964853345132902</v>
      </c>
      <c r="AA274" s="286">
        <f t="shared" si="169"/>
        <v>0.17335969315081967</v>
      </c>
      <c r="AB274" s="197">
        <f t="shared" si="138"/>
        <v>0.36419974881911377</v>
      </c>
      <c r="AC274" s="287">
        <f t="shared" si="139"/>
        <v>4.4451203372005044E-7</v>
      </c>
      <c r="AD274" s="197">
        <f t="shared" si="170"/>
        <v>11.693936048110356</v>
      </c>
      <c r="AE274" s="197">
        <f t="shared" si="171"/>
        <v>35.08180814433107</v>
      </c>
      <c r="AF274" s="197">
        <f t="shared" si="172"/>
        <v>8.5178571428571423E-2</v>
      </c>
      <c r="AG274" s="197">
        <f t="shared" si="173"/>
        <v>0.25553571428571431</v>
      </c>
      <c r="AH274" s="197">
        <f t="shared" si="140"/>
        <v>0.11660930017110901</v>
      </c>
      <c r="AI274" s="197">
        <f t="shared" si="174"/>
        <v>0.11660930017110901</v>
      </c>
      <c r="AJ274" s="218">
        <f t="shared" si="141"/>
        <v>390.00000000000006</v>
      </c>
      <c r="AK274" s="197">
        <f t="shared" si="175"/>
        <v>6.0930617977437734E-2</v>
      </c>
      <c r="AL274" s="197">
        <f t="shared" si="176"/>
        <v>9.6203707235237593E-2</v>
      </c>
      <c r="AM274" s="197">
        <f t="shared" si="177"/>
        <v>4.0790371867740751E-3</v>
      </c>
      <c r="AN274" s="197">
        <f t="shared" si="142"/>
        <v>24.05</v>
      </c>
      <c r="AO274" s="197">
        <f t="shared" si="143"/>
        <v>21.69</v>
      </c>
      <c r="AP274" s="197">
        <f t="shared" si="178"/>
        <v>7.4093290390420161E-2</v>
      </c>
      <c r="AQ274" s="197">
        <f t="shared" si="179"/>
        <v>0.42250439890466829</v>
      </c>
      <c r="AR274" s="197">
        <f t="shared" si="180"/>
        <v>0.30589509873355925</v>
      </c>
      <c r="AS274" s="258">
        <f t="shared" si="181"/>
        <v>0.15228632177729159</v>
      </c>
      <c r="AT274" s="197">
        <f t="shared" si="144"/>
        <v>2.5974058656511614E-4</v>
      </c>
      <c r="AU274" s="194">
        <f t="shared" si="145"/>
        <v>21.19</v>
      </c>
      <c r="AV274" s="197">
        <f t="shared" si="146"/>
        <v>2.7E-2</v>
      </c>
      <c r="AW274" s="197">
        <f t="shared" si="147"/>
        <v>3.4260000000000002E-3</v>
      </c>
      <c r="AX274" s="197">
        <f t="shared" si="182"/>
        <v>6.1668000000000001E-2</v>
      </c>
      <c r="AY274" s="197">
        <f t="shared" si="148"/>
        <v>2.8867476000000005E-3</v>
      </c>
      <c r="AZ274" s="197">
        <f t="shared" si="149"/>
        <v>0</v>
      </c>
      <c r="BA274" s="197">
        <f t="shared" si="183"/>
        <v>7.2596940000000013E-2</v>
      </c>
      <c r="BB274" s="258">
        <f t="shared" si="150"/>
        <v>0.36575210336206115</v>
      </c>
      <c r="BC274" s="197">
        <f t="shared" si="151"/>
        <v>2.2380490766334034E-2</v>
      </c>
      <c r="BD274" s="197">
        <f t="shared" si="184"/>
        <v>4.4760981532668068E-3</v>
      </c>
      <c r="BE274" s="197">
        <f t="shared" si="185"/>
        <v>2.6856588919600841E-2</v>
      </c>
      <c r="BF274" s="197">
        <f t="shared" si="152"/>
        <v>0.20773291256157633</v>
      </c>
      <c r="BG274" s="197">
        <f t="shared" si="153"/>
        <v>5.4608303342508187E-4</v>
      </c>
      <c r="BH274" s="197">
        <f t="shared" si="154"/>
        <v>3.5336687086656722E-2</v>
      </c>
      <c r="BI274" s="197">
        <f t="shared" si="186"/>
        <v>0.44730899017824427</v>
      </c>
      <c r="BJ274" s="197">
        <f t="shared" si="155"/>
        <v>6.769615024661003</v>
      </c>
      <c r="BK274" s="288">
        <f t="shared" si="156"/>
        <v>0.93392401361838984</v>
      </c>
      <c r="BL274" s="197">
        <f t="shared" si="157"/>
        <v>0.37608972359227794</v>
      </c>
      <c r="BM274" s="197">
        <f t="shared" si="158"/>
        <v>7.4353030976985271E-2</v>
      </c>
      <c r="BN274" s="197">
        <f t="shared" si="159"/>
        <v>54.461181858619113</v>
      </c>
      <c r="BO274" s="197">
        <f t="shared" si="187"/>
        <v>0.2082789955950014</v>
      </c>
      <c r="BP274" s="197">
        <f t="shared" si="160"/>
        <v>65.620924669625111</v>
      </c>
      <c r="BQ274" s="197">
        <f t="shared" si="161"/>
        <v>9.9596940000000009E-2</v>
      </c>
      <c r="BR274" s="288">
        <f t="shared" si="162"/>
        <v>0.16008975919012108</v>
      </c>
      <c r="BS274" s="197">
        <f t="shared" si="163"/>
        <v>0.11660930017110901</v>
      </c>
      <c r="BT274" s="197">
        <f t="shared" si="164"/>
        <v>0.36419974881911377</v>
      </c>
      <c r="BU274" s="197">
        <f t="shared" si="165"/>
        <v>0.1713930788771201</v>
      </c>
      <c r="BV274" s="197">
        <f t="shared" si="166"/>
        <v>0.53530306917875781</v>
      </c>
      <c r="BW274" s="194"/>
      <c r="BX274" s="194"/>
      <c r="BY274" s="194"/>
      <c r="BZ274" s="194"/>
      <c r="CA274" s="194"/>
      <c r="CB274" s="194"/>
      <c r="CC274" s="194"/>
      <c r="CD274" s="194"/>
      <c r="CE274" s="194"/>
      <c r="CF274" s="194"/>
      <c r="CG274" s="194"/>
      <c r="CH274" s="194"/>
      <c r="CI274" s="194"/>
      <c r="CJ274" s="194"/>
      <c r="CK274" s="194"/>
      <c r="CL274" s="194"/>
      <c r="CM274" s="194"/>
      <c r="CN274" s="194"/>
      <c r="CO274" s="194"/>
      <c r="CP274" s="194"/>
      <c r="CQ274" s="194"/>
      <c r="CR274" s="194"/>
      <c r="CS274" s="194"/>
      <c r="CT274" s="194"/>
      <c r="CU274" s="194"/>
      <c r="CV274" s="194"/>
      <c r="CW274" s="194"/>
      <c r="CX274" s="194"/>
      <c r="CY274" s="194"/>
      <c r="CZ274" s="194"/>
      <c r="DA274" s="194"/>
      <c r="DB274" s="194"/>
      <c r="DC274" s="194"/>
      <c r="DD274" s="194"/>
      <c r="DE274" s="194"/>
      <c r="DF274" s="194"/>
    </row>
    <row r="275" spans="2:110" s="192" customFormat="1" hidden="1" x14ac:dyDescent="0.35">
      <c r="B275" s="289"/>
      <c r="C275" s="289"/>
      <c r="Q275" s="193"/>
      <c r="R275" s="194">
        <f t="shared" si="167"/>
        <v>18</v>
      </c>
      <c r="S275" s="197">
        <f t="shared" si="133"/>
        <v>0.3888888888888889</v>
      </c>
      <c r="T275" s="194">
        <f t="shared" si="188"/>
        <v>0.69</v>
      </c>
      <c r="U275" s="194">
        <f t="shared" si="189"/>
        <v>1.4999999999999999E-4</v>
      </c>
      <c r="V275" s="197">
        <f t="shared" si="168"/>
        <v>0.3888888888888889</v>
      </c>
      <c r="W275" s="197">
        <f t="shared" si="134"/>
        <v>4.3555555555555561E-3</v>
      </c>
      <c r="X275" s="286">
        <f t="shared" si="135"/>
        <v>1</v>
      </c>
      <c r="Y275" s="286">
        <f t="shared" si="136"/>
        <v>0.17335969315081967</v>
      </c>
      <c r="Z275" s="286">
        <f t="shared" si="137"/>
        <v>0.54964853345132902</v>
      </c>
      <c r="AA275" s="286">
        <f t="shared" si="169"/>
        <v>0.17335969315081967</v>
      </c>
      <c r="AB275" s="197">
        <f t="shared" si="138"/>
        <v>0.36419974881911377</v>
      </c>
      <c r="AC275" s="287">
        <f t="shared" si="139"/>
        <v>4.4451203372005044E-7</v>
      </c>
      <c r="AD275" s="197">
        <f t="shared" si="170"/>
        <v>11.693936048110356</v>
      </c>
      <c r="AE275" s="197">
        <f t="shared" si="171"/>
        <v>35.08180814433107</v>
      </c>
      <c r="AF275" s="197">
        <f t="shared" si="172"/>
        <v>8.5178571428571423E-2</v>
      </c>
      <c r="AG275" s="197">
        <f t="shared" si="173"/>
        <v>0.25553571428571431</v>
      </c>
      <c r="AH275" s="197">
        <f t="shared" si="140"/>
        <v>0.11660930017110901</v>
      </c>
      <c r="AI275" s="197">
        <f t="shared" si="174"/>
        <v>0.11660930017110901</v>
      </c>
      <c r="AJ275" s="218">
        <f t="shared" si="141"/>
        <v>390.00000000000006</v>
      </c>
      <c r="AK275" s="197">
        <f t="shared" si="175"/>
        <v>6.0930617977437734E-2</v>
      </c>
      <c r="AL275" s="197">
        <f t="shared" si="176"/>
        <v>9.6203707235237593E-2</v>
      </c>
      <c r="AM275" s="197">
        <f t="shared" si="177"/>
        <v>4.0790371867740751E-3</v>
      </c>
      <c r="AN275" s="197">
        <f t="shared" si="142"/>
        <v>24.05</v>
      </c>
      <c r="AO275" s="197">
        <f t="shared" si="143"/>
        <v>21.69</v>
      </c>
      <c r="AP275" s="197">
        <f t="shared" si="178"/>
        <v>7.4093290390420161E-2</v>
      </c>
      <c r="AQ275" s="197">
        <f t="shared" si="179"/>
        <v>0.42250439890466829</v>
      </c>
      <c r="AR275" s="197">
        <f t="shared" si="180"/>
        <v>0.30589509873355925</v>
      </c>
      <c r="AS275" s="258">
        <f t="shared" si="181"/>
        <v>0.15228632177729159</v>
      </c>
      <c r="AT275" s="197">
        <f t="shared" si="144"/>
        <v>2.5974058656511614E-4</v>
      </c>
      <c r="AU275" s="194">
        <f t="shared" si="145"/>
        <v>21.19</v>
      </c>
      <c r="AV275" s="197">
        <f t="shared" si="146"/>
        <v>2.7E-2</v>
      </c>
      <c r="AW275" s="197">
        <f t="shared" si="147"/>
        <v>3.4260000000000002E-3</v>
      </c>
      <c r="AX275" s="197">
        <f t="shared" si="182"/>
        <v>6.1668000000000001E-2</v>
      </c>
      <c r="AY275" s="197">
        <f t="shared" si="148"/>
        <v>2.8867476000000005E-3</v>
      </c>
      <c r="AZ275" s="197">
        <f t="shared" si="149"/>
        <v>0</v>
      </c>
      <c r="BA275" s="197">
        <f t="shared" si="183"/>
        <v>7.2596940000000013E-2</v>
      </c>
      <c r="BB275" s="258">
        <f t="shared" si="150"/>
        <v>0.36575210336206115</v>
      </c>
      <c r="BC275" s="197">
        <f t="shared" si="151"/>
        <v>2.2380490766334034E-2</v>
      </c>
      <c r="BD275" s="197">
        <f t="shared" si="184"/>
        <v>4.4760981532668068E-3</v>
      </c>
      <c r="BE275" s="197">
        <f t="shared" si="185"/>
        <v>2.6856588919600841E-2</v>
      </c>
      <c r="BF275" s="197">
        <f t="shared" si="152"/>
        <v>0.20773291256157633</v>
      </c>
      <c r="BG275" s="197">
        <f t="shared" si="153"/>
        <v>5.4608303342508187E-4</v>
      </c>
      <c r="BH275" s="197">
        <f t="shared" si="154"/>
        <v>3.5336687086656722E-2</v>
      </c>
      <c r="BI275" s="197">
        <f t="shared" si="186"/>
        <v>0.44730899017824427</v>
      </c>
      <c r="BJ275" s="197">
        <f t="shared" si="155"/>
        <v>6.769615024661003</v>
      </c>
      <c r="BK275" s="288">
        <f t="shared" si="156"/>
        <v>0.93392401361838984</v>
      </c>
      <c r="BL275" s="197">
        <f t="shared" si="157"/>
        <v>0.37608972359227794</v>
      </c>
      <c r="BM275" s="197">
        <f t="shared" si="158"/>
        <v>7.4353030976985271E-2</v>
      </c>
      <c r="BN275" s="197">
        <f t="shared" si="159"/>
        <v>54.461181858619113</v>
      </c>
      <c r="BO275" s="197">
        <f t="shared" si="187"/>
        <v>0.2082789955950014</v>
      </c>
      <c r="BP275" s="197">
        <f t="shared" si="160"/>
        <v>65.620924669625111</v>
      </c>
      <c r="BQ275" s="197">
        <f t="shared" si="161"/>
        <v>9.9596940000000009E-2</v>
      </c>
      <c r="BR275" s="288">
        <f t="shared" si="162"/>
        <v>0.16008975919012108</v>
      </c>
      <c r="BS275" s="197">
        <f t="shared" si="163"/>
        <v>0.11660930017110901</v>
      </c>
      <c r="BT275" s="197">
        <f t="shared" si="164"/>
        <v>0.36419974881911377</v>
      </c>
      <c r="BU275" s="197">
        <f t="shared" si="165"/>
        <v>0.1713930788771201</v>
      </c>
      <c r="BV275" s="197">
        <f t="shared" si="166"/>
        <v>0.53530306917875781</v>
      </c>
      <c r="BW275" s="194"/>
      <c r="BX275" s="194"/>
      <c r="BY275" s="194"/>
      <c r="BZ275" s="194"/>
      <c r="CA275" s="194"/>
      <c r="CB275" s="194"/>
      <c r="CC275" s="194"/>
      <c r="CD275" s="194"/>
      <c r="CE275" s="194"/>
      <c r="CF275" s="194"/>
      <c r="CG275" s="194"/>
      <c r="CH275" s="194"/>
      <c r="CI275" s="194"/>
      <c r="CJ275" s="194"/>
      <c r="CK275" s="194"/>
      <c r="CL275" s="194"/>
      <c r="CM275" s="194"/>
      <c r="CN275" s="194"/>
      <c r="CO275" s="194"/>
      <c r="CP275" s="194"/>
      <c r="CQ275" s="194"/>
      <c r="CR275" s="194"/>
      <c r="CS275" s="194"/>
      <c r="CT275" s="194"/>
      <c r="CU275" s="194"/>
      <c r="CV275" s="194"/>
      <c r="CW275" s="194"/>
      <c r="CX275" s="194"/>
      <c r="CY275" s="194"/>
      <c r="CZ275" s="194"/>
      <c r="DA275" s="194"/>
      <c r="DB275" s="194"/>
      <c r="DC275" s="194"/>
      <c r="DD275" s="194"/>
      <c r="DE275" s="194"/>
      <c r="DF275" s="194"/>
    </row>
    <row r="276" spans="2:110" s="192" customFormat="1" hidden="1" x14ac:dyDescent="0.35">
      <c r="B276" s="289"/>
      <c r="C276" s="289"/>
      <c r="Q276" s="193"/>
      <c r="R276" s="194">
        <f t="shared" si="167"/>
        <v>18</v>
      </c>
      <c r="S276" s="197">
        <f t="shared" si="133"/>
        <v>0.3888888888888889</v>
      </c>
      <c r="T276" s="194">
        <f t="shared" si="188"/>
        <v>0.69</v>
      </c>
      <c r="U276" s="194">
        <f t="shared" si="189"/>
        <v>1.4999999999999999E-4</v>
      </c>
      <c r="V276" s="197">
        <f t="shared" si="168"/>
        <v>0.3888888888888889</v>
      </c>
      <c r="W276" s="197">
        <f t="shared" si="134"/>
        <v>4.3555555555555561E-3</v>
      </c>
      <c r="X276" s="286">
        <f t="shared" si="135"/>
        <v>1</v>
      </c>
      <c r="Y276" s="286">
        <f t="shared" si="136"/>
        <v>0.17335969315081967</v>
      </c>
      <c r="Z276" s="286">
        <f t="shared" si="137"/>
        <v>0.54964853345132902</v>
      </c>
      <c r="AA276" s="286">
        <f t="shared" si="169"/>
        <v>0.17335969315081967</v>
      </c>
      <c r="AB276" s="197">
        <f t="shared" si="138"/>
        <v>0.36419974881911377</v>
      </c>
      <c r="AC276" s="287">
        <f t="shared" si="139"/>
        <v>4.4451203372005044E-7</v>
      </c>
      <c r="AD276" s="197">
        <f t="shared" si="170"/>
        <v>11.693936048110356</v>
      </c>
      <c r="AE276" s="197">
        <f t="shared" si="171"/>
        <v>35.08180814433107</v>
      </c>
      <c r="AF276" s="197">
        <f t="shared" si="172"/>
        <v>8.5178571428571423E-2</v>
      </c>
      <c r="AG276" s="197">
        <f t="shared" si="173"/>
        <v>0.25553571428571431</v>
      </c>
      <c r="AH276" s="197">
        <f t="shared" si="140"/>
        <v>0.11660930017110901</v>
      </c>
      <c r="AI276" s="197">
        <f t="shared" si="174"/>
        <v>0.11660930017110901</v>
      </c>
      <c r="AJ276" s="218">
        <f t="shared" si="141"/>
        <v>390.00000000000006</v>
      </c>
      <c r="AK276" s="197">
        <f t="shared" si="175"/>
        <v>6.0930617977437734E-2</v>
      </c>
      <c r="AL276" s="197">
        <f t="shared" si="176"/>
        <v>9.6203707235237593E-2</v>
      </c>
      <c r="AM276" s="197">
        <f t="shared" si="177"/>
        <v>4.0790371867740751E-3</v>
      </c>
      <c r="AN276" s="197">
        <f t="shared" si="142"/>
        <v>24.05</v>
      </c>
      <c r="AO276" s="197">
        <f t="shared" si="143"/>
        <v>21.69</v>
      </c>
      <c r="AP276" s="197">
        <f t="shared" si="178"/>
        <v>7.4093290390420161E-2</v>
      </c>
      <c r="AQ276" s="197">
        <f t="shared" si="179"/>
        <v>0.42250439890466829</v>
      </c>
      <c r="AR276" s="197">
        <f t="shared" si="180"/>
        <v>0.30589509873355925</v>
      </c>
      <c r="AS276" s="258">
        <f t="shared" si="181"/>
        <v>0.15228632177729159</v>
      </c>
      <c r="AT276" s="197">
        <f t="shared" si="144"/>
        <v>2.5974058656511614E-4</v>
      </c>
      <c r="AU276" s="194">
        <f t="shared" si="145"/>
        <v>21.19</v>
      </c>
      <c r="AV276" s="197">
        <f t="shared" si="146"/>
        <v>2.7E-2</v>
      </c>
      <c r="AW276" s="197">
        <f t="shared" si="147"/>
        <v>3.4260000000000002E-3</v>
      </c>
      <c r="AX276" s="197">
        <f t="shared" si="182"/>
        <v>6.1668000000000001E-2</v>
      </c>
      <c r="AY276" s="197">
        <f t="shared" si="148"/>
        <v>2.8867476000000005E-3</v>
      </c>
      <c r="AZ276" s="197">
        <f t="shared" si="149"/>
        <v>0</v>
      </c>
      <c r="BA276" s="197">
        <f t="shared" si="183"/>
        <v>7.2596940000000013E-2</v>
      </c>
      <c r="BB276" s="258">
        <f t="shared" si="150"/>
        <v>0.36575210336206115</v>
      </c>
      <c r="BC276" s="197">
        <f t="shared" si="151"/>
        <v>2.2380490766334034E-2</v>
      </c>
      <c r="BD276" s="197">
        <f t="shared" si="184"/>
        <v>4.4760981532668068E-3</v>
      </c>
      <c r="BE276" s="197">
        <f t="shared" si="185"/>
        <v>2.6856588919600841E-2</v>
      </c>
      <c r="BF276" s="197">
        <f t="shared" si="152"/>
        <v>0.20773291256157633</v>
      </c>
      <c r="BG276" s="197">
        <f t="shared" si="153"/>
        <v>5.4608303342508187E-4</v>
      </c>
      <c r="BH276" s="197">
        <f t="shared" si="154"/>
        <v>3.5336687086656722E-2</v>
      </c>
      <c r="BI276" s="197">
        <f t="shared" si="186"/>
        <v>0.44730899017824427</v>
      </c>
      <c r="BJ276" s="197">
        <f t="shared" si="155"/>
        <v>6.769615024661003</v>
      </c>
      <c r="BK276" s="288">
        <f t="shared" si="156"/>
        <v>0.93392401361838984</v>
      </c>
      <c r="BL276" s="197">
        <f t="shared" si="157"/>
        <v>0.37608972359227794</v>
      </c>
      <c r="BM276" s="197">
        <f t="shared" si="158"/>
        <v>7.4353030976985271E-2</v>
      </c>
      <c r="BN276" s="197">
        <f t="shared" si="159"/>
        <v>54.461181858619113</v>
      </c>
      <c r="BO276" s="197">
        <f t="shared" si="187"/>
        <v>0.2082789955950014</v>
      </c>
      <c r="BP276" s="197">
        <f t="shared" si="160"/>
        <v>65.620924669625111</v>
      </c>
      <c r="BQ276" s="197">
        <f t="shared" si="161"/>
        <v>9.9596940000000009E-2</v>
      </c>
      <c r="BR276" s="288">
        <f t="shared" si="162"/>
        <v>0.16008975919012108</v>
      </c>
      <c r="BS276" s="197">
        <f t="shared" si="163"/>
        <v>0.11660930017110901</v>
      </c>
      <c r="BT276" s="197">
        <f t="shared" si="164"/>
        <v>0.36419974881911377</v>
      </c>
      <c r="BU276" s="197">
        <f t="shared" si="165"/>
        <v>0.1713930788771201</v>
      </c>
      <c r="BV276" s="197">
        <f t="shared" si="166"/>
        <v>0.53530306917875781</v>
      </c>
      <c r="BW276" s="194"/>
      <c r="BX276" s="194"/>
      <c r="BY276" s="194"/>
      <c r="BZ276" s="194"/>
      <c r="CA276" s="194"/>
      <c r="CB276" s="194"/>
      <c r="CC276" s="194"/>
      <c r="CD276" s="194"/>
      <c r="CE276" s="194"/>
      <c r="CF276" s="194"/>
      <c r="CG276" s="194"/>
      <c r="CH276" s="194"/>
      <c r="CI276" s="194"/>
      <c r="CJ276" s="194"/>
      <c r="CK276" s="194"/>
      <c r="CL276" s="194"/>
      <c r="CM276" s="194"/>
      <c r="CN276" s="194"/>
      <c r="CO276" s="194"/>
      <c r="CP276" s="194"/>
      <c r="CQ276" s="194"/>
      <c r="CR276" s="194"/>
      <c r="CS276" s="194"/>
      <c r="CT276" s="194"/>
      <c r="CU276" s="194"/>
      <c r="CV276" s="194"/>
      <c r="CW276" s="194"/>
      <c r="CX276" s="194"/>
      <c r="CY276" s="194"/>
      <c r="CZ276" s="194"/>
      <c r="DA276" s="194"/>
      <c r="DB276" s="194"/>
      <c r="DC276" s="194"/>
      <c r="DD276" s="194"/>
      <c r="DE276" s="194"/>
      <c r="DF276" s="194"/>
    </row>
    <row r="277" spans="2:110" s="192" customFormat="1" hidden="1" x14ac:dyDescent="0.35">
      <c r="B277" s="289"/>
      <c r="C277" s="289"/>
      <c r="Q277" s="193"/>
      <c r="R277" s="194">
        <f t="shared" si="167"/>
        <v>18</v>
      </c>
      <c r="S277" s="197">
        <f t="shared" si="133"/>
        <v>0.3888888888888889</v>
      </c>
      <c r="T277" s="194">
        <f t="shared" si="188"/>
        <v>0.69</v>
      </c>
      <c r="U277" s="194">
        <f t="shared" si="189"/>
        <v>1.4999999999999999E-4</v>
      </c>
      <c r="V277" s="197">
        <f t="shared" si="168"/>
        <v>0.3888888888888889</v>
      </c>
      <c r="W277" s="197">
        <f t="shared" si="134"/>
        <v>4.3555555555555561E-3</v>
      </c>
      <c r="X277" s="286">
        <f t="shared" si="135"/>
        <v>1</v>
      </c>
      <c r="Y277" s="286">
        <f t="shared" si="136"/>
        <v>0.17335969315081967</v>
      </c>
      <c r="Z277" s="286">
        <f t="shared" si="137"/>
        <v>0.54964853345132902</v>
      </c>
      <c r="AA277" s="286">
        <f t="shared" si="169"/>
        <v>0.17335969315081967</v>
      </c>
      <c r="AB277" s="197">
        <f t="shared" si="138"/>
        <v>0.36419974881911377</v>
      </c>
      <c r="AC277" s="287">
        <f t="shared" si="139"/>
        <v>4.4451203372005044E-7</v>
      </c>
      <c r="AD277" s="197">
        <f t="shared" si="170"/>
        <v>11.693936048110356</v>
      </c>
      <c r="AE277" s="197">
        <f t="shared" si="171"/>
        <v>35.08180814433107</v>
      </c>
      <c r="AF277" s="197">
        <f t="shared" si="172"/>
        <v>8.5178571428571423E-2</v>
      </c>
      <c r="AG277" s="197">
        <f t="shared" si="173"/>
        <v>0.25553571428571431</v>
      </c>
      <c r="AH277" s="197">
        <f t="shared" si="140"/>
        <v>0.11660930017110901</v>
      </c>
      <c r="AI277" s="197">
        <f t="shared" si="174"/>
        <v>0.11660930017110901</v>
      </c>
      <c r="AJ277" s="218">
        <f t="shared" si="141"/>
        <v>390.00000000000006</v>
      </c>
      <c r="AK277" s="197">
        <f t="shared" si="175"/>
        <v>6.0930617977437734E-2</v>
      </c>
      <c r="AL277" s="197">
        <f t="shared" si="176"/>
        <v>9.6203707235237593E-2</v>
      </c>
      <c r="AM277" s="197">
        <f t="shared" si="177"/>
        <v>4.0790371867740751E-3</v>
      </c>
      <c r="AN277" s="197">
        <f t="shared" si="142"/>
        <v>24.05</v>
      </c>
      <c r="AO277" s="197">
        <f t="shared" si="143"/>
        <v>21.69</v>
      </c>
      <c r="AP277" s="197">
        <f t="shared" si="178"/>
        <v>7.4093290390420161E-2</v>
      </c>
      <c r="AQ277" s="197">
        <f t="shared" si="179"/>
        <v>0.42250439890466829</v>
      </c>
      <c r="AR277" s="197">
        <f t="shared" si="180"/>
        <v>0.30589509873355925</v>
      </c>
      <c r="AS277" s="258">
        <f t="shared" si="181"/>
        <v>0.15228632177729159</v>
      </c>
      <c r="AT277" s="197">
        <f t="shared" si="144"/>
        <v>2.5974058656511614E-4</v>
      </c>
      <c r="AU277" s="194">
        <f t="shared" si="145"/>
        <v>21.19</v>
      </c>
      <c r="AV277" s="197">
        <f t="shared" si="146"/>
        <v>2.7E-2</v>
      </c>
      <c r="AW277" s="197">
        <f t="shared" si="147"/>
        <v>3.4260000000000002E-3</v>
      </c>
      <c r="AX277" s="197">
        <f t="shared" si="182"/>
        <v>6.1668000000000001E-2</v>
      </c>
      <c r="AY277" s="197">
        <f t="shared" si="148"/>
        <v>2.8867476000000005E-3</v>
      </c>
      <c r="AZ277" s="197">
        <f t="shared" si="149"/>
        <v>0</v>
      </c>
      <c r="BA277" s="197">
        <f t="shared" si="183"/>
        <v>7.2596940000000013E-2</v>
      </c>
      <c r="BB277" s="258">
        <f t="shared" si="150"/>
        <v>0.36575210336206115</v>
      </c>
      <c r="BC277" s="197">
        <f t="shared" si="151"/>
        <v>2.2380490766334034E-2</v>
      </c>
      <c r="BD277" s="197">
        <f t="shared" si="184"/>
        <v>4.4760981532668068E-3</v>
      </c>
      <c r="BE277" s="197">
        <f t="shared" si="185"/>
        <v>2.6856588919600841E-2</v>
      </c>
      <c r="BF277" s="197">
        <f t="shared" si="152"/>
        <v>0.20773291256157633</v>
      </c>
      <c r="BG277" s="197">
        <f t="shared" si="153"/>
        <v>5.4608303342508187E-4</v>
      </c>
      <c r="BH277" s="197">
        <f t="shared" si="154"/>
        <v>3.5336687086656722E-2</v>
      </c>
      <c r="BI277" s="197">
        <f t="shared" si="186"/>
        <v>0.44730899017824427</v>
      </c>
      <c r="BJ277" s="197">
        <f t="shared" si="155"/>
        <v>6.769615024661003</v>
      </c>
      <c r="BK277" s="288">
        <f t="shared" si="156"/>
        <v>0.93392401361838984</v>
      </c>
      <c r="BL277" s="197">
        <f t="shared" si="157"/>
        <v>0.37608972359227794</v>
      </c>
      <c r="BM277" s="197">
        <f t="shared" si="158"/>
        <v>7.4353030976985271E-2</v>
      </c>
      <c r="BN277" s="197">
        <f t="shared" si="159"/>
        <v>54.461181858619113</v>
      </c>
      <c r="BO277" s="197">
        <f t="shared" si="187"/>
        <v>0.2082789955950014</v>
      </c>
      <c r="BP277" s="197">
        <f t="shared" si="160"/>
        <v>65.620924669625111</v>
      </c>
      <c r="BQ277" s="197">
        <f t="shared" si="161"/>
        <v>9.9596940000000009E-2</v>
      </c>
      <c r="BR277" s="288">
        <f t="shared" si="162"/>
        <v>0.16008975919012108</v>
      </c>
      <c r="BS277" s="197">
        <f t="shared" si="163"/>
        <v>0.11660930017110901</v>
      </c>
      <c r="BT277" s="197">
        <f t="shared" si="164"/>
        <v>0.36419974881911377</v>
      </c>
      <c r="BU277" s="197">
        <f t="shared" si="165"/>
        <v>0.1713930788771201</v>
      </c>
      <c r="BV277" s="197">
        <f t="shared" si="166"/>
        <v>0.53530306917875781</v>
      </c>
      <c r="BW277" s="194"/>
      <c r="BX277" s="194"/>
      <c r="BY277" s="194"/>
      <c r="BZ277" s="194"/>
      <c r="CA277" s="194"/>
      <c r="CB277" s="194"/>
      <c r="CC277" s="194"/>
      <c r="CD277" s="194"/>
      <c r="CE277" s="194"/>
      <c r="CF277" s="194"/>
      <c r="CG277" s="194"/>
      <c r="CH277" s="194"/>
      <c r="CI277" s="194"/>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row>
    <row r="278" spans="2:110" s="192" customFormat="1" hidden="1" x14ac:dyDescent="0.35">
      <c r="B278" s="289"/>
      <c r="C278" s="289"/>
      <c r="Q278" s="193"/>
      <c r="R278" s="194">
        <f t="shared" si="167"/>
        <v>18</v>
      </c>
      <c r="S278" s="197">
        <f t="shared" si="133"/>
        <v>0.3888888888888889</v>
      </c>
      <c r="T278" s="194">
        <f t="shared" si="188"/>
        <v>0.69</v>
      </c>
      <c r="U278" s="194">
        <f t="shared" si="189"/>
        <v>1.4999999999999999E-4</v>
      </c>
      <c r="V278" s="197">
        <f t="shared" si="168"/>
        <v>0.3888888888888889</v>
      </c>
      <c r="W278" s="197">
        <f t="shared" si="134"/>
        <v>4.3555555555555561E-3</v>
      </c>
      <c r="X278" s="286">
        <f t="shared" si="135"/>
        <v>1</v>
      </c>
      <c r="Y278" s="286">
        <f t="shared" si="136"/>
        <v>0.17335969315081967</v>
      </c>
      <c r="Z278" s="286">
        <f t="shared" si="137"/>
        <v>0.54964853345132902</v>
      </c>
      <c r="AA278" s="286">
        <f t="shared" si="169"/>
        <v>0.17335969315081967</v>
      </c>
      <c r="AB278" s="197">
        <f t="shared" si="138"/>
        <v>0.36419974881911377</v>
      </c>
      <c r="AC278" s="287">
        <f t="shared" si="139"/>
        <v>4.4451203372005044E-7</v>
      </c>
      <c r="AD278" s="197">
        <f t="shared" si="170"/>
        <v>11.693936048110356</v>
      </c>
      <c r="AE278" s="197">
        <f t="shared" si="171"/>
        <v>35.08180814433107</v>
      </c>
      <c r="AF278" s="197">
        <f t="shared" si="172"/>
        <v>8.5178571428571423E-2</v>
      </c>
      <c r="AG278" s="197">
        <f t="shared" si="173"/>
        <v>0.25553571428571431</v>
      </c>
      <c r="AH278" s="197">
        <f t="shared" si="140"/>
        <v>0.11660930017110901</v>
      </c>
      <c r="AI278" s="197">
        <f t="shared" si="174"/>
        <v>0.11660930017110901</v>
      </c>
      <c r="AJ278" s="218">
        <f t="shared" si="141"/>
        <v>390.00000000000006</v>
      </c>
      <c r="AK278" s="197">
        <f t="shared" si="175"/>
        <v>6.0930617977437734E-2</v>
      </c>
      <c r="AL278" s="197">
        <f t="shared" si="176"/>
        <v>9.6203707235237593E-2</v>
      </c>
      <c r="AM278" s="197">
        <f t="shared" si="177"/>
        <v>4.0790371867740751E-3</v>
      </c>
      <c r="AN278" s="197">
        <f t="shared" si="142"/>
        <v>24.05</v>
      </c>
      <c r="AO278" s="197">
        <f t="shared" si="143"/>
        <v>21.69</v>
      </c>
      <c r="AP278" s="197">
        <f t="shared" si="178"/>
        <v>7.4093290390420161E-2</v>
      </c>
      <c r="AQ278" s="197">
        <f t="shared" si="179"/>
        <v>0.42250439890466829</v>
      </c>
      <c r="AR278" s="197">
        <f t="shared" si="180"/>
        <v>0.30589509873355925</v>
      </c>
      <c r="AS278" s="258">
        <f t="shared" si="181"/>
        <v>0.15228632177729159</v>
      </c>
      <c r="AT278" s="197">
        <f t="shared" si="144"/>
        <v>2.5974058656511614E-4</v>
      </c>
      <c r="AU278" s="194">
        <f t="shared" si="145"/>
        <v>21.19</v>
      </c>
      <c r="AV278" s="197">
        <f t="shared" si="146"/>
        <v>2.7E-2</v>
      </c>
      <c r="AW278" s="197">
        <f t="shared" si="147"/>
        <v>3.4260000000000002E-3</v>
      </c>
      <c r="AX278" s="197">
        <f t="shared" si="182"/>
        <v>6.1668000000000001E-2</v>
      </c>
      <c r="AY278" s="197">
        <f t="shared" si="148"/>
        <v>2.8867476000000005E-3</v>
      </c>
      <c r="AZ278" s="197">
        <f t="shared" si="149"/>
        <v>0</v>
      </c>
      <c r="BA278" s="197">
        <f t="shared" si="183"/>
        <v>7.2596940000000013E-2</v>
      </c>
      <c r="BB278" s="258">
        <f t="shared" si="150"/>
        <v>0.36575210336206115</v>
      </c>
      <c r="BC278" s="197">
        <f t="shared" si="151"/>
        <v>2.2380490766334034E-2</v>
      </c>
      <c r="BD278" s="197">
        <f t="shared" si="184"/>
        <v>4.4760981532668068E-3</v>
      </c>
      <c r="BE278" s="197">
        <f t="shared" si="185"/>
        <v>2.6856588919600841E-2</v>
      </c>
      <c r="BF278" s="197">
        <f t="shared" si="152"/>
        <v>0.20773291256157633</v>
      </c>
      <c r="BG278" s="197">
        <f t="shared" si="153"/>
        <v>5.4608303342508187E-4</v>
      </c>
      <c r="BH278" s="197">
        <f t="shared" si="154"/>
        <v>3.5336687086656722E-2</v>
      </c>
      <c r="BI278" s="197">
        <f t="shared" si="186"/>
        <v>0.44730899017824427</v>
      </c>
      <c r="BJ278" s="197">
        <f t="shared" si="155"/>
        <v>6.769615024661003</v>
      </c>
      <c r="BK278" s="288">
        <f t="shared" si="156"/>
        <v>0.93392401361838984</v>
      </c>
      <c r="BL278" s="197">
        <f t="shared" si="157"/>
        <v>0.37608972359227794</v>
      </c>
      <c r="BM278" s="197">
        <f t="shared" si="158"/>
        <v>7.4353030976985271E-2</v>
      </c>
      <c r="BN278" s="197">
        <f t="shared" si="159"/>
        <v>54.461181858619113</v>
      </c>
      <c r="BO278" s="197">
        <f t="shared" si="187"/>
        <v>0.2082789955950014</v>
      </c>
      <c r="BP278" s="197">
        <f t="shared" si="160"/>
        <v>65.620924669625111</v>
      </c>
      <c r="BQ278" s="197">
        <f t="shared" si="161"/>
        <v>9.9596940000000009E-2</v>
      </c>
      <c r="BR278" s="288">
        <f t="shared" si="162"/>
        <v>0.16008975919012108</v>
      </c>
      <c r="BS278" s="197">
        <f t="shared" si="163"/>
        <v>0.11660930017110901</v>
      </c>
      <c r="BT278" s="197">
        <f t="shared" si="164"/>
        <v>0.36419974881911377</v>
      </c>
      <c r="BU278" s="197">
        <f t="shared" si="165"/>
        <v>0.1713930788771201</v>
      </c>
      <c r="BV278" s="197">
        <f t="shared" si="166"/>
        <v>0.53530306917875781</v>
      </c>
      <c r="BW278" s="194"/>
      <c r="BX278" s="194"/>
      <c r="BY278" s="194"/>
      <c r="BZ278" s="194"/>
      <c r="CA278" s="194"/>
      <c r="CB278" s="194"/>
      <c r="CC278" s="194"/>
      <c r="CD278" s="194"/>
      <c r="CE278" s="194"/>
      <c r="CF278" s="194"/>
      <c r="CG278" s="194"/>
      <c r="CH278" s="194"/>
      <c r="CI278" s="194"/>
      <c r="CJ278" s="194"/>
      <c r="CK278" s="194"/>
      <c r="CL278" s="194"/>
      <c r="CM278" s="194"/>
      <c r="CN278" s="194"/>
      <c r="CO278" s="194"/>
      <c r="CP278" s="194"/>
      <c r="CQ278" s="194"/>
      <c r="CR278" s="194"/>
      <c r="CS278" s="194"/>
      <c r="CT278" s="194"/>
      <c r="CU278" s="194"/>
      <c r="CV278" s="194"/>
      <c r="CW278" s="194"/>
      <c r="CX278" s="194"/>
      <c r="CY278" s="194"/>
      <c r="CZ278" s="194"/>
      <c r="DA278" s="194"/>
      <c r="DB278" s="194"/>
      <c r="DC278" s="194"/>
      <c r="DD278" s="194"/>
      <c r="DE278" s="194"/>
      <c r="DF278" s="194"/>
    </row>
    <row r="279" spans="2:110" s="192" customFormat="1" hidden="1" x14ac:dyDescent="0.35">
      <c r="B279" s="289"/>
      <c r="C279" s="289"/>
      <c r="Q279" s="193"/>
      <c r="R279" s="194">
        <f t="shared" si="167"/>
        <v>18</v>
      </c>
      <c r="S279" s="197">
        <f t="shared" si="133"/>
        <v>0.3888888888888889</v>
      </c>
      <c r="T279" s="194">
        <f t="shared" si="188"/>
        <v>0.69</v>
      </c>
      <c r="U279" s="194">
        <f t="shared" si="189"/>
        <v>1.4999999999999999E-4</v>
      </c>
      <c r="V279" s="197">
        <f t="shared" si="168"/>
        <v>0.3888888888888889</v>
      </c>
      <c r="W279" s="197">
        <f t="shared" si="134"/>
        <v>4.3555555555555561E-3</v>
      </c>
      <c r="X279" s="286">
        <f t="shared" si="135"/>
        <v>1</v>
      </c>
      <c r="Y279" s="286">
        <f t="shared" si="136"/>
        <v>0.17335969315081967</v>
      </c>
      <c r="Z279" s="286">
        <f t="shared" si="137"/>
        <v>0.54964853345132902</v>
      </c>
      <c r="AA279" s="286">
        <f t="shared" si="169"/>
        <v>0.17335969315081967</v>
      </c>
      <c r="AB279" s="197">
        <f t="shared" si="138"/>
        <v>0.36419974881911377</v>
      </c>
      <c r="AC279" s="287">
        <f t="shared" si="139"/>
        <v>4.4451203372005044E-7</v>
      </c>
      <c r="AD279" s="197">
        <f t="shared" si="170"/>
        <v>11.693936048110356</v>
      </c>
      <c r="AE279" s="197">
        <f t="shared" si="171"/>
        <v>35.08180814433107</v>
      </c>
      <c r="AF279" s="197">
        <f t="shared" si="172"/>
        <v>8.5178571428571423E-2</v>
      </c>
      <c r="AG279" s="197">
        <f t="shared" si="173"/>
        <v>0.25553571428571431</v>
      </c>
      <c r="AH279" s="197">
        <f t="shared" si="140"/>
        <v>0.11660930017110901</v>
      </c>
      <c r="AI279" s="197">
        <f t="shared" si="174"/>
        <v>0.11660930017110901</v>
      </c>
      <c r="AJ279" s="218">
        <f t="shared" si="141"/>
        <v>390.00000000000006</v>
      </c>
      <c r="AK279" s="197">
        <f t="shared" si="175"/>
        <v>6.0930617977437734E-2</v>
      </c>
      <c r="AL279" s="197">
        <f t="shared" si="176"/>
        <v>9.6203707235237593E-2</v>
      </c>
      <c r="AM279" s="197">
        <f t="shared" si="177"/>
        <v>4.0790371867740751E-3</v>
      </c>
      <c r="AN279" s="197">
        <f t="shared" si="142"/>
        <v>24.05</v>
      </c>
      <c r="AO279" s="197">
        <f t="shared" si="143"/>
        <v>21.69</v>
      </c>
      <c r="AP279" s="197">
        <f t="shared" si="178"/>
        <v>7.4093290390420161E-2</v>
      </c>
      <c r="AQ279" s="197">
        <f t="shared" si="179"/>
        <v>0.42250439890466829</v>
      </c>
      <c r="AR279" s="197">
        <f t="shared" si="180"/>
        <v>0.30589509873355925</v>
      </c>
      <c r="AS279" s="258">
        <f t="shared" si="181"/>
        <v>0.15228632177729159</v>
      </c>
      <c r="AT279" s="197">
        <f t="shared" si="144"/>
        <v>2.5974058656511614E-4</v>
      </c>
      <c r="AU279" s="194">
        <f t="shared" si="145"/>
        <v>21.19</v>
      </c>
      <c r="AV279" s="197">
        <f t="shared" si="146"/>
        <v>2.7E-2</v>
      </c>
      <c r="AW279" s="197">
        <f t="shared" si="147"/>
        <v>3.4260000000000002E-3</v>
      </c>
      <c r="AX279" s="197">
        <f t="shared" si="182"/>
        <v>6.1668000000000001E-2</v>
      </c>
      <c r="AY279" s="197">
        <f t="shared" si="148"/>
        <v>2.8867476000000005E-3</v>
      </c>
      <c r="AZ279" s="197">
        <f t="shared" si="149"/>
        <v>0</v>
      </c>
      <c r="BA279" s="197">
        <f t="shared" si="183"/>
        <v>7.2596940000000013E-2</v>
      </c>
      <c r="BB279" s="258">
        <f t="shared" si="150"/>
        <v>0.36575210336206115</v>
      </c>
      <c r="BC279" s="197">
        <f t="shared" si="151"/>
        <v>2.2380490766334034E-2</v>
      </c>
      <c r="BD279" s="197">
        <f t="shared" si="184"/>
        <v>4.4760981532668068E-3</v>
      </c>
      <c r="BE279" s="197">
        <f t="shared" si="185"/>
        <v>2.6856588919600841E-2</v>
      </c>
      <c r="BF279" s="197">
        <f t="shared" si="152"/>
        <v>0.20773291256157633</v>
      </c>
      <c r="BG279" s="197">
        <f t="shared" si="153"/>
        <v>5.4608303342508187E-4</v>
      </c>
      <c r="BH279" s="197">
        <f t="shared" si="154"/>
        <v>3.5336687086656722E-2</v>
      </c>
      <c r="BI279" s="197">
        <f t="shared" si="186"/>
        <v>0.44730899017824427</v>
      </c>
      <c r="BJ279" s="197">
        <f t="shared" si="155"/>
        <v>6.769615024661003</v>
      </c>
      <c r="BK279" s="288">
        <f t="shared" si="156"/>
        <v>0.93392401361838984</v>
      </c>
      <c r="BL279" s="197">
        <f t="shared" si="157"/>
        <v>0.37608972359227794</v>
      </c>
      <c r="BM279" s="197">
        <f t="shared" si="158"/>
        <v>7.4353030976985271E-2</v>
      </c>
      <c r="BN279" s="197">
        <f t="shared" si="159"/>
        <v>54.461181858619113</v>
      </c>
      <c r="BO279" s="197">
        <f t="shared" si="187"/>
        <v>0.2082789955950014</v>
      </c>
      <c r="BP279" s="197">
        <f t="shared" si="160"/>
        <v>65.620924669625111</v>
      </c>
      <c r="BQ279" s="197">
        <f t="shared" si="161"/>
        <v>9.9596940000000009E-2</v>
      </c>
      <c r="BR279" s="288">
        <f t="shared" si="162"/>
        <v>0.16008975919012108</v>
      </c>
      <c r="BS279" s="197">
        <f t="shared" si="163"/>
        <v>0.11660930017110901</v>
      </c>
      <c r="BT279" s="197">
        <f t="shared" si="164"/>
        <v>0.36419974881911377</v>
      </c>
      <c r="BU279" s="197">
        <f t="shared" si="165"/>
        <v>0.1713930788771201</v>
      </c>
      <c r="BV279" s="197">
        <f t="shared" si="166"/>
        <v>0.53530306917875781</v>
      </c>
      <c r="BW279" s="194"/>
      <c r="BX279" s="194"/>
      <c r="BY279" s="194"/>
      <c r="BZ279" s="194"/>
      <c r="CA279" s="194"/>
      <c r="CB279" s="194"/>
      <c r="CC279" s="194"/>
      <c r="CD279" s="194"/>
      <c r="CE279" s="194"/>
      <c r="CF279" s="194"/>
      <c r="CG279" s="194"/>
      <c r="CH279" s="194"/>
      <c r="CI279" s="194"/>
      <c r="CJ279" s="194"/>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row>
    <row r="280" spans="2:110" s="192" customFormat="1" hidden="1" x14ac:dyDescent="0.35">
      <c r="B280" s="289"/>
      <c r="C280" s="289"/>
      <c r="Q280" s="193"/>
      <c r="R280" s="194">
        <f t="shared" si="167"/>
        <v>18</v>
      </c>
      <c r="S280" s="197">
        <f t="shared" si="133"/>
        <v>0.3888888888888889</v>
      </c>
      <c r="T280" s="194">
        <f t="shared" si="188"/>
        <v>0.69</v>
      </c>
      <c r="U280" s="194">
        <f t="shared" si="189"/>
        <v>1.4999999999999999E-4</v>
      </c>
      <c r="V280" s="197">
        <f t="shared" si="168"/>
        <v>0.3888888888888889</v>
      </c>
      <c r="W280" s="197">
        <f t="shared" si="134"/>
        <v>4.3555555555555561E-3</v>
      </c>
      <c r="X280" s="286">
        <f t="shared" si="135"/>
        <v>1</v>
      </c>
      <c r="Y280" s="286">
        <f t="shared" si="136"/>
        <v>0.17335969315081967</v>
      </c>
      <c r="Z280" s="286">
        <f t="shared" si="137"/>
        <v>0.54964853345132902</v>
      </c>
      <c r="AA280" s="286">
        <f t="shared" si="169"/>
        <v>0.17335969315081967</v>
      </c>
      <c r="AB280" s="197">
        <f t="shared" si="138"/>
        <v>0.36419974881911377</v>
      </c>
      <c r="AC280" s="287">
        <f t="shared" si="139"/>
        <v>4.4451203372005044E-7</v>
      </c>
      <c r="AD280" s="197">
        <f t="shared" si="170"/>
        <v>11.693936048110356</v>
      </c>
      <c r="AE280" s="197">
        <f t="shared" si="171"/>
        <v>35.08180814433107</v>
      </c>
      <c r="AF280" s="197">
        <f t="shared" si="172"/>
        <v>8.5178571428571423E-2</v>
      </c>
      <c r="AG280" s="197">
        <f t="shared" si="173"/>
        <v>0.25553571428571431</v>
      </c>
      <c r="AH280" s="197">
        <f t="shared" si="140"/>
        <v>0.11660930017110901</v>
      </c>
      <c r="AI280" s="197">
        <f t="shared" si="174"/>
        <v>0.11660930017110901</v>
      </c>
      <c r="AJ280" s="218">
        <f t="shared" si="141"/>
        <v>390.00000000000006</v>
      </c>
      <c r="AK280" s="197">
        <f t="shared" si="175"/>
        <v>6.0930617977437734E-2</v>
      </c>
      <c r="AL280" s="197">
        <f t="shared" si="176"/>
        <v>9.6203707235237593E-2</v>
      </c>
      <c r="AM280" s="197">
        <f t="shared" si="177"/>
        <v>4.0790371867740751E-3</v>
      </c>
      <c r="AN280" s="197">
        <f t="shared" si="142"/>
        <v>24.05</v>
      </c>
      <c r="AO280" s="197">
        <f t="shared" si="143"/>
        <v>21.69</v>
      </c>
      <c r="AP280" s="197">
        <f t="shared" si="178"/>
        <v>7.4093290390420161E-2</v>
      </c>
      <c r="AQ280" s="197">
        <f t="shared" si="179"/>
        <v>0.42250439890466829</v>
      </c>
      <c r="AR280" s="197">
        <f t="shared" si="180"/>
        <v>0.30589509873355925</v>
      </c>
      <c r="AS280" s="258">
        <f t="shared" si="181"/>
        <v>0.15228632177729159</v>
      </c>
      <c r="AT280" s="197">
        <f t="shared" si="144"/>
        <v>2.5974058656511614E-4</v>
      </c>
      <c r="AU280" s="194">
        <f t="shared" si="145"/>
        <v>21.19</v>
      </c>
      <c r="AV280" s="197">
        <f t="shared" si="146"/>
        <v>2.7E-2</v>
      </c>
      <c r="AW280" s="197">
        <f t="shared" si="147"/>
        <v>3.4260000000000002E-3</v>
      </c>
      <c r="AX280" s="197">
        <f t="shared" si="182"/>
        <v>6.1668000000000001E-2</v>
      </c>
      <c r="AY280" s="197">
        <f t="shared" si="148"/>
        <v>2.8867476000000005E-3</v>
      </c>
      <c r="AZ280" s="197">
        <f t="shared" si="149"/>
        <v>0</v>
      </c>
      <c r="BA280" s="197">
        <f t="shared" si="183"/>
        <v>7.2596940000000013E-2</v>
      </c>
      <c r="BB280" s="258">
        <f t="shared" si="150"/>
        <v>0.36575210336206115</v>
      </c>
      <c r="BC280" s="197">
        <f t="shared" si="151"/>
        <v>2.2380490766334034E-2</v>
      </c>
      <c r="BD280" s="197">
        <f t="shared" si="184"/>
        <v>4.4760981532668068E-3</v>
      </c>
      <c r="BE280" s="197">
        <f t="shared" si="185"/>
        <v>2.6856588919600841E-2</v>
      </c>
      <c r="BF280" s="197">
        <f t="shared" si="152"/>
        <v>0.20773291256157633</v>
      </c>
      <c r="BG280" s="197">
        <f t="shared" si="153"/>
        <v>5.4608303342508187E-4</v>
      </c>
      <c r="BH280" s="197">
        <f t="shared" si="154"/>
        <v>3.5336687086656722E-2</v>
      </c>
      <c r="BI280" s="197">
        <f t="shared" si="186"/>
        <v>0.44730899017824427</v>
      </c>
      <c r="BJ280" s="197">
        <f t="shared" si="155"/>
        <v>6.769615024661003</v>
      </c>
      <c r="BK280" s="288">
        <f t="shared" si="156"/>
        <v>0.93392401361838984</v>
      </c>
      <c r="BL280" s="197">
        <f t="shared" si="157"/>
        <v>0.37608972359227794</v>
      </c>
      <c r="BM280" s="197">
        <f t="shared" si="158"/>
        <v>7.4353030976985271E-2</v>
      </c>
      <c r="BN280" s="197">
        <f t="shared" si="159"/>
        <v>54.461181858619113</v>
      </c>
      <c r="BO280" s="197">
        <f t="shared" si="187"/>
        <v>0.2082789955950014</v>
      </c>
      <c r="BP280" s="197">
        <f t="shared" si="160"/>
        <v>65.620924669625111</v>
      </c>
      <c r="BQ280" s="197">
        <f t="shared" si="161"/>
        <v>9.9596940000000009E-2</v>
      </c>
      <c r="BR280" s="288">
        <f t="shared" si="162"/>
        <v>0.16008975919012108</v>
      </c>
      <c r="BS280" s="197">
        <f t="shared" si="163"/>
        <v>0.11660930017110901</v>
      </c>
      <c r="BT280" s="197">
        <f t="shared" si="164"/>
        <v>0.36419974881911377</v>
      </c>
      <c r="BU280" s="197">
        <f t="shared" si="165"/>
        <v>0.1713930788771201</v>
      </c>
      <c r="BV280" s="197">
        <f t="shared" si="166"/>
        <v>0.53530306917875781</v>
      </c>
      <c r="BW280" s="194"/>
      <c r="BX280" s="194"/>
      <c r="BY280" s="194"/>
      <c r="BZ280" s="194"/>
      <c r="CA280" s="194"/>
      <c r="CB280" s="194"/>
      <c r="CC280" s="194"/>
      <c r="CD280" s="194"/>
      <c r="CE280" s="194"/>
      <c r="CF280" s="194"/>
      <c r="CG280" s="194"/>
      <c r="CH280" s="194"/>
      <c r="CI280" s="194"/>
      <c r="CJ280" s="194"/>
      <c r="CK280" s="194"/>
      <c r="CL280" s="194"/>
      <c r="CM280" s="194"/>
      <c r="CN280" s="194"/>
      <c r="CO280" s="194"/>
      <c r="CP280" s="194"/>
      <c r="CQ280" s="194"/>
      <c r="CR280" s="194"/>
      <c r="CS280" s="194"/>
      <c r="CT280" s="194"/>
      <c r="CU280" s="194"/>
      <c r="CV280" s="194"/>
      <c r="CW280" s="194"/>
      <c r="CX280" s="194"/>
      <c r="CY280" s="194"/>
      <c r="CZ280" s="194"/>
      <c r="DA280" s="194"/>
      <c r="DB280" s="194"/>
      <c r="DC280" s="194"/>
      <c r="DD280" s="194"/>
      <c r="DE280" s="194"/>
      <c r="DF280" s="194"/>
    </row>
    <row r="281" spans="2:110" s="192" customFormat="1" hidden="1" x14ac:dyDescent="0.35">
      <c r="B281" s="289"/>
      <c r="C281" s="289"/>
      <c r="Q281" s="193"/>
      <c r="R281" s="194">
        <f t="shared" si="167"/>
        <v>18</v>
      </c>
      <c r="S281" s="197">
        <f t="shared" si="133"/>
        <v>0.3888888888888889</v>
      </c>
      <c r="T281" s="194">
        <f t="shared" si="188"/>
        <v>0.69</v>
      </c>
      <c r="U281" s="194">
        <f t="shared" si="189"/>
        <v>1.4999999999999999E-4</v>
      </c>
      <c r="V281" s="197">
        <f t="shared" si="168"/>
        <v>0.3888888888888889</v>
      </c>
      <c r="W281" s="197">
        <f t="shared" si="134"/>
        <v>4.3555555555555561E-3</v>
      </c>
      <c r="X281" s="286">
        <f t="shared" si="135"/>
        <v>1</v>
      </c>
      <c r="Y281" s="286">
        <f t="shared" si="136"/>
        <v>0.17335969315081967</v>
      </c>
      <c r="Z281" s="286">
        <f t="shared" si="137"/>
        <v>0.54964853345132902</v>
      </c>
      <c r="AA281" s="286">
        <f t="shared" si="169"/>
        <v>0.17335969315081967</v>
      </c>
      <c r="AB281" s="197">
        <f t="shared" si="138"/>
        <v>0.36419974881911377</v>
      </c>
      <c r="AC281" s="287">
        <f t="shared" si="139"/>
        <v>4.4451203372005044E-7</v>
      </c>
      <c r="AD281" s="197">
        <f t="shared" si="170"/>
        <v>11.693936048110356</v>
      </c>
      <c r="AE281" s="197">
        <f t="shared" si="171"/>
        <v>35.08180814433107</v>
      </c>
      <c r="AF281" s="197">
        <f t="shared" si="172"/>
        <v>8.5178571428571423E-2</v>
      </c>
      <c r="AG281" s="197">
        <f t="shared" si="173"/>
        <v>0.25553571428571431</v>
      </c>
      <c r="AH281" s="197">
        <f t="shared" si="140"/>
        <v>0.11660930017110901</v>
      </c>
      <c r="AI281" s="197">
        <f t="shared" si="174"/>
        <v>0.11660930017110901</v>
      </c>
      <c r="AJ281" s="218">
        <f t="shared" si="141"/>
        <v>390.00000000000006</v>
      </c>
      <c r="AK281" s="197">
        <f t="shared" si="175"/>
        <v>6.0930617977437734E-2</v>
      </c>
      <c r="AL281" s="197">
        <f t="shared" si="176"/>
        <v>9.6203707235237593E-2</v>
      </c>
      <c r="AM281" s="197">
        <f t="shared" si="177"/>
        <v>4.0790371867740751E-3</v>
      </c>
      <c r="AN281" s="197">
        <f t="shared" si="142"/>
        <v>24.05</v>
      </c>
      <c r="AO281" s="197">
        <f t="shared" si="143"/>
        <v>21.69</v>
      </c>
      <c r="AP281" s="197">
        <f t="shared" si="178"/>
        <v>7.4093290390420161E-2</v>
      </c>
      <c r="AQ281" s="197">
        <f t="shared" si="179"/>
        <v>0.42250439890466829</v>
      </c>
      <c r="AR281" s="197">
        <f t="shared" si="180"/>
        <v>0.30589509873355925</v>
      </c>
      <c r="AS281" s="258">
        <f t="shared" si="181"/>
        <v>0.15228632177729159</v>
      </c>
      <c r="AT281" s="197">
        <f t="shared" si="144"/>
        <v>2.5974058656511614E-4</v>
      </c>
      <c r="AU281" s="194">
        <f t="shared" si="145"/>
        <v>21.19</v>
      </c>
      <c r="AV281" s="197">
        <f t="shared" si="146"/>
        <v>2.7E-2</v>
      </c>
      <c r="AW281" s="197">
        <f t="shared" si="147"/>
        <v>3.4260000000000002E-3</v>
      </c>
      <c r="AX281" s="197">
        <f t="shared" si="182"/>
        <v>6.1668000000000001E-2</v>
      </c>
      <c r="AY281" s="197">
        <f t="shared" si="148"/>
        <v>2.8867476000000005E-3</v>
      </c>
      <c r="AZ281" s="197">
        <f t="shared" si="149"/>
        <v>0</v>
      </c>
      <c r="BA281" s="197">
        <f t="shared" si="183"/>
        <v>7.2596940000000013E-2</v>
      </c>
      <c r="BB281" s="258">
        <f t="shared" si="150"/>
        <v>0.36575210336206115</v>
      </c>
      <c r="BC281" s="197">
        <f t="shared" si="151"/>
        <v>2.2380490766334034E-2</v>
      </c>
      <c r="BD281" s="197">
        <f t="shared" si="184"/>
        <v>4.4760981532668068E-3</v>
      </c>
      <c r="BE281" s="197">
        <f t="shared" si="185"/>
        <v>2.6856588919600841E-2</v>
      </c>
      <c r="BF281" s="197">
        <f t="shared" si="152"/>
        <v>0.20773291256157633</v>
      </c>
      <c r="BG281" s="197">
        <f t="shared" si="153"/>
        <v>5.4608303342508187E-4</v>
      </c>
      <c r="BH281" s="197">
        <f t="shared" si="154"/>
        <v>3.5336687086656722E-2</v>
      </c>
      <c r="BI281" s="197">
        <f t="shared" si="186"/>
        <v>0.44730899017824427</v>
      </c>
      <c r="BJ281" s="197">
        <f t="shared" si="155"/>
        <v>6.769615024661003</v>
      </c>
      <c r="BK281" s="288">
        <f t="shared" si="156"/>
        <v>0.93392401361838984</v>
      </c>
      <c r="BL281" s="197">
        <f t="shared" si="157"/>
        <v>0.37608972359227794</v>
      </c>
      <c r="BM281" s="197">
        <f t="shared" si="158"/>
        <v>7.4353030976985271E-2</v>
      </c>
      <c r="BN281" s="197">
        <f t="shared" si="159"/>
        <v>54.461181858619113</v>
      </c>
      <c r="BO281" s="197">
        <f t="shared" si="187"/>
        <v>0.2082789955950014</v>
      </c>
      <c r="BP281" s="197">
        <f t="shared" si="160"/>
        <v>65.620924669625111</v>
      </c>
      <c r="BQ281" s="197">
        <f t="shared" si="161"/>
        <v>9.9596940000000009E-2</v>
      </c>
      <c r="BR281" s="288">
        <f t="shared" si="162"/>
        <v>0.16008975919012108</v>
      </c>
      <c r="BS281" s="197">
        <f t="shared" si="163"/>
        <v>0.11660930017110901</v>
      </c>
      <c r="BT281" s="197">
        <f t="shared" si="164"/>
        <v>0.36419974881911377</v>
      </c>
      <c r="BU281" s="197">
        <f t="shared" si="165"/>
        <v>0.1713930788771201</v>
      </c>
      <c r="BV281" s="197">
        <f t="shared" si="166"/>
        <v>0.53530306917875781</v>
      </c>
      <c r="BW281" s="194"/>
      <c r="BX281" s="194"/>
      <c r="BY281" s="194"/>
      <c r="BZ281" s="194"/>
      <c r="CA281" s="194"/>
      <c r="CB281" s="194"/>
      <c r="CC281" s="194"/>
      <c r="CD281" s="194"/>
      <c r="CE281" s="194"/>
      <c r="CF281" s="194"/>
      <c r="CG281" s="194"/>
      <c r="CH281" s="194"/>
      <c r="CI281" s="194"/>
      <c r="CJ281" s="194"/>
      <c r="CK281" s="194"/>
      <c r="CL281" s="194"/>
      <c r="CM281" s="194"/>
      <c r="CN281" s="194"/>
      <c r="CO281" s="194"/>
      <c r="CP281" s="194"/>
      <c r="CQ281" s="194"/>
      <c r="CR281" s="194"/>
      <c r="CS281" s="194"/>
      <c r="CT281" s="194"/>
      <c r="CU281" s="194"/>
      <c r="CV281" s="194"/>
      <c r="CW281" s="194"/>
      <c r="CX281" s="194"/>
      <c r="CY281" s="194"/>
      <c r="CZ281" s="194"/>
      <c r="DA281" s="194"/>
      <c r="DB281" s="194"/>
      <c r="DC281" s="194"/>
      <c r="DD281" s="194"/>
      <c r="DE281" s="194"/>
      <c r="DF281" s="194"/>
    </row>
    <row r="282" spans="2:110" s="192" customFormat="1" hidden="1" x14ac:dyDescent="0.35">
      <c r="B282" s="289"/>
      <c r="C282" s="289"/>
      <c r="Q282" s="193"/>
      <c r="R282" s="194">
        <f t="shared" si="167"/>
        <v>18</v>
      </c>
      <c r="S282" s="197">
        <f t="shared" si="133"/>
        <v>0.3888888888888889</v>
      </c>
      <c r="T282" s="194">
        <f t="shared" si="188"/>
        <v>0.69</v>
      </c>
      <c r="U282" s="194">
        <f t="shared" si="189"/>
        <v>1.4999999999999999E-4</v>
      </c>
      <c r="V282" s="197">
        <f t="shared" si="168"/>
        <v>0.3888888888888889</v>
      </c>
      <c r="W282" s="197">
        <f t="shared" si="134"/>
        <v>4.3555555555555561E-3</v>
      </c>
      <c r="X282" s="286">
        <f t="shared" si="135"/>
        <v>1</v>
      </c>
      <c r="Y282" s="286">
        <f t="shared" si="136"/>
        <v>0.17335969315081967</v>
      </c>
      <c r="Z282" s="286">
        <f t="shared" si="137"/>
        <v>0.54964853345132902</v>
      </c>
      <c r="AA282" s="286">
        <f t="shared" si="169"/>
        <v>0.17335969315081967</v>
      </c>
      <c r="AB282" s="197">
        <f t="shared" si="138"/>
        <v>0.36419974881911377</v>
      </c>
      <c r="AC282" s="287">
        <f t="shared" si="139"/>
        <v>4.4451203372005044E-7</v>
      </c>
      <c r="AD282" s="197">
        <f t="shared" si="170"/>
        <v>11.693936048110356</v>
      </c>
      <c r="AE282" s="197">
        <f t="shared" si="171"/>
        <v>35.08180814433107</v>
      </c>
      <c r="AF282" s="197">
        <f t="shared" si="172"/>
        <v>8.5178571428571423E-2</v>
      </c>
      <c r="AG282" s="197">
        <f t="shared" si="173"/>
        <v>0.25553571428571431</v>
      </c>
      <c r="AH282" s="197">
        <f t="shared" si="140"/>
        <v>0.11660930017110901</v>
      </c>
      <c r="AI282" s="197">
        <f t="shared" si="174"/>
        <v>0.11660930017110901</v>
      </c>
      <c r="AJ282" s="218">
        <f t="shared" si="141"/>
        <v>390.00000000000006</v>
      </c>
      <c r="AK282" s="197">
        <f t="shared" si="175"/>
        <v>6.0930617977437734E-2</v>
      </c>
      <c r="AL282" s="197">
        <f t="shared" si="176"/>
        <v>9.6203707235237593E-2</v>
      </c>
      <c r="AM282" s="197">
        <f t="shared" si="177"/>
        <v>4.0790371867740751E-3</v>
      </c>
      <c r="AN282" s="197">
        <f t="shared" si="142"/>
        <v>24.05</v>
      </c>
      <c r="AO282" s="197">
        <f t="shared" si="143"/>
        <v>21.69</v>
      </c>
      <c r="AP282" s="197">
        <f t="shared" si="178"/>
        <v>7.4093290390420161E-2</v>
      </c>
      <c r="AQ282" s="197">
        <f t="shared" si="179"/>
        <v>0.42250439890466829</v>
      </c>
      <c r="AR282" s="197">
        <f t="shared" si="180"/>
        <v>0.30589509873355925</v>
      </c>
      <c r="AS282" s="258">
        <f t="shared" si="181"/>
        <v>0.15228632177729159</v>
      </c>
      <c r="AT282" s="197">
        <f t="shared" si="144"/>
        <v>2.5974058656511614E-4</v>
      </c>
      <c r="AU282" s="194">
        <f t="shared" si="145"/>
        <v>21.19</v>
      </c>
      <c r="AV282" s="197">
        <f t="shared" si="146"/>
        <v>2.7E-2</v>
      </c>
      <c r="AW282" s="197">
        <f t="shared" si="147"/>
        <v>3.4260000000000002E-3</v>
      </c>
      <c r="AX282" s="197">
        <f t="shared" si="182"/>
        <v>6.1668000000000001E-2</v>
      </c>
      <c r="AY282" s="197">
        <f t="shared" si="148"/>
        <v>2.8867476000000005E-3</v>
      </c>
      <c r="AZ282" s="197">
        <f t="shared" si="149"/>
        <v>0</v>
      </c>
      <c r="BA282" s="197">
        <f t="shared" si="183"/>
        <v>7.2596940000000013E-2</v>
      </c>
      <c r="BB282" s="258">
        <f t="shared" si="150"/>
        <v>0.36575210336206115</v>
      </c>
      <c r="BC282" s="197">
        <f t="shared" si="151"/>
        <v>2.2380490766334034E-2</v>
      </c>
      <c r="BD282" s="197">
        <f t="shared" si="184"/>
        <v>4.4760981532668068E-3</v>
      </c>
      <c r="BE282" s="197">
        <f t="shared" si="185"/>
        <v>2.6856588919600841E-2</v>
      </c>
      <c r="BF282" s="197">
        <f t="shared" si="152"/>
        <v>0.20773291256157633</v>
      </c>
      <c r="BG282" s="197">
        <f t="shared" si="153"/>
        <v>5.4608303342508187E-4</v>
      </c>
      <c r="BH282" s="197">
        <f t="shared" si="154"/>
        <v>3.5336687086656722E-2</v>
      </c>
      <c r="BI282" s="197">
        <f t="shared" si="186"/>
        <v>0.44730899017824427</v>
      </c>
      <c r="BJ282" s="197">
        <f t="shared" si="155"/>
        <v>6.769615024661003</v>
      </c>
      <c r="BK282" s="288">
        <f t="shared" si="156"/>
        <v>0.93392401361838984</v>
      </c>
      <c r="BL282" s="197">
        <f t="shared" si="157"/>
        <v>0.37608972359227794</v>
      </c>
      <c r="BM282" s="197">
        <f t="shared" si="158"/>
        <v>7.4353030976985271E-2</v>
      </c>
      <c r="BN282" s="197">
        <f t="shared" si="159"/>
        <v>54.461181858619113</v>
      </c>
      <c r="BO282" s="197">
        <f t="shared" si="187"/>
        <v>0.2082789955950014</v>
      </c>
      <c r="BP282" s="197">
        <f t="shared" si="160"/>
        <v>65.620924669625111</v>
      </c>
      <c r="BQ282" s="197">
        <f t="shared" si="161"/>
        <v>9.9596940000000009E-2</v>
      </c>
      <c r="BR282" s="288">
        <f t="shared" si="162"/>
        <v>0.16008975919012108</v>
      </c>
      <c r="BS282" s="197">
        <f t="shared" si="163"/>
        <v>0.11660930017110901</v>
      </c>
      <c r="BT282" s="197">
        <f t="shared" si="164"/>
        <v>0.36419974881911377</v>
      </c>
      <c r="BU282" s="197">
        <f t="shared" si="165"/>
        <v>0.1713930788771201</v>
      </c>
      <c r="BV282" s="197">
        <f t="shared" si="166"/>
        <v>0.53530306917875781</v>
      </c>
      <c r="BW282" s="194"/>
      <c r="BX282" s="194"/>
      <c r="BY282" s="194"/>
      <c r="BZ282" s="194"/>
      <c r="CA282" s="194"/>
      <c r="CB282" s="194"/>
      <c r="CC282" s="194"/>
      <c r="CD282" s="194"/>
      <c r="CE282" s="194"/>
      <c r="CF282" s="194"/>
      <c r="CG282" s="194"/>
      <c r="CH282" s="194"/>
      <c r="CI282" s="194"/>
      <c r="CJ282" s="194"/>
      <c r="CK282" s="194"/>
      <c r="CL282" s="194"/>
      <c r="CM282" s="194"/>
      <c r="CN282" s="194"/>
      <c r="CO282" s="194"/>
      <c r="CP282" s="194"/>
      <c r="CQ282" s="194"/>
      <c r="CR282" s="194"/>
      <c r="CS282" s="194"/>
      <c r="CT282" s="194"/>
      <c r="CU282" s="194"/>
      <c r="CV282" s="194"/>
      <c r="CW282" s="194"/>
      <c r="CX282" s="194"/>
      <c r="CY282" s="194"/>
      <c r="CZ282" s="194"/>
      <c r="DA282" s="194"/>
      <c r="DB282" s="194"/>
      <c r="DC282" s="194"/>
      <c r="DD282" s="194"/>
      <c r="DE282" s="194"/>
      <c r="DF282" s="194"/>
    </row>
    <row r="283" spans="2:110" s="192" customFormat="1" hidden="1" x14ac:dyDescent="0.35">
      <c r="B283" s="289"/>
      <c r="C283" s="289"/>
      <c r="Q283" s="193"/>
      <c r="R283" s="194">
        <f t="shared" si="167"/>
        <v>18</v>
      </c>
      <c r="S283" s="197">
        <f t="shared" si="133"/>
        <v>0.3888888888888889</v>
      </c>
      <c r="T283" s="194">
        <f t="shared" si="188"/>
        <v>0.69</v>
      </c>
      <c r="U283" s="194">
        <f t="shared" si="189"/>
        <v>1.4999999999999999E-4</v>
      </c>
      <c r="V283" s="197">
        <f t="shared" si="168"/>
        <v>0.3888888888888889</v>
      </c>
      <c r="W283" s="197">
        <f t="shared" si="134"/>
        <v>4.3555555555555561E-3</v>
      </c>
      <c r="X283" s="286">
        <f t="shared" si="135"/>
        <v>1</v>
      </c>
      <c r="Y283" s="286">
        <f t="shared" si="136"/>
        <v>0.17335969315081967</v>
      </c>
      <c r="Z283" s="286">
        <f t="shared" si="137"/>
        <v>0.54964853345132902</v>
      </c>
      <c r="AA283" s="286">
        <f t="shared" si="169"/>
        <v>0.17335969315081967</v>
      </c>
      <c r="AB283" s="197">
        <f t="shared" si="138"/>
        <v>0.36419974881911377</v>
      </c>
      <c r="AC283" s="287">
        <f t="shared" si="139"/>
        <v>4.4451203372005044E-7</v>
      </c>
      <c r="AD283" s="197">
        <f t="shared" si="170"/>
        <v>11.693936048110356</v>
      </c>
      <c r="AE283" s="197">
        <f t="shared" si="171"/>
        <v>35.08180814433107</v>
      </c>
      <c r="AF283" s="197">
        <f t="shared" si="172"/>
        <v>8.5178571428571423E-2</v>
      </c>
      <c r="AG283" s="197">
        <f t="shared" si="173"/>
        <v>0.25553571428571431</v>
      </c>
      <c r="AH283" s="197">
        <f t="shared" si="140"/>
        <v>0.11660930017110901</v>
      </c>
      <c r="AI283" s="197">
        <f t="shared" si="174"/>
        <v>0.11660930017110901</v>
      </c>
      <c r="AJ283" s="218">
        <f t="shared" si="141"/>
        <v>390.00000000000006</v>
      </c>
      <c r="AK283" s="197">
        <f t="shared" si="175"/>
        <v>6.0930617977437734E-2</v>
      </c>
      <c r="AL283" s="197">
        <f t="shared" si="176"/>
        <v>9.6203707235237593E-2</v>
      </c>
      <c r="AM283" s="197">
        <f t="shared" si="177"/>
        <v>4.0790371867740751E-3</v>
      </c>
      <c r="AN283" s="197">
        <f t="shared" si="142"/>
        <v>24.05</v>
      </c>
      <c r="AO283" s="197">
        <f t="shared" si="143"/>
        <v>21.69</v>
      </c>
      <c r="AP283" s="197">
        <f t="shared" si="178"/>
        <v>7.4093290390420161E-2</v>
      </c>
      <c r="AQ283" s="197">
        <f t="shared" si="179"/>
        <v>0.42250439890466829</v>
      </c>
      <c r="AR283" s="197">
        <f t="shared" si="180"/>
        <v>0.30589509873355925</v>
      </c>
      <c r="AS283" s="258">
        <f t="shared" si="181"/>
        <v>0.15228632177729159</v>
      </c>
      <c r="AT283" s="197">
        <f t="shared" si="144"/>
        <v>2.5974058656511614E-4</v>
      </c>
      <c r="AU283" s="194">
        <f t="shared" si="145"/>
        <v>21.19</v>
      </c>
      <c r="AV283" s="197">
        <f t="shared" si="146"/>
        <v>2.7E-2</v>
      </c>
      <c r="AW283" s="197">
        <f t="shared" si="147"/>
        <v>3.4260000000000002E-3</v>
      </c>
      <c r="AX283" s="197">
        <f t="shared" si="182"/>
        <v>6.1668000000000001E-2</v>
      </c>
      <c r="AY283" s="197">
        <f t="shared" si="148"/>
        <v>2.8867476000000005E-3</v>
      </c>
      <c r="AZ283" s="197">
        <f t="shared" si="149"/>
        <v>0</v>
      </c>
      <c r="BA283" s="197">
        <f t="shared" si="183"/>
        <v>7.2596940000000013E-2</v>
      </c>
      <c r="BB283" s="258">
        <f t="shared" si="150"/>
        <v>0.36575210336206115</v>
      </c>
      <c r="BC283" s="197">
        <f t="shared" si="151"/>
        <v>2.2380490766334034E-2</v>
      </c>
      <c r="BD283" s="197">
        <f t="shared" si="184"/>
        <v>4.4760981532668068E-3</v>
      </c>
      <c r="BE283" s="197">
        <f t="shared" si="185"/>
        <v>2.6856588919600841E-2</v>
      </c>
      <c r="BF283" s="197">
        <f t="shared" si="152"/>
        <v>0.20773291256157633</v>
      </c>
      <c r="BG283" s="197">
        <f t="shared" si="153"/>
        <v>5.4608303342508187E-4</v>
      </c>
      <c r="BH283" s="197">
        <f t="shared" si="154"/>
        <v>3.5336687086656722E-2</v>
      </c>
      <c r="BI283" s="197">
        <f t="shared" si="186"/>
        <v>0.44730899017824427</v>
      </c>
      <c r="BJ283" s="197">
        <f t="shared" si="155"/>
        <v>6.769615024661003</v>
      </c>
      <c r="BK283" s="288">
        <f t="shared" si="156"/>
        <v>0.93392401361838984</v>
      </c>
      <c r="BL283" s="197">
        <f t="shared" si="157"/>
        <v>0.37608972359227794</v>
      </c>
      <c r="BM283" s="197">
        <f t="shared" si="158"/>
        <v>7.4353030976985271E-2</v>
      </c>
      <c r="BN283" s="197">
        <f t="shared" si="159"/>
        <v>54.461181858619113</v>
      </c>
      <c r="BO283" s="197">
        <f t="shared" si="187"/>
        <v>0.2082789955950014</v>
      </c>
      <c r="BP283" s="197">
        <f t="shared" si="160"/>
        <v>65.620924669625111</v>
      </c>
      <c r="BQ283" s="197">
        <f t="shared" si="161"/>
        <v>9.9596940000000009E-2</v>
      </c>
      <c r="BR283" s="288">
        <f t="shared" si="162"/>
        <v>0.16008975919012108</v>
      </c>
      <c r="BS283" s="197">
        <f t="shared" si="163"/>
        <v>0.11660930017110901</v>
      </c>
      <c r="BT283" s="197">
        <f t="shared" si="164"/>
        <v>0.36419974881911377</v>
      </c>
      <c r="BU283" s="197">
        <f t="shared" si="165"/>
        <v>0.1713930788771201</v>
      </c>
      <c r="BV283" s="197">
        <f t="shared" si="166"/>
        <v>0.53530306917875781</v>
      </c>
      <c r="BW283" s="194"/>
      <c r="BX283" s="194"/>
      <c r="BY283" s="194"/>
      <c r="BZ283" s="194"/>
      <c r="CA283" s="194"/>
      <c r="CB283" s="194"/>
      <c r="CC283" s="194"/>
      <c r="CD283" s="194"/>
      <c r="CE283" s="194"/>
      <c r="CF283" s="194"/>
      <c r="CG283" s="194"/>
      <c r="CH283" s="194"/>
      <c r="CI283" s="194"/>
      <c r="CJ283" s="194"/>
      <c r="CK283" s="194"/>
      <c r="CL283" s="194"/>
      <c r="CM283" s="194"/>
      <c r="CN283" s="194"/>
      <c r="CO283" s="194"/>
      <c r="CP283" s="194"/>
      <c r="CQ283" s="194"/>
      <c r="CR283" s="194"/>
      <c r="CS283" s="194"/>
      <c r="CT283" s="194"/>
      <c r="CU283" s="194"/>
      <c r="CV283" s="194"/>
      <c r="CW283" s="194"/>
      <c r="CX283" s="194"/>
      <c r="CY283" s="194"/>
      <c r="CZ283" s="194"/>
      <c r="DA283" s="194"/>
      <c r="DB283" s="194"/>
      <c r="DC283" s="194"/>
      <c r="DD283" s="194"/>
      <c r="DE283" s="194"/>
      <c r="DF283" s="194"/>
    </row>
    <row r="284" spans="2:110" s="192" customFormat="1" hidden="1" x14ac:dyDescent="0.35">
      <c r="B284" s="289"/>
      <c r="C284" s="289"/>
      <c r="Q284" s="193"/>
      <c r="R284" s="194">
        <f t="shared" si="167"/>
        <v>18</v>
      </c>
      <c r="S284" s="197">
        <f t="shared" si="133"/>
        <v>0.3888888888888889</v>
      </c>
      <c r="T284" s="194">
        <f t="shared" si="188"/>
        <v>0.69</v>
      </c>
      <c r="U284" s="194">
        <f t="shared" si="189"/>
        <v>1.4999999999999999E-4</v>
      </c>
      <c r="V284" s="197">
        <f t="shared" si="168"/>
        <v>0.3888888888888889</v>
      </c>
      <c r="W284" s="197">
        <f t="shared" si="134"/>
        <v>4.3555555555555561E-3</v>
      </c>
      <c r="X284" s="286">
        <f t="shared" si="135"/>
        <v>1</v>
      </c>
      <c r="Y284" s="286">
        <f t="shared" si="136"/>
        <v>0.17335969315081967</v>
      </c>
      <c r="Z284" s="286">
        <f t="shared" si="137"/>
        <v>0.54964853345132902</v>
      </c>
      <c r="AA284" s="286">
        <f t="shared" si="169"/>
        <v>0.17335969315081967</v>
      </c>
      <c r="AB284" s="197">
        <f t="shared" si="138"/>
        <v>0.36419974881911377</v>
      </c>
      <c r="AC284" s="287">
        <f t="shared" si="139"/>
        <v>4.4451203372005044E-7</v>
      </c>
      <c r="AD284" s="197">
        <f t="shared" si="170"/>
        <v>11.693936048110356</v>
      </c>
      <c r="AE284" s="197">
        <f t="shared" si="171"/>
        <v>35.08180814433107</v>
      </c>
      <c r="AF284" s="197">
        <f t="shared" si="172"/>
        <v>8.5178571428571423E-2</v>
      </c>
      <c r="AG284" s="197">
        <f t="shared" si="173"/>
        <v>0.25553571428571431</v>
      </c>
      <c r="AH284" s="197">
        <f t="shared" si="140"/>
        <v>0.11660930017110901</v>
      </c>
      <c r="AI284" s="197">
        <f t="shared" si="174"/>
        <v>0.11660930017110901</v>
      </c>
      <c r="AJ284" s="218">
        <f t="shared" si="141"/>
        <v>390.00000000000006</v>
      </c>
      <c r="AK284" s="197">
        <f t="shared" si="175"/>
        <v>6.0930617977437734E-2</v>
      </c>
      <c r="AL284" s="197">
        <f t="shared" si="176"/>
        <v>9.6203707235237593E-2</v>
      </c>
      <c r="AM284" s="197">
        <f t="shared" si="177"/>
        <v>4.0790371867740751E-3</v>
      </c>
      <c r="AN284" s="197">
        <f t="shared" si="142"/>
        <v>24.05</v>
      </c>
      <c r="AO284" s="197">
        <f t="shared" si="143"/>
        <v>21.69</v>
      </c>
      <c r="AP284" s="197">
        <f t="shared" si="178"/>
        <v>7.4093290390420161E-2</v>
      </c>
      <c r="AQ284" s="197">
        <f t="shared" si="179"/>
        <v>0.42250439890466829</v>
      </c>
      <c r="AR284" s="197">
        <f t="shared" si="180"/>
        <v>0.30589509873355925</v>
      </c>
      <c r="AS284" s="258">
        <f t="shared" si="181"/>
        <v>0.15228632177729159</v>
      </c>
      <c r="AT284" s="197">
        <f t="shared" si="144"/>
        <v>2.5974058656511614E-4</v>
      </c>
      <c r="AU284" s="194">
        <f t="shared" si="145"/>
        <v>21.19</v>
      </c>
      <c r="AV284" s="197">
        <f t="shared" si="146"/>
        <v>2.7E-2</v>
      </c>
      <c r="AW284" s="197">
        <f t="shared" si="147"/>
        <v>3.4260000000000002E-3</v>
      </c>
      <c r="AX284" s="197">
        <f t="shared" si="182"/>
        <v>6.1668000000000001E-2</v>
      </c>
      <c r="AY284" s="197">
        <f t="shared" si="148"/>
        <v>2.8867476000000005E-3</v>
      </c>
      <c r="AZ284" s="197">
        <f t="shared" si="149"/>
        <v>0</v>
      </c>
      <c r="BA284" s="197">
        <f t="shared" si="183"/>
        <v>7.2596940000000013E-2</v>
      </c>
      <c r="BB284" s="258">
        <f t="shared" si="150"/>
        <v>0.36575210336206115</v>
      </c>
      <c r="BC284" s="197">
        <f t="shared" si="151"/>
        <v>2.2380490766334034E-2</v>
      </c>
      <c r="BD284" s="197">
        <f t="shared" si="184"/>
        <v>4.4760981532668068E-3</v>
      </c>
      <c r="BE284" s="197">
        <f t="shared" si="185"/>
        <v>2.6856588919600841E-2</v>
      </c>
      <c r="BF284" s="197">
        <f t="shared" si="152"/>
        <v>0.20773291256157633</v>
      </c>
      <c r="BG284" s="197">
        <f t="shared" si="153"/>
        <v>5.4608303342508187E-4</v>
      </c>
      <c r="BH284" s="197">
        <f t="shared" si="154"/>
        <v>3.5336687086656722E-2</v>
      </c>
      <c r="BI284" s="197">
        <f t="shared" si="186"/>
        <v>0.44730899017824427</v>
      </c>
      <c r="BJ284" s="197">
        <f t="shared" si="155"/>
        <v>6.769615024661003</v>
      </c>
      <c r="BK284" s="288">
        <f t="shared" si="156"/>
        <v>0.93392401361838984</v>
      </c>
      <c r="BL284" s="197">
        <f t="shared" si="157"/>
        <v>0.37608972359227794</v>
      </c>
      <c r="BM284" s="197">
        <f t="shared" si="158"/>
        <v>7.4353030976985271E-2</v>
      </c>
      <c r="BN284" s="197">
        <f t="shared" si="159"/>
        <v>54.461181858619113</v>
      </c>
      <c r="BO284" s="197">
        <f t="shared" si="187"/>
        <v>0.2082789955950014</v>
      </c>
      <c r="BP284" s="197">
        <f t="shared" si="160"/>
        <v>65.620924669625111</v>
      </c>
      <c r="BQ284" s="197">
        <f t="shared" si="161"/>
        <v>9.9596940000000009E-2</v>
      </c>
      <c r="BR284" s="288">
        <f t="shared" si="162"/>
        <v>0.16008975919012108</v>
      </c>
      <c r="BS284" s="197">
        <f t="shared" si="163"/>
        <v>0.11660930017110901</v>
      </c>
      <c r="BT284" s="197">
        <f t="shared" si="164"/>
        <v>0.36419974881911377</v>
      </c>
      <c r="BU284" s="197">
        <f t="shared" si="165"/>
        <v>0.1713930788771201</v>
      </c>
      <c r="BV284" s="197">
        <f t="shared" si="166"/>
        <v>0.53530306917875781</v>
      </c>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94"/>
      <c r="DB284" s="194"/>
      <c r="DC284" s="194"/>
      <c r="DD284" s="194"/>
      <c r="DE284" s="194"/>
      <c r="DF284" s="194"/>
    </row>
    <row r="285" spans="2:110" s="192" customFormat="1" hidden="1" x14ac:dyDescent="0.35">
      <c r="B285" s="289"/>
      <c r="C285" s="289"/>
      <c r="Q285" s="193"/>
      <c r="R285" s="194">
        <f t="shared" si="167"/>
        <v>18</v>
      </c>
      <c r="S285" s="197">
        <f t="shared" si="133"/>
        <v>0.3888888888888889</v>
      </c>
      <c r="T285" s="194">
        <f t="shared" si="188"/>
        <v>0.69</v>
      </c>
      <c r="U285" s="194">
        <f t="shared" si="189"/>
        <v>1.4999999999999999E-4</v>
      </c>
      <c r="V285" s="197">
        <f t="shared" si="168"/>
        <v>0.3888888888888889</v>
      </c>
      <c r="W285" s="197">
        <f t="shared" si="134"/>
        <v>4.3555555555555561E-3</v>
      </c>
      <c r="X285" s="286">
        <f t="shared" si="135"/>
        <v>1</v>
      </c>
      <c r="Y285" s="286">
        <f t="shared" si="136"/>
        <v>0.17335969315081967</v>
      </c>
      <c r="Z285" s="286">
        <f t="shared" si="137"/>
        <v>0.54964853345132902</v>
      </c>
      <c r="AA285" s="286">
        <f t="shared" si="169"/>
        <v>0.17335969315081967</v>
      </c>
      <c r="AB285" s="197">
        <f t="shared" si="138"/>
        <v>0.36419974881911377</v>
      </c>
      <c r="AC285" s="287">
        <f t="shared" si="139"/>
        <v>4.4451203372005044E-7</v>
      </c>
      <c r="AD285" s="197">
        <f t="shared" si="170"/>
        <v>11.693936048110356</v>
      </c>
      <c r="AE285" s="197">
        <f t="shared" si="171"/>
        <v>35.08180814433107</v>
      </c>
      <c r="AF285" s="197">
        <f t="shared" si="172"/>
        <v>8.5178571428571423E-2</v>
      </c>
      <c r="AG285" s="197">
        <f t="shared" si="173"/>
        <v>0.25553571428571431</v>
      </c>
      <c r="AH285" s="197">
        <f t="shared" si="140"/>
        <v>0.11660930017110901</v>
      </c>
      <c r="AI285" s="197">
        <f t="shared" si="174"/>
        <v>0.11660930017110901</v>
      </c>
      <c r="AJ285" s="218">
        <f t="shared" si="141"/>
        <v>390.00000000000006</v>
      </c>
      <c r="AK285" s="197">
        <f t="shared" si="175"/>
        <v>6.0930617977437734E-2</v>
      </c>
      <c r="AL285" s="197">
        <f t="shared" si="176"/>
        <v>9.6203707235237593E-2</v>
      </c>
      <c r="AM285" s="197">
        <f t="shared" si="177"/>
        <v>4.0790371867740751E-3</v>
      </c>
      <c r="AN285" s="197">
        <f t="shared" si="142"/>
        <v>24.05</v>
      </c>
      <c r="AO285" s="197">
        <f t="shared" si="143"/>
        <v>21.69</v>
      </c>
      <c r="AP285" s="197">
        <f t="shared" si="178"/>
        <v>7.4093290390420161E-2</v>
      </c>
      <c r="AQ285" s="197">
        <f t="shared" si="179"/>
        <v>0.42250439890466829</v>
      </c>
      <c r="AR285" s="197">
        <f t="shared" si="180"/>
        <v>0.30589509873355925</v>
      </c>
      <c r="AS285" s="258">
        <f t="shared" si="181"/>
        <v>0.15228632177729159</v>
      </c>
      <c r="AT285" s="197">
        <f t="shared" si="144"/>
        <v>2.5974058656511614E-4</v>
      </c>
      <c r="AU285" s="194">
        <f t="shared" si="145"/>
        <v>21.19</v>
      </c>
      <c r="AV285" s="197">
        <f t="shared" si="146"/>
        <v>2.7E-2</v>
      </c>
      <c r="AW285" s="197">
        <f t="shared" si="147"/>
        <v>3.4260000000000002E-3</v>
      </c>
      <c r="AX285" s="197">
        <f t="shared" si="182"/>
        <v>6.1668000000000001E-2</v>
      </c>
      <c r="AY285" s="197">
        <f t="shared" si="148"/>
        <v>2.8867476000000005E-3</v>
      </c>
      <c r="AZ285" s="197">
        <f t="shared" si="149"/>
        <v>0</v>
      </c>
      <c r="BA285" s="197">
        <f t="shared" si="183"/>
        <v>7.2596940000000013E-2</v>
      </c>
      <c r="BB285" s="258">
        <f t="shared" si="150"/>
        <v>0.36575210336206115</v>
      </c>
      <c r="BC285" s="197">
        <f t="shared" si="151"/>
        <v>2.2380490766334034E-2</v>
      </c>
      <c r="BD285" s="197">
        <f t="shared" si="184"/>
        <v>4.4760981532668068E-3</v>
      </c>
      <c r="BE285" s="197">
        <f t="shared" si="185"/>
        <v>2.6856588919600841E-2</v>
      </c>
      <c r="BF285" s="197">
        <f t="shared" si="152"/>
        <v>0.20773291256157633</v>
      </c>
      <c r="BG285" s="197">
        <f t="shared" si="153"/>
        <v>5.4608303342508187E-4</v>
      </c>
      <c r="BH285" s="197">
        <f t="shared" si="154"/>
        <v>3.5336687086656722E-2</v>
      </c>
      <c r="BI285" s="197">
        <f t="shared" si="186"/>
        <v>0.44730899017824427</v>
      </c>
      <c r="BJ285" s="197">
        <f t="shared" si="155"/>
        <v>6.769615024661003</v>
      </c>
      <c r="BK285" s="288">
        <f t="shared" si="156"/>
        <v>0.93392401361838984</v>
      </c>
      <c r="BL285" s="197">
        <f t="shared" si="157"/>
        <v>0.37608972359227794</v>
      </c>
      <c r="BM285" s="197">
        <f t="shared" si="158"/>
        <v>7.4353030976985271E-2</v>
      </c>
      <c r="BN285" s="197">
        <f t="shared" si="159"/>
        <v>54.461181858619113</v>
      </c>
      <c r="BO285" s="197">
        <f t="shared" si="187"/>
        <v>0.2082789955950014</v>
      </c>
      <c r="BP285" s="197">
        <f t="shared" si="160"/>
        <v>65.620924669625111</v>
      </c>
      <c r="BQ285" s="197">
        <f t="shared" si="161"/>
        <v>9.9596940000000009E-2</v>
      </c>
      <c r="BR285" s="288">
        <f t="shared" si="162"/>
        <v>0.16008975919012108</v>
      </c>
      <c r="BS285" s="197">
        <f t="shared" si="163"/>
        <v>0.11660930017110901</v>
      </c>
      <c r="BT285" s="197">
        <f t="shared" si="164"/>
        <v>0.36419974881911377</v>
      </c>
      <c r="BU285" s="197">
        <f t="shared" si="165"/>
        <v>0.1713930788771201</v>
      </c>
      <c r="BV285" s="197">
        <f t="shared" si="166"/>
        <v>0.53530306917875781</v>
      </c>
      <c r="BW285" s="194"/>
      <c r="BX285" s="194"/>
      <c r="BY285" s="194"/>
      <c r="BZ285" s="194"/>
      <c r="CA285" s="194"/>
      <c r="CB285" s="194"/>
      <c r="CC285" s="194"/>
      <c r="CD285" s="194"/>
      <c r="CE285" s="194"/>
      <c r="CF285" s="194"/>
      <c r="CG285" s="194"/>
      <c r="CH285" s="194"/>
      <c r="CI285" s="194"/>
      <c r="CJ285" s="194"/>
      <c r="CK285" s="194"/>
      <c r="CL285" s="194"/>
      <c r="CM285" s="194"/>
      <c r="CN285" s="194"/>
      <c r="CO285" s="194"/>
      <c r="CP285" s="194"/>
      <c r="CQ285" s="194"/>
      <c r="CR285" s="194"/>
      <c r="CS285" s="194"/>
      <c r="CT285" s="194"/>
      <c r="CU285" s="194"/>
      <c r="CV285" s="194"/>
      <c r="CW285" s="194"/>
      <c r="CX285" s="194"/>
      <c r="CY285" s="194"/>
      <c r="CZ285" s="194"/>
      <c r="DA285" s="194"/>
      <c r="DB285" s="194"/>
      <c r="DC285" s="194"/>
      <c r="DD285" s="194"/>
      <c r="DE285" s="194"/>
      <c r="DF285" s="194"/>
    </row>
    <row r="286" spans="2:110" s="192" customFormat="1" hidden="1" x14ac:dyDescent="0.35">
      <c r="B286" s="289"/>
      <c r="C286" s="289"/>
      <c r="Q286" s="193"/>
      <c r="R286" s="194">
        <f t="shared" si="167"/>
        <v>18</v>
      </c>
      <c r="S286" s="197">
        <f t="shared" si="133"/>
        <v>0.3888888888888889</v>
      </c>
      <c r="T286" s="194">
        <f t="shared" si="188"/>
        <v>0.69</v>
      </c>
      <c r="U286" s="194">
        <f t="shared" si="189"/>
        <v>1.4999999999999999E-4</v>
      </c>
      <c r="V286" s="197">
        <f t="shared" si="168"/>
        <v>0.3888888888888889</v>
      </c>
      <c r="W286" s="197">
        <f t="shared" si="134"/>
        <v>4.3555555555555561E-3</v>
      </c>
      <c r="X286" s="286">
        <f t="shared" si="135"/>
        <v>1</v>
      </c>
      <c r="Y286" s="286">
        <f t="shared" si="136"/>
        <v>0.17335969315081967</v>
      </c>
      <c r="Z286" s="286">
        <f t="shared" si="137"/>
        <v>0.54964853345132902</v>
      </c>
      <c r="AA286" s="286">
        <f t="shared" si="169"/>
        <v>0.17335969315081967</v>
      </c>
      <c r="AB286" s="197">
        <f t="shared" si="138"/>
        <v>0.36419974881911377</v>
      </c>
      <c r="AC286" s="287">
        <f t="shared" si="139"/>
        <v>4.4451203372005044E-7</v>
      </c>
      <c r="AD286" s="197">
        <f t="shared" si="170"/>
        <v>11.693936048110356</v>
      </c>
      <c r="AE286" s="197">
        <f t="shared" si="171"/>
        <v>35.08180814433107</v>
      </c>
      <c r="AF286" s="197">
        <f t="shared" si="172"/>
        <v>8.5178571428571423E-2</v>
      </c>
      <c r="AG286" s="197">
        <f t="shared" si="173"/>
        <v>0.25553571428571431</v>
      </c>
      <c r="AH286" s="197">
        <f t="shared" si="140"/>
        <v>0.11660930017110901</v>
      </c>
      <c r="AI286" s="197">
        <f t="shared" si="174"/>
        <v>0.11660930017110901</v>
      </c>
      <c r="AJ286" s="218">
        <f t="shared" si="141"/>
        <v>390.00000000000006</v>
      </c>
      <c r="AK286" s="197">
        <f t="shared" si="175"/>
        <v>6.0930617977437734E-2</v>
      </c>
      <c r="AL286" s="197">
        <f t="shared" si="176"/>
        <v>9.6203707235237593E-2</v>
      </c>
      <c r="AM286" s="197">
        <f t="shared" si="177"/>
        <v>4.0790371867740751E-3</v>
      </c>
      <c r="AN286" s="197">
        <f t="shared" si="142"/>
        <v>24.05</v>
      </c>
      <c r="AO286" s="197">
        <f t="shared" si="143"/>
        <v>21.69</v>
      </c>
      <c r="AP286" s="197">
        <f t="shared" si="178"/>
        <v>7.4093290390420161E-2</v>
      </c>
      <c r="AQ286" s="197">
        <f t="shared" si="179"/>
        <v>0.42250439890466829</v>
      </c>
      <c r="AR286" s="197">
        <f t="shared" si="180"/>
        <v>0.30589509873355925</v>
      </c>
      <c r="AS286" s="258">
        <f t="shared" si="181"/>
        <v>0.15228632177729159</v>
      </c>
      <c r="AT286" s="197">
        <f t="shared" si="144"/>
        <v>2.5974058656511614E-4</v>
      </c>
      <c r="AU286" s="194">
        <f t="shared" si="145"/>
        <v>21.19</v>
      </c>
      <c r="AV286" s="197">
        <f t="shared" si="146"/>
        <v>2.7E-2</v>
      </c>
      <c r="AW286" s="197">
        <f t="shared" si="147"/>
        <v>3.4260000000000002E-3</v>
      </c>
      <c r="AX286" s="197">
        <f t="shared" si="182"/>
        <v>6.1668000000000001E-2</v>
      </c>
      <c r="AY286" s="197">
        <f t="shared" si="148"/>
        <v>2.8867476000000005E-3</v>
      </c>
      <c r="AZ286" s="197">
        <f t="shared" si="149"/>
        <v>0</v>
      </c>
      <c r="BA286" s="197">
        <f t="shared" si="183"/>
        <v>7.2596940000000013E-2</v>
      </c>
      <c r="BB286" s="258">
        <f t="shared" si="150"/>
        <v>0.36575210336206115</v>
      </c>
      <c r="BC286" s="197">
        <f t="shared" si="151"/>
        <v>2.2380490766334034E-2</v>
      </c>
      <c r="BD286" s="197">
        <f t="shared" si="184"/>
        <v>4.4760981532668068E-3</v>
      </c>
      <c r="BE286" s="197">
        <f t="shared" si="185"/>
        <v>2.6856588919600841E-2</v>
      </c>
      <c r="BF286" s="197">
        <f t="shared" si="152"/>
        <v>0.20773291256157633</v>
      </c>
      <c r="BG286" s="197">
        <f t="shared" si="153"/>
        <v>5.4608303342508187E-4</v>
      </c>
      <c r="BH286" s="197">
        <f t="shared" si="154"/>
        <v>3.5336687086656722E-2</v>
      </c>
      <c r="BI286" s="197">
        <f t="shared" si="186"/>
        <v>0.44730899017824427</v>
      </c>
      <c r="BJ286" s="197">
        <f t="shared" si="155"/>
        <v>6.769615024661003</v>
      </c>
      <c r="BK286" s="288">
        <f t="shared" si="156"/>
        <v>0.93392401361838984</v>
      </c>
      <c r="BL286" s="197">
        <f t="shared" si="157"/>
        <v>0.37608972359227794</v>
      </c>
      <c r="BM286" s="197">
        <f t="shared" si="158"/>
        <v>7.4353030976985271E-2</v>
      </c>
      <c r="BN286" s="197">
        <f t="shared" si="159"/>
        <v>54.461181858619113</v>
      </c>
      <c r="BO286" s="197">
        <f t="shared" si="187"/>
        <v>0.2082789955950014</v>
      </c>
      <c r="BP286" s="197">
        <f t="shared" si="160"/>
        <v>65.620924669625111</v>
      </c>
      <c r="BQ286" s="197">
        <f t="shared" si="161"/>
        <v>9.9596940000000009E-2</v>
      </c>
      <c r="BR286" s="288">
        <f t="shared" si="162"/>
        <v>0.16008975919012108</v>
      </c>
      <c r="BS286" s="197">
        <f t="shared" si="163"/>
        <v>0.11660930017110901</v>
      </c>
      <c r="BT286" s="197">
        <f t="shared" si="164"/>
        <v>0.36419974881911377</v>
      </c>
      <c r="BU286" s="197">
        <f t="shared" si="165"/>
        <v>0.1713930788771201</v>
      </c>
      <c r="BV286" s="197">
        <f t="shared" si="166"/>
        <v>0.53530306917875781</v>
      </c>
      <c r="BW286" s="194"/>
      <c r="BX286" s="194"/>
      <c r="BY286" s="194"/>
      <c r="BZ286" s="194"/>
      <c r="CA286" s="194"/>
      <c r="CB286" s="194"/>
      <c r="CC286" s="194"/>
      <c r="CD286" s="194"/>
      <c r="CE286" s="194"/>
      <c r="CF286" s="194"/>
      <c r="CG286" s="194"/>
      <c r="CH286" s="194"/>
      <c r="CI286" s="194"/>
      <c r="CJ286" s="194"/>
      <c r="CK286" s="194"/>
      <c r="CL286" s="194"/>
      <c r="CM286" s="194"/>
      <c r="CN286" s="194"/>
      <c r="CO286" s="194"/>
      <c r="CP286" s="194"/>
      <c r="CQ286" s="194"/>
      <c r="CR286" s="194"/>
      <c r="CS286" s="194"/>
      <c r="CT286" s="194"/>
      <c r="CU286" s="194"/>
      <c r="CV286" s="194"/>
      <c r="CW286" s="194"/>
      <c r="CX286" s="194"/>
      <c r="CY286" s="194"/>
      <c r="CZ286" s="194"/>
      <c r="DA286" s="194"/>
      <c r="DB286" s="194"/>
      <c r="DC286" s="194"/>
      <c r="DD286" s="194"/>
      <c r="DE286" s="194"/>
      <c r="DF286" s="194"/>
    </row>
    <row r="287" spans="2:110" s="192" customFormat="1" hidden="1" x14ac:dyDescent="0.35">
      <c r="B287" s="289"/>
      <c r="C287" s="289"/>
      <c r="Q287" s="193"/>
      <c r="R287" s="194">
        <f t="shared" si="167"/>
        <v>18</v>
      </c>
      <c r="S287" s="197">
        <f t="shared" si="133"/>
        <v>0.3888888888888889</v>
      </c>
      <c r="T287" s="194">
        <f t="shared" si="188"/>
        <v>0.69</v>
      </c>
      <c r="U287" s="194">
        <f t="shared" si="189"/>
        <v>1.4999999999999999E-4</v>
      </c>
      <c r="V287" s="197">
        <f t="shared" si="168"/>
        <v>0.3888888888888889</v>
      </c>
      <c r="W287" s="197">
        <f t="shared" si="134"/>
        <v>4.3555555555555561E-3</v>
      </c>
      <c r="X287" s="286">
        <f t="shared" si="135"/>
        <v>1</v>
      </c>
      <c r="Y287" s="286">
        <f t="shared" si="136"/>
        <v>0.17335969315081967</v>
      </c>
      <c r="Z287" s="286">
        <f t="shared" si="137"/>
        <v>0.54964853345132902</v>
      </c>
      <c r="AA287" s="286">
        <f t="shared" si="169"/>
        <v>0.17335969315081967</v>
      </c>
      <c r="AB287" s="197">
        <f t="shared" si="138"/>
        <v>0.36419974881911377</v>
      </c>
      <c r="AC287" s="287">
        <f t="shared" si="139"/>
        <v>4.4451203372005044E-7</v>
      </c>
      <c r="AD287" s="197">
        <f t="shared" si="170"/>
        <v>11.693936048110356</v>
      </c>
      <c r="AE287" s="197">
        <f t="shared" si="171"/>
        <v>35.08180814433107</v>
      </c>
      <c r="AF287" s="197">
        <f t="shared" si="172"/>
        <v>8.5178571428571423E-2</v>
      </c>
      <c r="AG287" s="197">
        <f t="shared" si="173"/>
        <v>0.25553571428571431</v>
      </c>
      <c r="AH287" s="197">
        <f t="shared" si="140"/>
        <v>0.11660930017110901</v>
      </c>
      <c r="AI287" s="197">
        <f t="shared" si="174"/>
        <v>0.11660930017110901</v>
      </c>
      <c r="AJ287" s="218">
        <f t="shared" si="141"/>
        <v>390.00000000000006</v>
      </c>
      <c r="AK287" s="197">
        <f t="shared" si="175"/>
        <v>6.0930617977437734E-2</v>
      </c>
      <c r="AL287" s="197">
        <f t="shared" si="176"/>
        <v>9.6203707235237593E-2</v>
      </c>
      <c r="AM287" s="197">
        <f t="shared" si="177"/>
        <v>4.0790371867740751E-3</v>
      </c>
      <c r="AN287" s="197">
        <f t="shared" si="142"/>
        <v>24.05</v>
      </c>
      <c r="AO287" s="197">
        <f t="shared" si="143"/>
        <v>21.69</v>
      </c>
      <c r="AP287" s="197">
        <f t="shared" si="178"/>
        <v>7.4093290390420161E-2</v>
      </c>
      <c r="AQ287" s="197">
        <f t="shared" si="179"/>
        <v>0.42250439890466829</v>
      </c>
      <c r="AR287" s="197">
        <f t="shared" si="180"/>
        <v>0.30589509873355925</v>
      </c>
      <c r="AS287" s="258">
        <f t="shared" si="181"/>
        <v>0.15228632177729159</v>
      </c>
      <c r="AT287" s="197">
        <f t="shared" si="144"/>
        <v>2.5974058656511614E-4</v>
      </c>
      <c r="AU287" s="194">
        <f t="shared" si="145"/>
        <v>21.19</v>
      </c>
      <c r="AV287" s="197">
        <f t="shared" si="146"/>
        <v>2.7E-2</v>
      </c>
      <c r="AW287" s="197">
        <f t="shared" si="147"/>
        <v>3.4260000000000002E-3</v>
      </c>
      <c r="AX287" s="197">
        <f t="shared" si="182"/>
        <v>6.1668000000000001E-2</v>
      </c>
      <c r="AY287" s="197">
        <f t="shared" si="148"/>
        <v>2.8867476000000005E-3</v>
      </c>
      <c r="AZ287" s="197">
        <f t="shared" si="149"/>
        <v>0</v>
      </c>
      <c r="BA287" s="197">
        <f t="shared" si="183"/>
        <v>7.2596940000000013E-2</v>
      </c>
      <c r="BB287" s="258">
        <f t="shared" si="150"/>
        <v>0.36575210336206115</v>
      </c>
      <c r="BC287" s="197">
        <f t="shared" si="151"/>
        <v>2.2380490766334034E-2</v>
      </c>
      <c r="BD287" s="197">
        <f t="shared" si="184"/>
        <v>4.4760981532668068E-3</v>
      </c>
      <c r="BE287" s="197">
        <f t="shared" si="185"/>
        <v>2.6856588919600841E-2</v>
      </c>
      <c r="BF287" s="197">
        <f t="shared" si="152"/>
        <v>0.20773291256157633</v>
      </c>
      <c r="BG287" s="197">
        <f t="shared" si="153"/>
        <v>5.4608303342508187E-4</v>
      </c>
      <c r="BH287" s="197">
        <f t="shared" si="154"/>
        <v>3.5336687086656722E-2</v>
      </c>
      <c r="BI287" s="197">
        <f t="shared" si="186"/>
        <v>0.44730899017824427</v>
      </c>
      <c r="BJ287" s="197">
        <f t="shared" si="155"/>
        <v>6.769615024661003</v>
      </c>
      <c r="BK287" s="288">
        <f t="shared" si="156"/>
        <v>0.93392401361838984</v>
      </c>
      <c r="BL287" s="197">
        <f t="shared" si="157"/>
        <v>0.37608972359227794</v>
      </c>
      <c r="BM287" s="197">
        <f t="shared" si="158"/>
        <v>7.4353030976985271E-2</v>
      </c>
      <c r="BN287" s="197">
        <f t="shared" si="159"/>
        <v>54.461181858619113</v>
      </c>
      <c r="BO287" s="197">
        <f t="shared" si="187"/>
        <v>0.2082789955950014</v>
      </c>
      <c r="BP287" s="197">
        <f t="shared" si="160"/>
        <v>65.620924669625111</v>
      </c>
      <c r="BQ287" s="197">
        <f t="shared" si="161"/>
        <v>9.9596940000000009E-2</v>
      </c>
      <c r="BR287" s="288">
        <f t="shared" si="162"/>
        <v>0.16008975919012108</v>
      </c>
      <c r="BS287" s="197">
        <f t="shared" si="163"/>
        <v>0.11660930017110901</v>
      </c>
      <c r="BT287" s="197">
        <f t="shared" si="164"/>
        <v>0.36419974881911377</v>
      </c>
      <c r="BU287" s="197">
        <f t="shared" si="165"/>
        <v>0.1713930788771201</v>
      </c>
      <c r="BV287" s="197">
        <f t="shared" si="166"/>
        <v>0.53530306917875781</v>
      </c>
      <c r="BW287" s="194"/>
      <c r="BX287" s="194"/>
      <c r="BY287" s="194"/>
      <c r="BZ287" s="194"/>
      <c r="CA287" s="194"/>
      <c r="CB287" s="194"/>
      <c r="CC287" s="194"/>
      <c r="CD287" s="194"/>
      <c r="CE287" s="194"/>
      <c r="CF287" s="194"/>
      <c r="CG287" s="194"/>
      <c r="CH287" s="194"/>
      <c r="CI287" s="194"/>
      <c r="CJ287" s="194"/>
      <c r="CK287" s="194"/>
      <c r="CL287" s="194"/>
      <c r="CM287" s="194"/>
      <c r="CN287" s="194"/>
      <c r="CO287" s="194"/>
      <c r="CP287" s="194"/>
      <c r="CQ287" s="194"/>
      <c r="CR287" s="194"/>
      <c r="CS287" s="194"/>
      <c r="CT287" s="194"/>
      <c r="CU287" s="194"/>
      <c r="CV287" s="194"/>
      <c r="CW287" s="194"/>
      <c r="CX287" s="194"/>
      <c r="CY287" s="194"/>
      <c r="CZ287" s="194"/>
      <c r="DA287" s="194"/>
      <c r="DB287" s="194"/>
      <c r="DC287" s="194"/>
      <c r="DD287" s="194"/>
      <c r="DE287" s="194"/>
      <c r="DF287" s="194"/>
    </row>
    <row r="288" spans="2:110" s="192" customFormat="1" hidden="1" x14ac:dyDescent="0.35">
      <c r="B288" s="289"/>
      <c r="C288" s="289"/>
      <c r="Q288" s="193"/>
      <c r="R288" s="194">
        <f t="shared" si="167"/>
        <v>18</v>
      </c>
      <c r="S288" s="197">
        <f t="shared" si="133"/>
        <v>0.3888888888888889</v>
      </c>
      <c r="T288" s="194">
        <f t="shared" si="188"/>
        <v>0.69</v>
      </c>
      <c r="U288" s="194">
        <f t="shared" si="189"/>
        <v>1.4999999999999999E-4</v>
      </c>
      <c r="V288" s="197">
        <f t="shared" si="168"/>
        <v>0.3888888888888889</v>
      </c>
      <c r="W288" s="197">
        <f t="shared" si="134"/>
        <v>4.3555555555555561E-3</v>
      </c>
      <c r="X288" s="286">
        <f t="shared" si="135"/>
        <v>1</v>
      </c>
      <c r="Y288" s="286">
        <f t="shared" si="136"/>
        <v>0.17335969315081967</v>
      </c>
      <c r="Z288" s="286">
        <f t="shared" si="137"/>
        <v>0.54964853345132902</v>
      </c>
      <c r="AA288" s="286">
        <f t="shared" si="169"/>
        <v>0.17335969315081967</v>
      </c>
      <c r="AB288" s="197">
        <f t="shared" si="138"/>
        <v>0.36419974881911377</v>
      </c>
      <c r="AC288" s="287">
        <f t="shared" si="139"/>
        <v>4.4451203372005044E-7</v>
      </c>
      <c r="AD288" s="197">
        <f t="shared" si="170"/>
        <v>11.693936048110356</v>
      </c>
      <c r="AE288" s="197">
        <f t="shared" si="171"/>
        <v>35.08180814433107</v>
      </c>
      <c r="AF288" s="197">
        <f t="shared" si="172"/>
        <v>8.5178571428571423E-2</v>
      </c>
      <c r="AG288" s="197">
        <f t="shared" si="173"/>
        <v>0.25553571428571431</v>
      </c>
      <c r="AH288" s="197">
        <f t="shared" si="140"/>
        <v>0.11660930017110901</v>
      </c>
      <c r="AI288" s="197">
        <f t="shared" si="174"/>
        <v>0.11660930017110901</v>
      </c>
      <c r="AJ288" s="218">
        <f t="shared" si="141"/>
        <v>390.00000000000006</v>
      </c>
      <c r="AK288" s="197">
        <f t="shared" si="175"/>
        <v>6.0930617977437734E-2</v>
      </c>
      <c r="AL288" s="197">
        <f t="shared" si="176"/>
        <v>9.6203707235237593E-2</v>
      </c>
      <c r="AM288" s="197">
        <f t="shared" si="177"/>
        <v>4.0790371867740751E-3</v>
      </c>
      <c r="AN288" s="197">
        <f t="shared" si="142"/>
        <v>24.05</v>
      </c>
      <c r="AO288" s="197">
        <f t="shared" si="143"/>
        <v>21.69</v>
      </c>
      <c r="AP288" s="197">
        <f t="shared" si="178"/>
        <v>7.4093290390420161E-2</v>
      </c>
      <c r="AQ288" s="197">
        <f t="shared" si="179"/>
        <v>0.42250439890466829</v>
      </c>
      <c r="AR288" s="197">
        <f t="shared" si="180"/>
        <v>0.30589509873355925</v>
      </c>
      <c r="AS288" s="258">
        <f t="shared" si="181"/>
        <v>0.15228632177729159</v>
      </c>
      <c r="AT288" s="197">
        <f t="shared" si="144"/>
        <v>2.5974058656511614E-4</v>
      </c>
      <c r="AU288" s="194">
        <f t="shared" si="145"/>
        <v>21.19</v>
      </c>
      <c r="AV288" s="197">
        <f t="shared" si="146"/>
        <v>2.7E-2</v>
      </c>
      <c r="AW288" s="197">
        <f t="shared" si="147"/>
        <v>3.4260000000000002E-3</v>
      </c>
      <c r="AX288" s="197">
        <f t="shared" si="182"/>
        <v>6.1668000000000001E-2</v>
      </c>
      <c r="AY288" s="197">
        <f t="shared" si="148"/>
        <v>2.8867476000000005E-3</v>
      </c>
      <c r="AZ288" s="197">
        <f t="shared" si="149"/>
        <v>0</v>
      </c>
      <c r="BA288" s="197">
        <f t="shared" si="183"/>
        <v>7.2596940000000013E-2</v>
      </c>
      <c r="BB288" s="258">
        <f t="shared" si="150"/>
        <v>0.36575210336206115</v>
      </c>
      <c r="BC288" s="197">
        <f t="shared" si="151"/>
        <v>2.2380490766334034E-2</v>
      </c>
      <c r="BD288" s="197">
        <f t="shared" si="184"/>
        <v>4.4760981532668068E-3</v>
      </c>
      <c r="BE288" s="197">
        <f t="shared" si="185"/>
        <v>2.6856588919600841E-2</v>
      </c>
      <c r="BF288" s="197">
        <f t="shared" si="152"/>
        <v>0.20773291256157633</v>
      </c>
      <c r="BG288" s="197">
        <f t="shared" si="153"/>
        <v>5.4608303342508187E-4</v>
      </c>
      <c r="BH288" s="197">
        <f t="shared" si="154"/>
        <v>3.5336687086656722E-2</v>
      </c>
      <c r="BI288" s="197">
        <f t="shared" si="186"/>
        <v>0.44730899017824427</v>
      </c>
      <c r="BJ288" s="197">
        <f t="shared" si="155"/>
        <v>6.769615024661003</v>
      </c>
      <c r="BK288" s="288">
        <f t="shared" si="156"/>
        <v>0.93392401361838984</v>
      </c>
      <c r="BL288" s="197">
        <f t="shared" si="157"/>
        <v>0.37608972359227794</v>
      </c>
      <c r="BM288" s="197">
        <f t="shared" si="158"/>
        <v>7.4353030976985271E-2</v>
      </c>
      <c r="BN288" s="197">
        <f t="shared" si="159"/>
        <v>54.461181858619113</v>
      </c>
      <c r="BO288" s="197">
        <f t="shared" si="187"/>
        <v>0.2082789955950014</v>
      </c>
      <c r="BP288" s="197">
        <f t="shared" si="160"/>
        <v>65.620924669625111</v>
      </c>
      <c r="BQ288" s="197">
        <f t="shared" si="161"/>
        <v>9.9596940000000009E-2</v>
      </c>
      <c r="BR288" s="288">
        <f t="shared" si="162"/>
        <v>0.16008975919012108</v>
      </c>
      <c r="BS288" s="197">
        <f t="shared" si="163"/>
        <v>0.11660930017110901</v>
      </c>
      <c r="BT288" s="197">
        <f t="shared" si="164"/>
        <v>0.36419974881911377</v>
      </c>
      <c r="BU288" s="197">
        <f t="shared" si="165"/>
        <v>0.1713930788771201</v>
      </c>
      <c r="BV288" s="197">
        <f t="shared" si="166"/>
        <v>0.53530306917875781</v>
      </c>
      <c r="BW288" s="194"/>
      <c r="BX288" s="194"/>
      <c r="BY288" s="194"/>
      <c r="BZ288" s="194"/>
      <c r="CA288" s="194"/>
      <c r="CB288" s="194"/>
      <c r="CC288" s="194"/>
      <c r="CD288" s="194"/>
      <c r="CE288" s="194"/>
      <c r="CF288" s="194"/>
      <c r="CG288" s="194"/>
      <c r="CH288" s="194"/>
      <c r="CI288" s="194"/>
      <c r="CJ288" s="194"/>
      <c r="CK288" s="194"/>
      <c r="CL288" s="194"/>
      <c r="CM288" s="194"/>
      <c r="CN288" s="194"/>
      <c r="CO288" s="194"/>
      <c r="CP288" s="194"/>
      <c r="CQ288" s="194"/>
      <c r="CR288" s="194"/>
      <c r="CS288" s="194"/>
      <c r="CT288" s="194"/>
      <c r="CU288" s="194"/>
      <c r="CV288" s="194"/>
      <c r="CW288" s="194"/>
      <c r="CX288" s="194"/>
      <c r="CY288" s="194"/>
      <c r="CZ288" s="194"/>
      <c r="DA288" s="194"/>
      <c r="DB288" s="194"/>
      <c r="DC288" s="194"/>
      <c r="DD288" s="194"/>
      <c r="DE288" s="194"/>
      <c r="DF288" s="194"/>
    </row>
    <row r="289" spans="2:110" s="192" customFormat="1" hidden="1" x14ac:dyDescent="0.35">
      <c r="B289" s="289"/>
      <c r="C289" s="289"/>
      <c r="Q289" s="193"/>
      <c r="R289" s="194">
        <f t="shared" si="167"/>
        <v>18</v>
      </c>
      <c r="S289" s="197">
        <f t="shared" si="133"/>
        <v>0.3888888888888889</v>
      </c>
      <c r="T289" s="194">
        <f t="shared" si="188"/>
        <v>0.69</v>
      </c>
      <c r="U289" s="194">
        <f t="shared" si="189"/>
        <v>1.4999999999999999E-4</v>
      </c>
      <c r="V289" s="197">
        <f t="shared" si="168"/>
        <v>0.3888888888888889</v>
      </c>
      <c r="W289" s="197">
        <f t="shared" si="134"/>
        <v>4.3555555555555561E-3</v>
      </c>
      <c r="X289" s="286">
        <f t="shared" si="135"/>
        <v>1</v>
      </c>
      <c r="Y289" s="286">
        <f t="shared" si="136"/>
        <v>0.17335969315081967</v>
      </c>
      <c r="Z289" s="286">
        <f t="shared" si="137"/>
        <v>0.54964853345132902</v>
      </c>
      <c r="AA289" s="286">
        <f t="shared" si="169"/>
        <v>0.17335969315081967</v>
      </c>
      <c r="AB289" s="197">
        <f t="shared" si="138"/>
        <v>0.36419974881911377</v>
      </c>
      <c r="AC289" s="287">
        <f t="shared" si="139"/>
        <v>4.4451203372005044E-7</v>
      </c>
      <c r="AD289" s="197">
        <f t="shared" si="170"/>
        <v>11.693936048110356</v>
      </c>
      <c r="AE289" s="197">
        <f t="shared" si="171"/>
        <v>35.08180814433107</v>
      </c>
      <c r="AF289" s="197">
        <f t="shared" si="172"/>
        <v>8.5178571428571423E-2</v>
      </c>
      <c r="AG289" s="197">
        <f t="shared" si="173"/>
        <v>0.25553571428571431</v>
      </c>
      <c r="AH289" s="197">
        <f t="shared" si="140"/>
        <v>0.11660930017110901</v>
      </c>
      <c r="AI289" s="197">
        <f t="shared" si="174"/>
        <v>0.11660930017110901</v>
      </c>
      <c r="AJ289" s="218">
        <f t="shared" si="141"/>
        <v>390.00000000000006</v>
      </c>
      <c r="AK289" s="197">
        <f t="shared" si="175"/>
        <v>6.0930617977437734E-2</v>
      </c>
      <c r="AL289" s="197">
        <f t="shared" si="176"/>
        <v>9.6203707235237593E-2</v>
      </c>
      <c r="AM289" s="197">
        <f t="shared" si="177"/>
        <v>4.0790371867740751E-3</v>
      </c>
      <c r="AN289" s="197">
        <f t="shared" si="142"/>
        <v>24.05</v>
      </c>
      <c r="AO289" s="197">
        <f t="shared" si="143"/>
        <v>21.69</v>
      </c>
      <c r="AP289" s="197">
        <f t="shared" si="178"/>
        <v>7.4093290390420161E-2</v>
      </c>
      <c r="AQ289" s="197">
        <f t="shared" si="179"/>
        <v>0.42250439890466829</v>
      </c>
      <c r="AR289" s="197">
        <f t="shared" si="180"/>
        <v>0.30589509873355925</v>
      </c>
      <c r="AS289" s="258">
        <f t="shared" si="181"/>
        <v>0.15228632177729159</v>
      </c>
      <c r="AT289" s="197">
        <f t="shared" si="144"/>
        <v>2.5974058656511614E-4</v>
      </c>
      <c r="AU289" s="194">
        <f t="shared" si="145"/>
        <v>21.19</v>
      </c>
      <c r="AV289" s="197">
        <f t="shared" si="146"/>
        <v>2.7E-2</v>
      </c>
      <c r="AW289" s="197">
        <f t="shared" si="147"/>
        <v>3.4260000000000002E-3</v>
      </c>
      <c r="AX289" s="197">
        <f t="shared" si="182"/>
        <v>6.1668000000000001E-2</v>
      </c>
      <c r="AY289" s="197">
        <f t="shared" si="148"/>
        <v>2.8867476000000005E-3</v>
      </c>
      <c r="AZ289" s="197">
        <f t="shared" si="149"/>
        <v>0</v>
      </c>
      <c r="BA289" s="197">
        <f t="shared" si="183"/>
        <v>7.2596940000000013E-2</v>
      </c>
      <c r="BB289" s="258">
        <f t="shared" si="150"/>
        <v>0.36575210336206115</v>
      </c>
      <c r="BC289" s="197">
        <f t="shared" si="151"/>
        <v>2.2380490766334034E-2</v>
      </c>
      <c r="BD289" s="197">
        <f t="shared" si="184"/>
        <v>4.4760981532668068E-3</v>
      </c>
      <c r="BE289" s="197">
        <f t="shared" si="185"/>
        <v>2.6856588919600841E-2</v>
      </c>
      <c r="BF289" s="197">
        <f t="shared" si="152"/>
        <v>0.20773291256157633</v>
      </c>
      <c r="BG289" s="197">
        <f t="shared" si="153"/>
        <v>5.4608303342508187E-4</v>
      </c>
      <c r="BH289" s="197">
        <f t="shared" si="154"/>
        <v>3.5336687086656722E-2</v>
      </c>
      <c r="BI289" s="197">
        <f t="shared" si="186"/>
        <v>0.44730899017824427</v>
      </c>
      <c r="BJ289" s="197">
        <f t="shared" si="155"/>
        <v>6.769615024661003</v>
      </c>
      <c r="BK289" s="288">
        <f t="shared" si="156"/>
        <v>0.93392401361838984</v>
      </c>
      <c r="BL289" s="197">
        <f t="shared" si="157"/>
        <v>0.37608972359227794</v>
      </c>
      <c r="BM289" s="197">
        <f t="shared" si="158"/>
        <v>7.4353030976985271E-2</v>
      </c>
      <c r="BN289" s="197">
        <f t="shared" si="159"/>
        <v>54.461181858619113</v>
      </c>
      <c r="BO289" s="197">
        <f t="shared" si="187"/>
        <v>0.2082789955950014</v>
      </c>
      <c r="BP289" s="197">
        <f t="shared" si="160"/>
        <v>65.620924669625111</v>
      </c>
      <c r="BQ289" s="197">
        <f t="shared" si="161"/>
        <v>9.9596940000000009E-2</v>
      </c>
      <c r="BR289" s="288">
        <f t="shared" si="162"/>
        <v>0.16008975919012108</v>
      </c>
      <c r="BS289" s="197">
        <f t="shared" si="163"/>
        <v>0.11660930017110901</v>
      </c>
      <c r="BT289" s="197">
        <f t="shared" si="164"/>
        <v>0.36419974881911377</v>
      </c>
      <c r="BU289" s="197">
        <f t="shared" si="165"/>
        <v>0.1713930788771201</v>
      </c>
      <c r="BV289" s="197">
        <f t="shared" si="166"/>
        <v>0.53530306917875781</v>
      </c>
      <c r="BW289" s="194"/>
      <c r="BX289" s="194"/>
      <c r="BY289" s="194"/>
      <c r="BZ289" s="194"/>
      <c r="CA289" s="194"/>
      <c r="CB289" s="194"/>
      <c r="CC289" s="194"/>
      <c r="CD289" s="194"/>
      <c r="CE289" s="194"/>
      <c r="CF289" s="194"/>
      <c r="CG289" s="194"/>
      <c r="CH289" s="194"/>
      <c r="CI289" s="194"/>
      <c r="CJ289" s="194"/>
      <c r="CK289" s="194"/>
      <c r="CL289" s="194"/>
      <c r="CM289" s="194"/>
      <c r="CN289" s="194"/>
      <c r="CO289" s="194"/>
      <c r="CP289" s="194"/>
      <c r="CQ289" s="194"/>
      <c r="CR289" s="194"/>
      <c r="CS289" s="194"/>
      <c r="CT289" s="194"/>
      <c r="CU289" s="194"/>
      <c r="CV289" s="194"/>
      <c r="CW289" s="194"/>
      <c r="CX289" s="194"/>
      <c r="CY289" s="194"/>
      <c r="CZ289" s="194"/>
      <c r="DA289" s="194"/>
      <c r="DB289" s="194"/>
      <c r="DC289" s="194"/>
      <c r="DD289" s="194"/>
      <c r="DE289" s="194"/>
      <c r="DF289" s="194"/>
    </row>
    <row r="290" spans="2:110" s="192" customFormat="1" hidden="1" x14ac:dyDescent="0.35">
      <c r="B290" s="289"/>
      <c r="C290" s="289"/>
      <c r="Q290" s="193"/>
      <c r="R290" s="194">
        <f t="shared" si="167"/>
        <v>18</v>
      </c>
      <c r="S290" s="197">
        <f t="shared" si="133"/>
        <v>0.3888888888888889</v>
      </c>
      <c r="T290" s="194">
        <f t="shared" si="188"/>
        <v>0.69</v>
      </c>
      <c r="U290" s="194">
        <f t="shared" si="189"/>
        <v>1.4999999999999999E-4</v>
      </c>
      <c r="V290" s="197">
        <f t="shared" si="168"/>
        <v>0.3888888888888889</v>
      </c>
      <c r="W290" s="197">
        <f t="shared" si="134"/>
        <v>4.3555555555555561E-3</v>
      </c>
      <c r="X290" s="286">
        <f t="shared" si="135"/>
        <v>1</v>
      </c>
      <c r="Y290" s="286">
        <f t="shared" si="136"/>
        <v>0.17335969315081967</v>
      </c>
      <c r="Z290" s="286">
        <f t="shared" si="137"/>
        <v>0.54964853345132902</v>
      </c>
      <c r="AA290" s="286">
        <f t="shared" si="169"/>
        <v>0.17335969315081967</v>
      </c>
      <c r="AB290" s="197">
        <f t="shared" si="138"/>
        <v>0.36419974881911377</v>
      </c>
      <c r="AC290" s="287">
        <f t="shared" si="139"/>
        <v>4.4451203372005044E-7</v>
      </c>
      <c r="AD290" s="197">
        <f t="shared" si="170"/>
        <v>11.693936048110356</v>
      </c>
      <c r="AE290" s="197">
        <f t="shared" si="171"/>
        <v>35.08180814433107</v>
      </c>
      <c r="AF290" s="197">
        <f t="shared" si="172"/>
        <v>8.5178571428571423E-2</v>
      </c>
      <c r="AG290" s="197">
        <f t="shared" si="173"/>
        <v>0.25553571428571431</v>
      </c>
      <c r="AH290" s="197">
        <f t="shared" si="140"/>
        <v>0.11660930017110901</v>
      </c>
      <c r="AI290" s="197">
        <f t="shared" si="174"/>
        <v>0.11660930017110901</v>
      </c>
      <c r="AJ290" s="218">
        <f t="shared" si="141"/>
        <v>390.00000000000006</v>
      </c>
      <c r="AK290" s="197">
        <f t="shared" si="175"/>
        <v>6.0930617977437734E-2</v>
      </c>
      <c r="AL290" s="197">
        <f t="shared" si="176"/>
        <v>9.6203707235237593E-2</v>
      </c>
      <c r="AM290" s="197">
        <f t="shared" si="177"/>
        <v>4.0790371867740751E-3</v>
      </c>
      <c r="AN290" s="197">
        <f t="shared" si="142"/>
        <v>24.05</v>
      </c>
      <c r="AO290" s="197">
        <f t="shared" si="143"/>
        <v>21.69</v>
      </c>
      <c r="AP290" s="197">
        <f t="shared" si="178"/>
        <v>7.4093290390420161E-2</v>
      </c>
      <c r="AQ290" s="197">
        <f t="shared" si="179"/>
        <v>0.42250439890466829</v>
      </c>
      <c r="AR290" s="197">
        <f t="shared" si="180"/>
        <v>0.30589509873355925</v>
      </c>
      <c r="AS290" s="258">
        <f t="shared" si="181"/>
        <v>0.15228632177729159</v>
      </c>
      <c r="AT290" s="197">
        <f t="shared" si="144"/>
        <v>2.5974058656511614E-4</v>
      </c>
      <c r="AU290" s="194">
        <f t="shared" si="145"/>
        <v>21.19</v>
      </c>
      <c r="AV290" s="197">
        <f t="shared" si="146"/>
        <v>2.7E-2</v>
      </c>
      <c r="AW290" s="197">
        <f t="shared" si="147"/>
        <v>3.4260000000000002E-3</v>
      </c>
      <c r="AX290" s="197">
        <f t="shared" si="182"/>
        <v>6.1668000000000001E-2</v>
      </c>
      <c r="AY290" s="197">
        <f t="shared" si="148"/>
        <v>2.8867476000000005E-3</v>
      </c>
      <c r="AZ290" s="197">
        <f t="shared" si="149"/>
        <v>0</v>
      </c>
      <c r="BA290" s="197">
        <f t="shared" si="183"/>
        <v>7.2596940000000013E-2</v>
      </c>
      <c r="BB290" s="258">
        <f t="shared" si="150"/>
        <v>0.36575210336206115</v>
      </c>
      <c r="BC290" s="197">
        <f t="shared" si="151"/>
        <v>2.2380490766334034E-2</v>
      </c>
      <c r="BD290" s="197">
        <f t="shared" si="184"/>
        <v>4.4760981532668068E-3</v>
      </c>
      <c r="BE290" s="197">
        <f t="shared" si="185"/>
        <v>2.6856588919600841E-2</v>
      </c>
      <c r="BF290" s="197">
        <f t="shared" si="152"/>
        <v>0.20773291256157633</v>
      </c>
      <c r="BG290" s="197">
        <f t="shared" si="153"/>
        <v>5.4608303342508187E-4</v>
      </c>
      <c r="BH290" s="197">
        <f t="shared" si="154"/>
        <v>3.5336687086656722E-2</v>
      </c>
      <c r="BI290" s="197">
        <f t="shared" si="186"/>
        <v>0.44730899017824427</v>
      </c>
      <c r="BJ290" s="197">
        <f t="shared" si="155"/>
        <v>6.769615024661003</v>
      </c>
      <c r="BK290" s="288">
        <f t="shared" si="156"/>
        <v>0.93392401361838984</v>
      </c>
      <c r="BL290" s="197">
        <f t="shared" si="157"/>
        <v>0.37608972359227794</v>
      </c>
      <c r="BM290" s="197">
        <f t="shared" si="158"/>
        <v>7.4353030976985271E-2</v>
      </c>
      <c r="BN290" s="197">
        <f t="shared" si="159"/>
        <v>54.461181858619113</v>
      </c>
      <c r="BO290" s="197">
        <f t="shared" si="187"/>
        <v>0.2082789955950014</v>
      </c>
      <c r="BP290" s="197">
        <f t="shared" si="160"/>
        <v>65.620924669625111</v>
      </c>
      <c r="BQ290" s="197">
        <f t="shared" si="161"/>
        <v>9.9596940000000009E-2</v>
      </c>
      <c r="BR290" s="288">
        <f t="shared" si="162"/>
        <v>0.16008975919012108</v>
      </c>
      <c r="BS290" s="197">
        <f t="shared" si="163"/>
        <v>0.11660930017110901</v>
      </c>
      <c r="BT290" s="197">
        <f t="shared" si="164"/>
        <v>0.36419974881911377</v>
      </c>
      <c r="BU290" s="197">
        <f t="shared" si="165"/>
        <v>0.1713930788771201</v>
      </c>
      <c r="BV290" s="197">
        <f t="shared" si="166"/>
        <v>0.53530306917875781</v>
      </c>
      <c r="BW290" s="194"/>
      <c r="BX290" s="194"/>
      <c r="BY290" s="194"/>
      <c r="BZ290" s="194"/>
      <c r="CA290" s="194"/>
      <c r="CB290" s="194"/>
      <c r="CC290" s="194"/>
      <c r="CD290" s="194"/>
      <c r="CE290" s="194"/>
      <c r="CF290" s="194"/>
      <c r="CG290" s="194"/>
      <c r="CH290" s="194"/>
      <c r="CI290" s="194"/>
      <c r="CJ290" s="194"/>
      <c r="CK290" s="194"/>
      <c r="CL290" s="194"/>
      <c r="CM290" s="194"/>
      <c r="CN290" s="194"/>
      <c r="CO290" s="194"/>
      <c r="CP290" s="194"/>
      <c r="CQ290" s="194"/>
      <c r="CR290" s="194"/>
      <c r="CS290" s="194"/>
      <c r="CT290" s="194"/>
      <c r="CU290" s="194"/>
      <c r="CV290" s="194"/>
      <c r="CW290" s="194"/>
      <c r="CX290" s="194"/>
      <c r="CY290" s="194"/>
      <c r="CZ290" s="194"/>
      <c r="DA290" s="194"/>
      <c r="DB290" s="194"/>
      <c r="DC290" s="194"/>
      <c r="DD290" s="194"/>
      <c r="DE290" s="194"/>
      <c r="DF290" s="194"/>
    </row>
    <row r="291" spans="2:110" s="192" customFormat="1" hidden="1" x14ac:dyDescent="0.35">
      <c r="B291" s="289"/>
      <c r="C291" s="289"/>
      <c r="Q291" s="193"/>
      <c r="R291" s="194">
        <f t="shared" si="167"/>
        <v>18</v>
      </c>
      <c r="S291" s="197">
        <f t="shared" si="133"/>
        <v>0.3888888888888889</v>
      </c>
      <c r="T291" s="194">
        <f t="shared" si="188"/>
        <v>0.69</v>
      </c>
      <c r="U291" s="194">
        <f t="shared" si="189"/>
        <v>1.4999999999999999E-4</v>
      </c>
      <c r="V291" s="197">
        <f t="shared" si="168"/>
        <v>0.3888888888888889</v>
      </c>
      <c r="W291" s="197">
        <f t="shared" si="134"/>
        <v>4.3555555555555561E-3</v>
      </c>
      <c r="X291" s="286">
        <f t="shared" si="135"/>
        <v>1</v>
      </c>
      <c r="Y291" s="286">
        <f t="shared" si="136"/>
        <v>0.17335969315081967</v>
      </c>
      <c r="Z291" s="286">
        <f t="shared" si="137"/>
        <v>0.54964853345132902</v>
      </c>
      <c r="AA291" s="286">
        <f t="shared" si="169"/>
        <v>0.17335969315081967</v>
      </c>
      <c r="AB291" s="197">
        <f t="shared" si="138"/>
        <v>0.36419974881911377</v>
      </c>
      <c r="AC291" s="287">
        <f t="shared" si="139"/>
        <v>4.4451203372005044E-7</v>
      </c>
      <c r="AD291" s="197">
        <f t="shared" si="170"/>
        <v>11.693936048110356</v>
      </c>
      <c r="AE291" s="197">
        <f t="shared" si="171"/>
        <v>35.08180814433107</v>
      </c>
      <c r="AF291" s="197">
        <f t="shared" si="172"/>
        <v>8.5178571428571423E-2</v>
      </c>
      <c r="AG291" s="197">
        <f t="shared" si="173"/>
        <v>0.25553571428571431</v>
      </c>
      <c r="AH291" s="197">
        <f t="shared" si="140"/>
        <v>0.11660930017110901</v>
      </c>
      <c r="AI291" s="197">
        <f t="shared" si="174"/>
        <v>0.11660930017110901</v>
      </c>
      <c r="AJ291" s="218">
        <f t="shared" si="141"/>
        <v>390.00000000000006</v>
      </c>
      <c r="AK291" s="197">
        <f t="shared" si="175"/>
        <v>6.0930617977437734E-2</v>
      </c>
      <c r="AL291" s="197">
        <f t="shared" si="176"/>
        <v>9.6203707235237593E-2</v>
      </c>
      <c r="AM291" s="197">
        <f t="shared" si="177"/>
        <v>4.0790371867740751E-3</v>
      </c>
      <c r="AN291" s="197">
        <f t="shared" si="142"/>
        <v>24.05</v>
      </c>
      <c r="AO291" s="197">
        <f t="shared" si="143"/>
        <v>21.69</v>
      </c>
      <c r="AP291" s="197">
        <f t="shared" si="178"/>
        <v>7.4093290390420161E-2</v>
      </c>
      <c r="AQ291" s="197">
        <f t="shared" si="179"/>
        <v>0.42250439890466829</v>
      </c>
      <c r="AR291" s="197">
        <f t="shared" si="180"/>
        <v>0.30589509873355925</v>
      </c>
      <c r="AS291" s="258">
        <f t="shared" si="181"/>
        <v>0.15228632177729159</v>
      </c>
      <c r="AT291" s="197">
        <f t="shared" si="144"/>
        <v>2.5974058656511614E-4</v>
      </c>
      <c r="AU291" s="194">
        <f t="shared" si="145"/>
        <v>21.19</v>
      </c>
      <c r="AV291" s="197">
        <f t="shared" si="146"/>
        <v>2.7E-2</v>
      </c>
      <c r="AW291" s="197">
        <f t="shared" si="147"/>
        <v>3.4260000000000002E-3</v>
      </c>
      <c r="AX291" s="197">
        <f t="shared" si="182"/>
        <v>6.1668000000000001E-2</v>
      </c>
      <c r="AY291" s="197">
        <f t="shared" si="148"/>
        <v>2.8867476000000005E-3</v>
      </c>
      <c r="AZ291" s="197">
        <f t="shared" si="149"/>
        <v>0</v>
      </c>
      <c r="BA291" s="197">
        <f t="shared" si="183"/>
        <v>7.2596940000000013E-2</v>
      </c>
      <c r="BB291" s="258">
        <f t="shared" si="150"/>
        <v>0.36575210336206115</v>
      </c>
      <c r="BC291" s="197">
        <f t="shared" si="151"/>
        <v>2.2380490766334034E-2</v>
      </c>
      <c r="BD291" s="197">
        <f t="shared" si="184"/>
        <v>4.4760981532668068E-3</v>
      </c>
      <c r="BE291" s="197">
        <f t="shared" si="185"/>
        <v>2.6856588919600841E-2</v>
      </c>
      <c r="BF291" s="197">
        <f t="shared" si="152"/>
        <v>0.20773291256157633</v>
      </c>
      <c r="BG291" s="197">
        <f t="shared" si="153"/>
        <v>5.4608303342508187E-4</v>
      </c>
      <c r="BH291" s="197">
        <f t="shared" si="154"/>
        <v>3.5336687086656722E-2</v>
      </c>
      <c r="BI291" s="197">
        <f t="shared" si="186"/>
        <v>0.44730899017824427</v>
      </c>
      <c r="BJ291" s="197">
        <f t="shared" si="155"/>
        <v>6.769615024661003</v>
      </c>
      <c r="BK291" s="288">
        <f t="shared" si="156"/>
        <v>0.93392401361838984</v>
      </c>
      <c r="BL291" s="197">
        <f t="shared" si="157"/>
        <v>0.37608972359227794</v>
      </c>
      <c r="BM291" s="197">
        <f t="shared" si="158"/>
        <v>7.4353030976985271E-2</v>
      </c>
      <c r="BN291" s="197">
        <f t="shared" si="159"/>
        <v>54.461181858619113</v>
      </c>
      <c r="BO291" s="197">
        <f t="shared" si="187"/>
        <v>0.2082789955950014</v>
      </c>
      <c r="BP291" s="197">
        <f t="shared" si="160"/>
        <v>65.620924669625111</v>
      </c>
      <c r="BQ291" s="197">
        <f t="shared" si="161"/>
        <v>9.9596940000000009E-2</v>
      </c>
      <c r="BR291" s="288">
        <f t="shared" si="162"/>
        <v>0.16008975919012108</v>
      </c>
      <c r="BS291" s="197">
        <f t="shared" si="163"/>
        <v>0.11660930017110901</v>
      </c>
      <c r="BT291" s="197">
        <f t="shared" si="164"/>
        <v>0.36419974881911377</v>
      </c>
      <c r="BU291" s="197">
        <f t="shared" si="165"/>
        <v>0.1713930788771201</v>
      </c>
      <c r="BV291" s="197">
        <f t="shared" si="166"/>
        <v>0.53530306917875781</v>
      </c>
      <c r="BW291" s="194"/>
      <c r="BX291" s="194"/>
      <c r="BY291" s="194"/>
      <c r="BZ291" s="194"/>
      <c r="CA291" s="194"/>
      <c r="CB291" s="194"/>
      <c r="CC291" s="194"/>
      <c r="CD291" s="194"/>
      <c r="CE291" s="194"/>
      <c r="CF291" s="194"/>
      <c r="CG291" s="194"/>
      <c r="CH291" s="194"/>
      <c r="CI291" s="194"/>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row>
    <row r="292" spans="2:110" s="192" customFormat="1" hidden="1" x14ac:dyDescent="0.35">
      <c r="B292" s="289"/>
      <c r="C292" s="289"/>
      <c r="Q292" s="193"/>
      <c r="R292" s="194">
        <f t="shared" si="167"/>
        <v>18</v>
      </c>
      <c r="S292" s="197">
        <f t="shared" si="133"/>
        <v>0.3888888888888889</v>
      </c>
      <c r="T292" s="194">
        <f t="shared" si="188"/>
        <v>0.69</v>
      </c>
      <c r="U292" s="194">
        <f t="shared" si="189"/>
        <v>1.4999999999999999E-4</v>
      </c>
      <c r="V292" s="197">
        <f t="shared" si="168"/>
        <v>0.3888888888888889</v>
      </c>
      <c r="W292" s="197">
        <f t="shared" si="134"/>
        <v>4.3555555555555561E-3</v>
      </c>
      <c r="X292" s="286">
        <f t="shared" si="135"/>
        <v>1</v>
      </c>
      <c r="Y292" s="286">
        <f t="shared" si="136"/>
        <v>0.17335969315081967</v>
      </c>
      <c r="Z292" s="286">
        <f t="shared" si="137"/>
        <v>0.54964853345132902</v>
      </c>
      <c r="AA292" s="286">
        <f t="shared" si="169"/>
        <v>0.17335969315081967</v>
      </c>
      <c r="AB292" s="197">
        <f t="shared" si="138"/>
        <v>0.36419974881911377</v>
      </c>
      <c r="AC292" s="287">
        <f t="shared" si="139"/>
        <v>4.4451203372005044E-7</v>
      </c>
      <c r="AD292" s="197">
        <f t="shared" si="170"/>
        <v>11.693936048110356</v>
      </c>
      <c r="AE292" s="197">
        <f t="shared" si="171"/>
        <v>35.08180814433107</v>
      </c>
      <c r="AF292" s="197">
        <f t="shared" si="172"/>
        <v>8.5178571428571423E-2</v>
      </c>
      <c r="AG292" s="197">
        <f t="shared" si="173"/>
        <v>0.25553571428571431</v>
      </c>
      <c r="AH292" s="197">
        <f t="shared" si="140"/>
        <v>0.11660930017110901</v>
      </c>
      <c r="AI292" s="197">
        <f t="shared" si="174"/>
        <v>0.11660930017110901</v>
      </c>
      <c r="AJ292" s="218">
        <f t="shared" si="141"/>
        <v>390.00000000000006</v>
      </c>
      <c r="AK292" s="197">
        <f t="shared" si="175"/>
        <v>6.0930617977437734E-2</v>
      </c>
      <c r="AL292" s="197">
        <f t="shared" si="176"/>
        <v>9.6203707235237593E-2</v>
      </c>
      <c r="AM292" s="197">
        <f t="shared" si="177"/>
        <v>4.0790371867740751E-3</v>
      </c>
      <c r="AN292" s="197">
        <f t="shared" si="142"/>
        <v>24.05</v>
      </c>
      <c r="AO292" s="197">
        <f t="shared" si="143"/>
        <v>21.69</v>
      </c>
      <c r="AP292" s="197">
        <f t="shared" si="178"/>
        <v>7.4093290390420161E-2</v>
      </c>
      <c r="AQ292" s="197">
        <f t="shared" si="179"/>
        <v>0.42250439890466829</v>
      </c>
      <c r="AR292" s="197">
        <f t="shared" si="180"/>
        <v>0.30589509873355925</v>
      </c>
      <c r="AS292" s="258">
        <f t="shared" si="181"/>
        <v>0.15228632177729159</v>
      </c>
      <c r="AT292" s="197">
        <f t="shared" si="144"/>
        <v>2.5974058656511614E-4</v>
      </c>
      <c r="AU292" s="194">
        <f t="shared" si="145"/>
        <v>21.19</v>
      </c>
      <c r="AV292" s="197">
        <f t="shared" si="146"/>
        <v>2.7E-2</v>
      </c>
      <c r="AW292" s="197">
        <f t="shared" si="147"/>
        <v>3.4260000000000002E-3</v>
      </c>
      <c r="AX292" s="197">
        <f t="shared" si="182"/>
        <v>6.1668000000000001E-2</v>
      </c>
      <c r="AY292" s="197">
        <f t="shared" si="148"/>
        <v>2.8867476000000005E-3</v>
      </c>
      <c r="AZ292" s="197">
        <f t="shared" si="149"/>
        <v>0</v>
      </c>
      <c r="BA292" s="197">
        <f t="shared" si="183"/>
        <v>7.2596940000000013E-2</v>
      </c>
      <c r="BB292" s="258">
        <f t="shared" si="150"/>
        <v>0.36575210336206115</v>
      </c>
      <c r="BC292" s="197">
        <f t="shared" si="151"/>
        <v>2.2380490766334034E-2</v>
      </c>
      <c r="BD292" s="197">
        <f t="shared" si="184"/>
        <v>4.4760981532668068E-3</v>
      </c>
      <c r="BE292" s="197">
        <f t="shared" si="185"/>
        <v>2.6856588919600841E-2</v>
      </c>
      <c r="BF292" s="197">
        <f t="shared" si="152"/>
        <v>0.20773291256157633</v>
      </c>
      <c r="BG292" s="197">
        <f t="shared" si="153"/>
        <v>5.4608303342508187E-4</v>
      </c>
      <c r="BH292" s="197">
        <f t="shared" si="154"/>
        <v>3.5336687086656722E-2</v>
      </c>
      <c r="BI292" s="197">
        <f t="shared" si="186"/>
        <v>0.44730899017824427</v>
      </c>
      <c r="BJ292" s="197">
        <f t="shared" si="155"/>
        <v>6.769615024661003</v>
      </c>
      <c r="BK292" s="288">
        <f t="shared" si="156"/>
        <v>0.93392401361838984</v>
      </c>
      <c r="BL292" s="197">
        <f t="shared" si="157"/>
        <v>0.37608972359227794</v>
      </c>
      <c r="BM292" s="197">
        <f t="shared" si="158"/>
        <v>7.4353030976985271E-2</v>
      </c>
      <c r="BN292" s="197">
        <f t="shared" si="159"/>
        <v>54.461181858619113</v>
      </c>
      <c r="BO292" s="197">
        <f t="shared" si="187"/>
        <v>0.2082789955950014</v>
      </c>
      <c r="BP292" s="197">
        <f t="shared" si="160"/>
        <v>65.620924669625111</v>
      </c>
      <c r="BQ292" s="197">
        <f t="shared" si="161"/>
        <v>9.9596940000000009E-2</v>
      </c>
      <c r="BR292" s="288">
        <f t="shared" si="162"/>
        <v>0.16008975919012108</v>
      </c>
      <c r="BS292" s="197">
        <f t="shared" si="163"/>
        <v>0.11660930017110901</v>
      </c>
      <c r="BT292" s="197">
        <f t="shared" si="164"/>
        <v>0.36419974881911377</v>
      </c>
      <c r="BU292" s="197">
        <f t="shared" si="165"/>
        <v>0.1713930788771201</v>
      </c>
      <c r="BV292" s="197">
        <f t="shared" si="166"/>
        <v>0.53530306917875781</v>
      </c>
      <c r="BW292" s="194"/>
      <c r="BX292" s="194"/>
      <c r="BY292" s="194"/>
      <c r="BZ292" s="194"/>
      <c r="CA292" s="194"/>
      <c r="CB292" s="194"/>
      <c r="CC292" s="194"/>
      <c r="CD292" s="194"/>
      <c r="CE292" s="194"/>
      <c r="CF292" s="194"/>
      <c r="CG292" s="194"/>
      <c r="CH292" s="194"/>
      <c r="CI292" s="194"/>
      <c r="CJ292" s="194"/>
      <c r="CK292" s="194"/>
      <c r="CL292" s="194"/>
      <c r="CM292" s="194"/>
      <c r="CN292" s="194"/>
      <c r="CO292" s="194"/>
      <c r="CP292" s="194"/>
      <c r="CQ292" s="194"/>
      <c r="CR292" s="194"/>
      <c r="CS292" s="194"/>
      <c r="CT292" s="194"/>
      <c r="CU292" s="194"/>
      <c r="CV292" s="194"/>
      <c r="CW292" s="194"/>
      <c r="CX292" s="194"/>
      <c r="CY292" s="194"/>
      <c r="CZ292" s="194"/>
      <c r="DA292" s="194"/>
      <c r="DB292" s="194"/>
      <c r="DC292" s="194"/>
      <c r="DD292" s="194"/>
      <c r="DE292" s="194"/>
      <c r="DF292" s="194"/>
    </row>
    <row r="293" spans="2:110" s="192" customFormat="1" hidden="1" x14ac:dyDescent="0.35">
      <c r="B293" s="289"/>
      <c r="C293" s="289"/>
      <c r="Q293" s="193"/>
      <c r="R293" s="194">
        <f t="shared" si="167"/>
        <v>18</v>
      </c>
      <c r="S293" s="197">
        <f t="shared" si="133"/>
        <v>0.3888888888888889</v>
      </c>
      <c r="T293" s="194">
        <f t="shared" si="188"/>
        <v>0.69</v>
      </c>
      <c r="U293" s="194">
        <f t="shared" si="189"/>
        <v>1.4999999999999999E-4</v>
      </c>
      <c r="V293" s="197">
        <f t="shared" si="168"/>
        <v>0.3888888888888889</v>
      </c>
      <c r="W293" s="197">
        <f t="shared" si="134"/>
        <v>4.3555555555555561E-3</v>
      </c>
      <c r="X293" s="286">
        <f t="shared" si="135"/>
        <v>1</v>
      </c>
      <c r="Y293" s="286">
        <f t="shared" si="136"/>
        <v>0.17335969315081967</v>
      </c>
      <c r="Z293" s="286">
        <f t="shared" si="137"/>
        <v>0.54964853345132902</v>
      </c>
      <c r="AA293" s="286">
        <f t="shared" si="169"/>
        <v>0.17335969315081967</v>
      </c>
      <c r="AB293" s="197">
        <f t="shared" si="138"/>
        <v>0.36419974881911377</v>
      </c>
      <c r="AC293" s="287">
        <f t="shared" si="139"/>
        <v>4.4451203372005044E-7</v>
      </c>
      <c r="AD293" s="197">
        <f t="shared" si="170"/>
        <v>11.693936048110356</v>
      </c>
      <c r="AE293" s="197">
        <f t="shared" si="171"/>
        <v>35.08180814433107</v>
      </c>
      <c r="AF293" s="197">
        <f t="shared" si="172"/>
        <v>8.5178571428571423E-2</v>
      </c>
      <c r="AG293" s="197">
        <f t="shared" si="173"/>
        <v>0.25553571428571431</v>
      </c>
      <c r="AH293" s="197">
        <f t="shared" si="140"/>
        <v>0.11660930017110901</v>
      </c>
      <c r="AI293" s="197">
        <f t="shared" si="174"/>
        <v>0.11660930017110901</v>
      </c>
      <c r="AJ293" s="218">
        <f t="shared" si="141"/>
        <v>390.00000000000006</v>
      </c>
      <c r="AK293" s="197">
        <f t="shared" si="175"/>
        <v>6.0930617977437734E-2</v>
      </c>
      <c r="AL293" s="197">
        <f t="shared" si="176"/>
        <v>9.6203707235237593E-2</v>
      </c>
      <c r="AM293" s="197">
        <f t="shared" si="177"/>
        <v>4.0790371867740751E-3</v>
      </c>
      <c r="AN293" s="197">
        <f t="shared" si="142"/>
        <v>24.05</v>
      </c>
      <c r="AO293" s="197">
        <f t="shared" si="143"/>
        <v>21.69</v>
      </c>
      <c r="AP293" s="197">
        <f t="shared" si="178"/>
        <v>7.4093290390420161E-2</v>
      </c>
      <c r="AQ293" s="197">
        <f t="shared" si="179"/>
        <v>0.42250439890466829</v>
      </c>
      <c r="AR293" s="197">
        <f t="shared" si="180"/>
        <v>0.30589509873355925</v>
      </c>
      <c r="AS293" s="258">
        <f t="shared" si="181"/>
        <v>0.15228632177729159</v>
      </c>
      <c r="AT293" s="197">
        <f t="shared" si="144"/>
        <v>2.5974058656511614E-4</v>
      </c>
      <c r="AU293" s="194">
        <f t="shared" si="145"/>
        <v>21.19</v>
      </c>
      <c r="AV293" s="197">
        <f t="shared" si="146"/>
        <v>2.7E-2</v>
      </c>
      <c r="AW293" s="197">
        <f t="shared" si="147"/>
        <v>3.4260000000000002E-3</v>
      </c>
      <c r="AX293" s="197">
        <f t="shared" si="182"/>
        <v>6.1668000000000001E-2</v>
      </c>
      <c r="AY293" s="197">
        <f t="shared" si="148"/>
        <v>2.8867476000000005E-3</v>
      </c>
      <c r="AZ293" s="197">
        <f t="shared" si="149"/>
        <v>0</v>
      </c>
      <c r="BA293" s="197">
        <f t="shared" si="183"/>
        <v>7.2596940000000013E-2</v>
      </c>
      <c r="BB293" s="258">
        <f t="shared" si="150"/>
        <v>0.36575210336206115</v>
      </c>
      <c r="BC293" s="197">
        <f t="shared" si="151"/>
        <v>2.2380490766334034E-2</v>
      </c>
      <c r="BD293" s="197">
        <f t="shared" si="184"/>
        <v>4.4760981532668068E-3</v>
      </c>
      <c r="BE293" s="197">
        <f t="shared" si="185"/>
        <v>2.6856588919600841E-2</v>
      </c>
      <c r="BF293" s="197">
        <f t="shared" si="152"/>
        <v>0.20773291256157633</v>
      </c>
      <c r="BG293" s="197">
        <f t="shared" si="153"/>
        <v>5.4608303342508187E-4</v>
      </c>
      <c r="BH293" s="197">
        <f t="shared" si="154"/>
        <v>3.5336687086656722E-2</v>
      </c>
      <c r="BI293" s="197">
        <f t="shared" si="186"/>
        <v>0.44730899017824427</v>
      </c>
      <c r="BJ293" s="197">
        <f t="shared" si="155"/>
        <v>6.769615024661003</v>
      </c>
      <c r="BK293" s="288">
        <f t="shared" si="156"/>
        <v>0.93392401361838984</v>
      </c>
      <c r="BL293" s="197">
        <f t="shared" si="157"/>
        <v>0.37608972359227794</v>
      </c>
      <c r="BM293" s="197">
        <f t="shared" si="158"/>
        <v>7.4353030976985271E-2</v>
      </c>
      <c r="BN293" s="197">
        <f t="shared" si="159"/>
        <v>54.461181858619113</v>
      </c>
      <c r="BO293" s="197">
        <f t="shared" si="187"/>
        <v>0.2082789955950014</v>
      </c>
      <c r="BP293" s="197">
        <f t="shared" si="160"/>
        <v>65.620924669625111</v>
      </c>
      <c r="BQ293" s="197">
        <f t="shared" si="161"/>
        <v>9.9596940000000009E-2</v>
      </c>
      <c r="BR293" s="288">
        <f t="shared" si="162"/>
        <v>0.16008975919012108</v>
      </c>
      <c r="BS293" s="197">
        <f t="shared" si="163"/>
        <v>0.11660930017110901</v>
      </c>
      <c r="BT293" s="197">
        <f t="shared" si="164"/>
        <v>0.36419974881911377</v>
      </c>
      <c r="BU293" s="197">
        <f t="shared" si="165"/>
        <v>0.1713930788771201</v>
      </c>
      <c r="BV293" s="197">
        <f t="shared" si="166"/>
        <v>0.53530306917875781</v>
      </c>
      <c r="BW293" s="194"/>
      <c r="BX293" s="194"/>
      <c r="BY293" s="194"/>
      <c r="BZ293" s="194"/>
      <c r="CA293" s="194"/>
      <c r="CB293" s="194"/>
      <c r="CC293" s="194"/>
      <c r="CD293" s="194"/>
      <c r="CE293" s="194"/>
      <c r="CF293" s="194"/>
      <c r="CG293" s="194"/>
      <c r="CH293" s="194"/>
      <c r="CI293" s="194"/>
      <c r="CJ293" s="194"/>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row>
    <row r="294" spans="2:110" s="192" customFormat="1" hidden="1" x14ac:dyDescent="0.35">
      <c r="B294" s="289"/>
      <c r="C294" s="289"/>
      <c r="Q294" s="193"/>
      <c r="R294" s="194">
        <f t="shared" si="167"/>
        <v>18</v>
      </c>
      <c r="S294" s="197">
        <f t="shared" si="133"/>
        <v>0.3888888888888889</v>
      </c>
      <c r="T294" s="194">
        <f t="shared" si="188"/>
        <v>0.69</v>
      </c>
      <c r="U294" s="194">
        <f t="shared" si="189"/>
        <v>1.4999999999999999E-4</v>
      </c>
      <c r="V294" s="197">
        <f t="shared" si="168"/>
        <v>0.3888888888888889</v>
      </c>
      <c r="W294" s="197">
        <f t="shared" si="134"/>
        <v>4.3555555555555561E-3</v>
      </c>
      <c r="X294" s="286">
        <f t="shared" si="135"/>
        <v>1</v>
      </c>
      <c r="Y294" s="286">
        <f t="shared" si="136"/>
        <v>0.17335969315081967</v>
      </c>
      <c r="Z294" s="286">
        <f t="shared" si="137"/>
        <v>0.54964853345132902</v>
      </c>
      <c r="AA294" s="286">
        <f t="shared" si="169"/>
        <v>0.17335969315081967</v>
      </c>
      <c r="AB294" s="197">
        <f t="shared" si="138"/>
        <v>0.36419974881911377</v>
      </c>
      <c r="AC294" s="287">
        <f t="shared" si="139"/>
        <v>4.4451203372005044E-7</v>
      </c>
      <c r="AD294" s="197">
        <f t="shared" si="170"/>
        <v>11.693936048110356</v>
      </c>
      <c r="AE294" s="197">
        <f t="shared" si="171"/>
        <v>35.08180814433107</v>
      </c>
      <c r="AF294" s="197">
        <f t="shared" si="172"/>
        <v>8.5178571428571423E-2</v>
      </c>
      <c r="AG294" s="197">
        <f t="shared" si="173"/>
        <v>0.25553571428571431</v>
      </c>
      <c r="AH294" s="197">
        <f t="shared" si="140"/>
        <v>0.11660930017110901</v>
      </c>
      <c r="AI294" s="197">
        <f t="shared" si="174"/>
        <v>0.11660930017110901</v>
      </c>
      <c r="AJ294" s="218">
        <f t="shared" si="141"/>
        <v>390.00000000000006</v>
      </c>
      <c r="AK294" s="197">
        <f t="shared" si="175"/>
        <v>6.0930617977437734E-2</v>
      </c>
      <c r="AL294" s="197">
        <f t="shared" si="176"/>
        <v>9.6203707235237593E-2</v>
      </c>
      <c r="AM294" s="197">
        <f t="shared" si="177"/>
        <v>4.0790371867740751E-3</v>
      </c>
      <c r="AN294" s="197">
        <f t="shared" si="142"/>
        <v>24.05</v>
      </c>
      <c r="AO294" s="197">
        <f t="shared" si="143"/>
        <v>21.69</v>
      </c>
      <c r="AP294" s="197">
        <f t="shared" si="178"/>
        <v>7.4093290390420161E-2</v>
      </c>
      <c r="AQ294" s="197">
        <f t="shared" si="179"/>
        <v>0.42250439890466829</v>
      </c>
      <c r="AR294" s="197">
        <f t="shared" si="180"/>
        <v>0.30589509873355925</v>
      </c>
      <c r="AS294" s="258">
        <f t="shared" si="181"/>
        <v>0.15228632177729159</v>
      </c>
      <c r="AT294" s="197">
        <f t="shared" si="144"/>
        <v>2.5974058656511614E-4</v>
      </c>
      <c r="AU294" s="194">
        <f t="shared" si="145"/>
        <v>21.19</v>
      </c>
      <c r="AV294" s="197">
        <f t="shared" si="146"/>
        <v>2.7E-2</v>
      </c>
      <c r="AW294" s="197">
        <f t="shared" si="147"/>
        <v>3.4260000000000002E-3</v>
      </c>
      <c r="AX294" s="197">
        <f t="shared" si="182"/>
        <v>6.1668000000000001E-2</v>
      </c>
      <c r="AY294" s="197">
        <f t="shared" si="148"/>
        <v>2.8867476000000005E-3</v>
      </c>
      <c r="AZ294" s="197">
        <f t="shared" si="149"/>
        <v>0</v>
      </c>
      <c r="BA294" s="197">
        <f t="shared" si="183"/>
        <v>7.2596940000000013E-2</v>
      </c>
      <c r="BB294" s="258">
        <f t="shared" si="150"/>
        <v>0.36575210336206115</v>
      </c>
      <c r="BC294" s="197">
        <f t="shared" si="151"/>
        <v>2.2380490766334034E-2</v>
      </c>
      <c r="BD294" s="197">
        <f t="shared" si="184"/>
        <v>4.4760981532668068E-3</v>
      </c>
      <c r="BE294" s="197">
        <f t="shared" si="185"/>
        <v>2.6856588919600841E-2</v>
      </c>
      <c r="BF294" s="197">
        <f t="shared" si="152"/>
        <v>0.20773291256157633</v>
      </c>
      <c r="BG294" s="197">
        <f t="shared" si="153"/>
        <v>5.4608303342508187E-4</v>
      </c>
      <c r="BH294" s="197">
        <f t="shared" si="154"/>
        <v>3.5336687086656722E-2</v>
      </c>
      <c r="BI294" s="197">
        <f t="shared" si="186"/>
        <v>0.44730899017824427</v>
      </c>
      <c r="BJ294" s="197">
        <f t="shared" si="155"/>
        <v>6.769615024661003</v>
      </c>
      <c r="BK294" s="288">
        <f t="shared" si="156"/>
        <v>0.93392401361838984</v>
      </c>
      <c r="BL294" s="197">
        <f t="shared" si="157"/>
        <v>0.37608972359227794</v>
      </c>
      <c r="BM294" s="197">
        <f t="shared" si="158"/>
        <v>7.4353030976985271E-2</v>
      </c>
      <c r="BN294" s="197">
        <f t="shared" si="159"/>
        <v>54.461181858619113</v>
      </c>
      <c r="BO294" s="197">
        <f t="shared" si="187"/>
        <v>0.2082789955950014</v>
      </c>
      <c r="BP294" s="197">
        <f t="shared" si="160"/>
        <v>65.620924669625111</v>
      </c>
      <c r="BQ294" s="197">
        <f t="shared" si="161"/>
        <v>9.9596940000000009E-2</v>
      </c>
      <c r="BR294" s="288">
        <f t="shared" si="162"/>
        <v>0.16008975919012108</v>
      </c>
      <c r="BS294" s="197">
        <f t="shared" si="163"/>
        <v>0.11660930017110901</v>
      </c>
      <c r="BT294" s="197">
        <f t="shared" si="164"/>
        <v>0.36419974881911377</v>
      </c>
      <c r="BU294" s="197">
        <f t="shared" si="165"/>
        <v>0.1713930788771201</v>
      </c>
      <c r="BV294" s="197">
        <f t="shared" si="166"/>
        <v>0.53530306917875781</v>
      </c>
      <c r="BW294" s="194"/>
      <c r="BX294" s="194"/>
      <c r="BY294" s="194"/>
      <c r="BZ294" s="194"/>
      <c r="CA294" s="194"/>
      <c r="CB294" s="194"/>
      <c r="CC294" s="194"/>
      <c r="CD294" s="194"/>
      <c r="CE294" s="194"/>
      <c r="CF294" s="194"/>
      <c r="CG294" s="194"/>
      <c r="CH294" s="194"/>
      <c r="CI294" s="194"/>
      <c r="CJ294" s="194"/>
      <c r="CK294" s="194"/>
      <c r="CL294" s="194"/>
      <c r="CM294" s="194"/>
      <c r="CN294" s="194"/>
      <c r="CO294" s="194"/>
      <c r="CP294" s="194"/>
      <c r="CQ294" s="194"/>
      <c r="CR294" s="194"/>
      <c r="CS294" s="194"/>
      <c r="CT294" s="194"/>
      <c r="CU294" s="194"/>
      <c r="CV294" s="194"/>
      <c r="CW294" s="194"/>
      <c r="CX294" s="194"/>
      <c r="CY294" s="194"/>
      <c r="CZ294" s="194"/>
      <c r="DA294" s="194"/>
      <c r="DB294" s="194"/>
      <c r="DC294" s="194"/>
      <c r="DD294" s="194"/>
      <c r="DE294" s="194"/>
      <c r="DF294" s="194"/>
    </row>
    <row r="295" spans="2:110" s="192" customFormat="1" hidden="1" x14ac:dyDescent="0.35">
      <c r="B295" s="289"/>
      <c r="C295" s="289"/>
      <c r="Q295" s="193"/>
      <c r="R295" s="194">
        <f t="shared" si="167"/>
        <v>18</v>
      </c>
      <c r="S295" s="197">
        <f t="shared" si="133"/>
        <v>0.3888888888888889</v>
      </c>
      <c r="T295" s="194">
        <f t="shared" si="188"/>
        <v>0.69</v>
      </c>
      <c r="U295" s="194">
        <f t="shared" si="189"/>
        <v>1.4999999999999999E-4</v>
      </c>
      <c r="V295" s="197">
        <f t="shared" si="168"/>
        <v>0.3888888888888889</v>
      </c>
      <c r="W295" s="197">
        <f t="shared" si="134"/>
        <v>4.3555555555555561E-3</v>
      </c>
      <c r="X295" s="286">
        <f t="shared" si="135"/>
        <v>1</v>
      </c>
      <c r="Y295" s="286">
        <f t="shared" si="136"/>
        <v>0.17335969315081967</v>
      </c>
      <c r="Z295" s="286">
        <f t="shared" si="137"/>
        <v>0.54964853345132902</v>
      </c>
      <c r="AA295" s="286">
        <f t="shared" si="169"/>
        <v>0.17335969315081967</v>
      </c>
      <c r="AB295" s="197">
        <f t="shared" si="138"/>
        <v>0.36419974881911377</v>
      </c>
      <c r="AC295" s="287">
        <f t="shared" si="139"/>
        <v>4.4451203372005044E-7</v>
      </c>
      <c r="AD295" s="197">
        <f t="shared" si="170"/>
        <v>11.693936048110356</v>
      </c>
      <c r="AE295" s="197">
        <f t="shared" si="171"/>
        <v>35.08180814433107</v>
      </c>
      <c r="AF295" s="197">
        <f t="shared" si="172"/>
        <v>8.5178571428571423E-2</v>
      </c>
      <c r="AG295" s="197">
        <f t="shared" si="173"/>
        <v>0.25553571428571431</v>
      </c>
      <c r="AH295" s="197">
        <f t="shared" si="140"/>
        <v>0.11660930017110901</v>
      </c>
      <c r="AI295" s="197">
        <f t="shared" si="174"/>
        <v>0.11660930017110901</v>
      </c>
      <c r="AJ295" s="218">
        <f t="shared" si="141"/>
        <v>390.00000000000006</v>
      </c>
      <c r="AK295" s="197">
        <f t="shared" si="175"/>
        <v>6.0930617977437734E-2</v>
      </c>
      <c r="AL295" s="197">
        <f t="shared" si="176"/>
        <v>9.6203707235237593E-2</v>
      </c>
      <c r="AM295" s="197">
        <f t="shared" si="177"/>
        <v>4.0790371867740751E-3</v>
      </c>
      <c r="AN295" s="197">
        <f t="shared" si="142"/>
        <v>24.05</v>
      </c>
      <c r="AO295" s="197">
        <f t="shared" si="143"/>
        <v>21.69</v>
      </c>
      <c r="AP295" s="197">
        <f t="shared" si="178"/>
        <v>7.4093290390420161E-2</v>
      </c>
      <c r="AQ295" s="197">
        <f t="shared" si="179"/>
        <v>0.42250439890466829</v>
      </c>
      <c r="AR295" s="197">
        <f t="shared" si="180"/>
        <v>0.30589509873355925</v>
      </c>
      <c r="AS295" s="258">
        <f t="shared" si="181"/>
        <v>0.15228632177729159</v>
      </c>
      <c r="AT295" s="197">
        <f t="shared" si="144"/>
        <v>2.5974058656511614E-4</v>
      </c>
      <c r="AU295" s="194">
        <f t="shared" si="145"/>
        <v>21.19</v>
      </c>
      <c r="AV295" s="197">
        <f t="shared" si="146"/>
        <v>2.7E-2</v>
      </c>
      <c r="AW295" s="197">
        <f t="shared" si="147"/>
        <v>3.4260000000000002E-3</v>
      </c>
      <c r="AX295" s="197">
        <f t="shared" si="182"/>
        <v>6.1668000000000001E-2</v>
      </c>
      <c r="AY295" s="197">
        <f t="shared" si="148"/>
        <v>2.8867476000000005E-3</v>
      </c>
      <c r="AZ295" s="197">
        <f t="shared" si="149"/>
        <v>0</v>
      </c>
      <c r="BA295" s="197">
        <f t="shared" si="183"/>
        <v>7.2596940000000013E-2</v>
      </c>
      <c r="BB295" s="258">
        <f t="shared" si="150"/>
        <v>0.36575210336206115</v>
      </c>
      <c r="BC295" s="197">
        <f t="shared" si="151"/>
        <v>2.2380490766334034E-2</v>
      </c>
      <c r="BD295" s="197">
        <f t="shared" si="184"/>
        <v>4.4760981532668068E-3</v>
      </c>
      <c r="BE295" s="197">
        <f t="shared" si="185"/>
        <v>2.6856588919600841E-2</v>
      </c>
      <c r="BF295" s="197">
        <f t="shared" si="152"/>
        <v>0.20773291256157633</v>
      </c>
      <c r="BG295" s="197">
        <f t="shared" si="153"/>
        <v>5.4608303342508187E-4</v>
      </c>
      <c r="BH295" s="197">
        <f t="shared" si="154"/>
        <v>3.5336687086656722E-2</v>
      </c>
      <c r="BI295" s="197">
        <f t="shared" si="186"/>
        <v>0.44730899017824427</v>
      </c>
      <c r="BJ295" s="197">
        <f t="shared" si="155"/>
        <v>6.769615024661003</v>
      </c>
      <c r="BK295" s="288">
        <f t="shared" si="156"/>
        <v>0.93392401361838984</v>
      </c>
      <c r="BL295" s="197">
        <f t="shared" si="157"/>
        <v>0.37608972359227794</v>
      </c>
      <c r="BM295" s="197">
        <f t="shared" si="158"/>
        <v>7.4353030976985271E-2</v>
      </c>
      <c r="BN295" s="197">
        <f t="shared" si="159"/>
        <v>54.461181858619113</v>
      </c>
      <c r="BO295" s="197">
        <f t="shared" si="187"/>
        <v>0.2082789955950014</v>
      </c>
      <c r="BP295" s="197">
        <f t="shared" si="160"/>
        <v>65.620924669625111</v>
      </c>
      <c r="BQ295" s="197">
        <f t="shared" si="161"/>
        <v>9.9596940000000009E-2</v>
      </c>
      <c r="BR295" s="288">
        <f t="shared" si="162"/>
        <v>0.16008975919012108</v>
      </c>
      <c r="BS295" s="197">
        <f t="shared" si="163"/>
        <v>0.11660930017110901</v>
      </c>
      <c r="BT295" s="197">
        <f t="shared" si="164"/>
        <v>0.36419974881911377</v>
      </c>
      <c r="BU295" s="197">
        <f t="shared" si="165"/>
        <v>0.1713930788771201</v>
      </c>
      <c r="BV295" s="197">
        <f t="shared" si="166"/>
        <v>0.53530306917875781</v>
      </c>
      <c r="BW295" s="194"/>
      <c r="BX295" s="194"/>
      <c r="BY295" s="194"/>
      <c r="BZ295" s="194"/>
      <c r="CA295" s="194"/>
      <c r="CB295" s="194"/>
      <c r="CC295" s="194"/>
      <c r="CD295" s="194"/>
      <c r="CE295" s="194"/>
      <c r="CF295" s="194"/>
      <c r="CG295" s="194"/>
      <c r="CH295" s="194"/>
      <c r="CI295" s="194"/>
      <c r="CJ295" s="194"/>
      <c r="CK295" s="194"/>
      <c r="CL295" s="194"/>
      <c r="CM295" s="194"/>
      <c r="CN295" s="194"/>
      <c r="CO295" s="194"/>
      <c r="CP295" s="194"/>
      <c r="CQ295" s="194"/>
      <c r="CR295" s="194"/>
      <c r="CS295" s="194"/>
      <c r="CT295" s="194"/>
      <c r="CU295" s="194"/>
      <c r="CV295" s="194"/>
      <c r="CW295" s="194"/>
      <c r="CX295" s="194"/>
      <c r="CY295" s="194"/>
      <c r="CZ295" s="194"/>
      <c r="DA295" s="194"/>
      <c r="DB295" s="194"/>
      <c r="DC295" s="194"/>
      <c r="DD295" s="194"/>
      <c r="DE295" s="194"/>
      <c r="DF295" s="194"/>
    </row>
    <row r="296" spans="2:110" s="192" customFormat="1" hidden="1" x14ac:dyDescent="0.35">
      <c r="B296" s="289"/>
      <c r="C296" s="289"/>
      <c r="Q296" s="193"/>
      <c r="R296" s="194">
        <f t="shared" si="167"/>
        <v>18</v>
      </c>
      <c r="S296" s="197">
        <f t="shared" si="133"/>
        <v>0.3888888888888889</v>
      </c>
      <c r="T296" s="194">
        <f t="shared" si="188"/>
        <v>0.69</v>
      </c>
      <c r="U296" s="194">
        <f t="shared" si="189"/>
        <v>1.4999999999999999E-4</v>
      </c>
      <c r="V296" s="197">
        <f t="shared" si="168"/>
        <v>0.3888888888888889</v>
      </c>
      <c r="W296" s="197">
        <f t="shared" si="134"/>
        <v>4.3555555555555561E-3</v>
      </c>
      <c r="X296" s="286">
        <f t="shared" si="135"/>
        <v>1</v>
      </c>
      <c r="Y296" s="286">
        <f t="shared" si="136"/>
        <v>0.17335969315081967</v>
      </c>
      <c r="Z296" s="286">
        <f t="shared" si="137"/>
        <v>0.54964853345132902</v>
      </c>
      <c r="AA296" s="286">
        <f t="shared" si="169"/>
        <v>0.17335969315081967</v>
      </c>
      <c r="AB296" s="197">
        <f t="shared" si="138"/>
        <v>0.36419974881911377</v>
      </c>
      <c r="AC296" s="287">
        <f t="shared" si="139"/>
        <v>4.4451203372005044E-7</v>
      </c>
      <c r="AD296" s="197">
        <f t="shared" si="170"/>
        <v>11.693936048110356</v>
      </c>
      <c r="AE296" s="197">
        <f t="shared" si="171"/>
        <v>35.08180814433107</v>
      </c>
      <c r="AF296" s="197">
        <f t="shared" si="172"/>
        <v>8.5178571428571423E-2</v>
      </c>
      <c r="AG296" s="197">
        <f t="shared" si="173"/>
        <v>0.25553571428571431</v>
      </c>
      <c r="AH296" s="197">
        <f t="shared" si="140"/>
        <v>0.11660930017110901</v>
      </c>
      <c r="AI296" s="197">
        <f t="shared" si="174"/>
        <v>0.11660930017110901</v>
      </c>
      <c r="AJ296" s="218">
        <f t="shared" si="141"/>
        <v>390.00000000000006</v>
      </c>
      <c r="AK296" s="197">
        <f t="shared" si="175"/>
        <v>6.0930617977437734E-2</v>
      </c>
      <c r="AL296" s="197">
        <f t="shared" si="176"/>
        <v>9.6203707235237593E-2</v>
      </c>
      <c r="AM296" s="197">
        <f t="shared" si="177"/>
        <v>4.0790371867740751E-3</v>
      </c>
      <c r="AN296" s="197">
        <f t="shared" si="142"/>
        <v>24.05</v>
      </c>
      <c r="AO296" s="197">
        <f t="shared" si="143"/>
        <v>21.69</v>
      </c>
      <c r="AP296" s="197">
        <f t="shared" si="178"/>
        <v>7.4093290390420161E-2</v>
      </c>
      <c r="AQ296" s="197">
        <f t="shared" si="179"/>
        <v>0.42250439890466829</v>
      </c>
      <c r="AR296" s="197">
        <f t="shared" si="180"/>
        <v>0.30589509873355925</v>
      </c>
      <c r="AS296" s="258">
        <f t="shared" si="181"/>
        <v>0.15228632177729159</v>
      </c>
      <c r="AT296" s="197">
        <f t="shared" si="144"/>
        <v>2.5974058656511614E-4</v>
      </c>
      <c r="AU296" s="194">
        <f t="shared" si="145"/>
        <v>21.19</v>
      </c>
      <c r="AV296" s="197">
        <f t="shared" si="146"/>
        <v>2.7E-2</v>
      </c>
      <c r="AW296" s="197">
        <f t="shared" si="147"/>
        <v>3.4260000000000002E-3</v>
      </c>
      <c r="AX296" s="197">
        <f t="shared" si="182"/>
        <v>6.1668000000000001E-2</v>
      </c>
      <c r="AY296" s="197">
        <f t="shared" si="148"/>
        <v>2.8867476000000005E-3</v>
      </c>
      <c r="AZ296" s="197">
        <f t="shared" si="149"/>
        <v>0</v>
      </c>
      <c r="BA296" s="197">
        <f t="shared" si="183"/>
        <v>7.2596940000000013E-2</v>
      </c>
      <c r="BB296" s="258">
        <f t="shared" si="150"/>
        <v>0.36575210336206115</v>
      </c>
      <c r="BC296" s="197">
        <f t="shared" si="151"/>
        <v>2.2380490766334034E-2</v>
      </c>
      <c r="BD296" s="197">
        <f t="shared" si="184"/>
        <v>4.4760981532668068E-3</v>
      </c>
      <c r="BE296" s="197">
        <f t="shared" si="185"/>
        <v>2.6856588919600841E-2</v>
      </c>
      <c r="BF296" s="197">
        <f t="shared" si="152"/>
        <v>0.20773291256157633</v>
      </c>
      <c r="BG296" s="197">
        <f t="shared" si="153"/>
        <v>5.4608303342508187E-4</v>
      </c>
      <c r="BH296" s="197">
        <f t="shared" si="154"/>
        <v>3.5336687086656722E-2</v>
      </c>
      <c r="BI296" s="197">
        <f t="shared" si="186"/>
        <v>0.44730899017824427</v>
      </c>
      <c r="BJ296" s="197">
        <f t="shared" si="155"/>
        <v>6.769615024661003</v>
      </c>
      <c r="BK296" s="288">
        <f t="shared" si="156"/>
        <v>0.93392401361838984</v>
      </c>
      <c r="BL296" s="197">
        <f t="shared" si="157"/>
        <v>0.37608972359227794</v>
      </c>
      <c r="BM296" s="197">
        <f t="shared" si="158"/>
        <v>7.4353030976985271E-2</v>
      </c>
      <c r="BN296" s="197">
        <f t="shared" si="159"/>
        <v>54.461181858619113</v>
      </c>
      <c r="BO296" s="197">
        <f t="shared" si="187"/>
        <v>0.2082789955950014</v>
      </c>
      <c r="BP296" s="197">
        <f t="shared" si="160"/>
        <v>65.620924669625111</v>
      </c>
      <c r="BQ296" s="197">
        <f t="shared" si="161"/>
        <v>9.9596940000000009E-2</v>
      </c>
      <c r="BR296" s="288">
        <f t="shared" si="162"/>
        <v>0.16008975919012108</v>
      </c>
      <c r="BS296" s="197">
        <f t="shared" si="163"/>
        <v>0.11660930017110901</v>
      </c>
      <c r="BT296" s="197">
        <f t="shared" si="164"/>
        <v>0.36419974881911377</v>
      </c>
      <c r="BU296" s="197">
        <f t="shared" si="165"/>
        <v>0.1713930788771201</v>
      </c>
      <c r="BV296" s="197">
        <f t="shared" si="166"/>
        <v>0.53530306917875781</v>
      </c>
      <c r="BW296" s="194"/>
      <c r="BX296" s="194"/>
      <c r="BY296" s="194"/>
      <c r="BZ296" s="194"/>
      <c r="CA296" s="194"/>
      <c r="CB296" s="194"/>
      <c r="CC296" s="194"/>
      <c r="CD296" s="194"/>
      <c r="CE296" s="194"/>
      <c r="CF296" s="194"/>
      <c r="CG296" s="194"/>
      <c r="CH296" s="194"/>
      <c r="CI296" s="194"/>
      <c r="CJ296" s="194"/>
      <c r="CK296" s="194"/>
      <c r="CL296" s="194"/>
      <c r="CM296" s="194"/>
      <c r="CN296" s="194"/>
      <c r="CO296" s="194"/>
      <c r="CP296" s="194"/>
      <c r="CQ296" s="194"/>
      <c r="CR296" s="194"/>
      <c r="CS296" s="194"/>
      <c r="CT296" s="194"/>
      <c r="CU296" s="194"/>
      <c r="CV296" s="194"/>
      <c r="CW296" s="194"/>
      <c r="CX296" s="194"/>
      <c r="CY296" s="194"/>
      <c r="CZ296" s="194"/>
      <c r="DA296" s="194"/>
      <c r="DB296" s="194"/>
      <c r="DC296" s="194"/>
      <c r="DD296" s="194"/>
      <c r="DE296" s="194"/>
      <c r="DF296" s="194"/>
    </row>
    <row r="297" spans="2:110" s="192" customFormat="1" hidden="1" x14ac:dyDescent="0.35">
      <c r="B297" s="289"/>
      <c r="C297" s="289"/>
      <c r="Q297" s="193"/>
      <c r="R297" s="194">
        <f t="shared" si="167"/>
        <v>18</v>
      </c>
      <c r="S297" s="197">
        <f t="shared" si="133"/>
        <v>0.3888888888888889</v>
      </c>
      <c r="T297" s="194">
        <f t="shared" si="188"/>
        <v>0.69</v>
      </c>
      <c r="U297" s="194">
        <f t="shared" si="189"/>
        <v>1.4999999999999999E-4</v>
      </c>
      <c r="V297" s="197">
        <f t="shared" si="168"/>
        <v>0.3888888888888889</v>
      </c>
      <c r="W297" s="197">
        <f t="shared" si="134"/>
        <v>4.3555555555555561E-3</v>
      </c>
      <c r="X297" s="286">
        <f t="shared" si="135"/>
        <v>1</v>
      </c>
      <c r="Y297" s="286">
        <f t="shared" si="136"/>
        <v>0.17335969315081967</v>
      </c>
      <c r="Z297" s="286">
        <f t="shared" si="137"/>
        <v>0.54964853345132902</v>
      </c>
      <c r="AA297" s="286">
        <f t="shared" si="169"/>
        <v>0.17335969315081967</v>
      </c>
      <c r="AB297" s="197">
        <f t="shared" si="138"/>
        <v>0.36419974881911377</v>
      </c>
      <c r="AC297" s="287">
        <f t="shared" si="139"/>
        <v>4.4451203372005044E-7</v>
      </c>
      <c r="AD297" s="197">
        <f t="shared" si="170"/>
        <v>11.693936048110356</v>
      </c>
      <c r="AE297" s="197">
        <f t="shared" si="171"/>
        <v>35.08180814433107</v>
      </c>
      <c r="AF297" s="197">
        <f t="shared" si="172"/>
        <v>8.5178571428571423E-2</v>
      </c>
      <c r="AG297" s="197">
        <f t="shared" si="173"/>
        <v>0.25553571428571431</v>
      </c>
      <c r="AH297" s="197">
        <f t="shared" si="140"/>
        <v>0.11660930017110901</v>
      </c>
      <c r="AI297" s="197">
        <f t="shared" si="174"/>
        <v>0.11660930017110901</v>
      </c>
      <c r="AJ297" s="218">
        <f t="shared" si="141"/>
        <v>390.00000000000006</v>
      </c>
      <c r="AK297" s="197">
        <f t="shared" si="175"/>
        <v>6.0930617977437734E-2</v>
      </c>
      <c r="AL297" s="197">
        <f t="shared" si="176"/>
        <v>9.6203707235237593E-2</v>
      </c>
      <c r="AM297" s="197">
        <f t="shared" si="177"/>
        <v>4.0790371867740751E-3</v>
      </c>
      <c r="AN297" s="197">
        <f t="shared" si="142"/>
        <v>24.05</v>
      </c>
      <c r="AO297" s="197">
        <f t="shared" si="143"/>
        <v>21.69</v>
      </c>
      <c r="AP297" s="197">
        <f t="shared" si="178"/>
        <v>7.4093290390420161E-2</v>
      </c>
      <c r="AQ297" s="197">
        <f t="shared" si="179"/>
        <v>0.42250439890466829</v>
      </c>
      <c r="AR297" s="197">
        <f t="shared" si="180"/>
        <v>0.30589509873355925</v>
      </c>
      <c r="AS297" s="258">
        <f t="shared" si="181"/>
        <v>0.15228632177729159</v>
      </c>
      <c r="AT297" s="197">
        <f t="shared" si="144"/>
        <v>2.5974058656511614E-4</v>
      </c>
      <c r="AU297" s="194">
        <f t="shared" si="145"/>
        <v>21.19</v>
      </c>
      <c r="AV297" s="197">
        <f t="shared" si="146"/>
        <v>2.7E-2</v>
      </c>
      <c r="AW297" s="197">
        <f t="shared" si="147"/>
        <v>3.4260000000000002E-3</v>
      </c>
      <c r="AX297" s="197">
        <f t="shared" si="182"/>
        <v>6.1668000000000001E-2</v>
      </c>
      <c r="AY297" s="197">
        <f t="shared" si="148"/>
        <v>2.8867476000000005E-3</v>
      </c>
      <c r="AZ297" s="197">
        <f t="shared" si="149"/>
        <v>0</v>
      </c>
      <c r="BA297" s="197">
        <f t="shared" si="183"/>
        <v>7.2596940000000013E-2</v>
      </c>
      <c r="BB297" s="258">
        <f t="shared" si="150"/>
        <v>0.36575210336206115</v>
      </c>
      <c r="BC297" s="197">
        <f t="shared" si="151"/>
        <v>2.2380490766334034E-2</v>
      </c>
      <c r="BD297" s="197">
        <f t="shared" si="184"/>
        <v>4.4760981532668068E-3</v>
      </c>
      <c r="BE297" s="197">
        <f t="shared" si="185"/>
        <v>2.6856588919600841E-2</v>
      </c>
      <c r="BF297" s="197">
        <f t="shared" si="152"/>
        <v>0.20773291256157633</v>
      </c>
      <c r="BG297" s="197">
        <f t="shared" si="153"/>
        <v>5.4608303342508187E-4</v>
      </c>
      <c r="BH297" s="197">
        <f t="shared" si="154"/>
        <v>3.5336687086656722E-2</v>
      </c>
      <c r="BI297" s="197">
        <f t="shared" si="186"/>
        <v>0.44730899017824427</v>
      </c>
      <c r="BJ297" s="197">
        <f t="shared" si="155"/>
        <v>6.769615024661003</v>
      </c>
      <c r="BK297" s="288">
        <f t="shared" si="156"/>
        <v>0.93392401361838984</v>
      </c>
      <c r="BL297" s="197">
        <f t="shared" si="157"/>
        <v>0.37608972359227794</v>
      </c>
      <c r="BM297" s="197">
        <f t="shared" si="158"/>
        <v>7.4353030976985271E-2</v>
      </c>
      <c r="BN297" s="197">
        <f t="shared" si="159"/>
        <v>54.461181858619113</v>
      </c>
      <c r="BO297" s="197">
        <f t="shared" si="187"/>
        <v>0.2082789955950014</v>
      </c>
      <c r="BP297" s="197">
        <f t="shared" si="160"/>
        <v>65.620924669625111</v>
      </c>
      <c r="BQ297" s="197">
        <f t="shared" si="161"/>
        <v>9.9596940000000009E-2</v>
      </c>
      <c r="BR297" s="288">
        <f t="shared" si="162"/>
        <v>0.16008975919012108</v>
      </c>
      <c r="BS297" s="197">
        <f t="shared" si="163"/>
        <v>0.11660930017110901</v>
      </c>
      <c r="BT297" s="197">
        <f t="shared" si="164"/>
        <v>0.36419974881911377</v>
      </c>
      <c r="BU297" s="197">
        <f t="shared" si="165"/>
        <v>0.1713930788771201</v>
      </c>
      <c r="BV297" s="197">
        <f t="shared" si="166"/>
        <v>0.53530306917875781</v>
      </c>
      <c r="BW297" s="194"/>
      <c r="BX297" s="194"/>
      <c r="BY297" s="194"/>
      <c r="BZ297" s="194"/>
      <c r="CA297" s="194"/>
      <c r="CB297" s="194"/>
      <c r="CC297" s="194"/>
      <c r="CD297" s="194"/>
      <c r="CE297" s="194"/>
      <c r="CF297" s="194"/>
      <c r="CG297" s="194"/>
      <c r="CH297" s="194"/>
      <c r="CI297" s="194"/>
      <c r="CJ297" s="194"/>
      <c r="CK297" s="194"/>
      <c r="CL297" s="194"/>
      <c r="CM297" s="194"/>
      <c r="CN297" s="194"/>
      <c r="CO297" s="194"/>
      <c r="CP297" s="194"/>
      <c r="CQ297" s="194"/>
      <c r="CR297" s="194"/>
      <c r="CS297" s="194"/>
      <c r="CT297" s="194"/>
      <c r="CU297" s="194"/>
      <c r="CV297" s="194"/>
      <c r="CW297" s="194"/>
      <c r="CX297" s="194"/>
      <c r="CY297" s="194"/>
      <c r="CZ297" s="194"/>
      <c r="DA297" s="194"/>
      <c r="DB297" s="194"/>
      <c r="DC297" s="194"/>
      <c r="DD297" s="194"/>
      <c r="DE297" s="194"/>
      <c r="DF297" s="194"/>
    </row>
    <row r="298" spans="2:110" s="192" customFormat="1" hidden="1" x14ac:dyDescent="0.35">
      <c r="B298" s="289"/>
      <c r="C298" s="289"/>
      <c r="Q298" s="193"/>
      <c r="R298" s="194">
        <f t="shared" si="167"/>
        <v>18</v>
      </c>
      <c r="S298" s="197">
        <f t="shared" si="133"/>
        <v>0.3888888888888889</v>
      </c>
      <c r="T298" s="194">
        <f t="shared" si="188"/>
        <v>0.69</v>
      </c>
      <c r="U298" s="194">
        <f t="shared" si="189"/>
        <v>1.4999999999999999E-4</v>
      </c>
      <c r="V298" s="197">
        <f t="shared" si="168"/>
        <v>0.3888888888888889</v>
      </c>
      <c r="W298" s="197">
        <f t="shared" si="134"/>
        <v>4.3555555555555561E-3</v>
      </c>
      <c r="X298" s="286">
        <f t="shared" si="135"/>
        <v>1</v>
      </c>
      <c r="Y298" s="286">
        <f t="shared" si="136"/>
        <v>0.17335969315081967</v>
      </c>
      <c r="Z298" s="286">
        <f t="shared" si="137"/>
        <v>0.54964853345132902</v>
      </c>
      <c r="AA298" s="286">
        <f t="shared" si="169"/>
        <v>0.17335969315081967</v>
      </c>
      <c r="AB298" s="197">
        <f t="shared" si="138"/>
        <v>0.36419974881911377</v>
      </c>
      <c r="AC298" s="287">
        <f t="shared" si="139"/>
        <v>4.4451203372005044E-7</v>
      </c>
      <c r="AD298" s="197">
        <f t="shared" si="170"/>
        <v>11.693936048110356</v>
      </c>
      <c r="AE298" s="197">
        <f t="shared" si="171"/>
        <v>35.08180814433107</v>
      </c>
      <c r="AF298" s="197">
        <f t="shared" si="172"/>
        <v>8.5178571428571423E-2</v>
      </c>
      <c r="AG298" s="197">
        <f t="shared" si="173"/>
        <v>0.25553571428571431</v>
      </c>
      <c r="AH298" s="197">
        <f t="shared" si="140"/>
        <v>0.11660930017110901</v>
      </c>
      <c r="AI298" s="197">
        <f t="shared" si="174"/>
        <v>0.11660930017110901</v>
      </c>
      <c r="AJ298" s="218">
        <f t="shared" si="141"/>
        <v>390.00000000000006</v>
      </c>
      <c r="AK298" s="197">
        <f t="shared" si="175"/>
        <v>6.0930617977437734E-2</v>
      </c>
      <c r="AL298" s="197">
        <f t="shared" si="176"/>
        <v>9.6203707235237593E-2</v>
      </c>
      <c r="AM298" s="197">
        <f t="shared" si="177"/>
        <v>4.0790371867740751E-3</v>
      </c>
      <c r="AN298" s="197">
        <f t="shared" si="142"/>
        <v>24.05</v>
      </c>
      <c r="AO298" s="197">
        <f t="shared" si="143"/>
        <v>21.69</v>
      </c>
      <c r="AP298" s="197">
        <f t="shared" si="178"/>
        <v>7.4093290390420161E-2</v>
      </c>
      <c r="AQ298" s="197">
        <f t="shared" si="179"/>
        <v>0.42250439890466829</v>
      </c>
      <c r="AR298" s="197">
        <f t="shared" si="180"/>
        <v>0.30589509873355925</v>
      </c>
      <c r="AS298" s="258">
        <f t="shared" si="181"/>
        <v>0.15228632177729159</v>
      </c>
      <c r="AT298" s="197">
        <f t="shared" si="144"/>
        <v>2.5974058656511614E-4</v>
      </c>
      <c r="AU298" s="194">
        <f t="shared" si="145"/>
        <v>21.19</v>
      </c>
      <c r="AV298" s="197">
        <f t="shared" si="146"/>
        <v>2.7E-2</v>
      </c>
      <c r="AW298" s="197">
        <f t="shared" si="147"/>
        <v>3.4260000000000002E-3</v>
      </c>
      <c r="AX298" s="197">
        <f t="shared" si="182"/>
        <v>6.1668000000000001E-2</v>
      </c>
      <c r="AY298" s="197">
        <f t="shared" si="148"/>
        <v>2.8867476000000005E-3</v>
      </c>
      <c r="AZ298" s="197">
        <f t="shared" si="149"/>
        <v>0</v>
      </c>
      <c r="BA298" s="197">
        <f t="shared" si="183"/>
        <v>7.2596940000000013E-2</v>
      </c>
      <c r="BB298" s="258">
        <f t="shared" si="150"/>
        <v>0.36575210336206115</v>
      </c>
      <c r="BC298" s="197">
        <f t="shared" si="151"/>
        <v>2.2380490766334034E-2</v>
      </c>
      <c r="BD298" s="197">
        <f t="shared" si="184"/>
        <v>4.4760981532668068E-3</v>
      </c>
      <c r="BE298" s="197">
        <f t="shared" si="185"/>
        <v>2.6856588919600841E-2</v>
      </c>
      <c r="BF298" s="197">
        <f t="shared" si="152"/>
        <v>0.20773291256157633</v>
      </c>
      <c r="BG298" s="197">
        <f t="shared" si="153"/>
        <v>5.4608303342508187E-4</v>
      </c>
      <c r="BH298" s="197">
        <f t="shared" si="154"/>
        <v>3.5336687086656722E-2</v>
      </c>
      <c r="BI298" s="197">
        <f t="shared" si="186"/>
        <v>0.44730899017824427</v>
      </c>
      <c r="BJ298" s="197">
        <f t="shared" si="155"/>
        <v>6.769615024661003</v>
      </c>
      <c r="BK298" s="288">
        <f t="shared" si="156"/>
        <v>0.93392401361838984</v>
      </c>
      <c r="BL298" s="197">
        <f t="shared" si="157"/>
        <v>0.37608972359227794</v>
      </c>
      <c r="BM298" s="197">
        <f t="shared" si="158"/>
        <v>7.4353030976985271E-2</v>
      </c>
      <c r="BN298" s="197">
        <f t="shared" si="159"/>
        <v>54.461181858619113</v>
      </c>
      <c r="BO298" s="197">
        <f t="shared" si="187"/>
        <v>0.2082789955950014</v>
      </c>
      <c r="BP298" s="197">
        <f t="shared" si="160"/>
        <v>65.620924669625111</v>
      </c>
      <c r="BQ298" s="197">
        <f t="shared" si="161"/>
        <v>9.9596940000000009E-2</v>
      </c>
      <c r="BR298" s="288">
        <f t="shared" si="162"/>
        <v>0.16008975919012108</v>
      </c>
      <c r="BS298" s="197">
        <f t="shared" si="163"/>
        <v>0.11660930017110901</v>
      </c>
      <c r="BT298" s="197">
        <f t="shared" si="164"/>
        <v>0.36419974881911377</v>
      </c>
      <c r="BU298" s="197">
        <f t="shared" si="165"/>
        <v>0.1713930788771201</v>
      </c>
      <c r="BV298" s="197">
        <f t="shared" si="166"/>
        <v>0.53530306917875781</v>
      </c>
      <c r="BW298" s="194"/>
      <c r="BX298" s="194"/>
      <c r="BY298" s="194"/>
      <c r="BZ298" s="194"/>
      <c r="CA298" s="194"/>
      <c r="CB298" s="194"/>
      <c r="CC298" s="194"/>
      <c r="CD298" s="194"/>
      <c r="CE298" s="194"/>
      <c r="CF298" s="194"/>
      <c r="CG298" s="194"/>
      <c r="CH298" s="194"/>
      <c r="CI298" s="194"/>
      <c r="CJ298" s="194"/>
      <c r="CK298" s="194"/>
      <c r="CL298" s="194"/>
      <c r="CM298" s="194"/>
      <c r="CN298" s="194"/>
      <c r="CO298" s="194"/>
      <c r="CP298" s="194"/>
      <c r="CQ298" s="194"/>
      <c r="CR298" s="194"/>
      <c r="CS298" s="194"/>
      <c r="CT298" s="194"/>
      <c r="CU298" s="194"/>
      <c r="CV298" s="194"/>
      <c r="CW298" s="194"/>
      <c r="CX298" s="194"/>
      <c r="CY298" s="194"/>
      <c r="CZ298" s="194"/>
      <c r="DA298" s="194"/>
      <c r="DB298" s="194"/>
      <c r="DC298" s="194"/>
      <c r="DD298" s="194"/>
      <c r="DE298" s="194"/>
      <c r="DF298" s="194"/>
    </row>
    <row r="299" spans="2:110" s="192" customFormat="1" hidden="1" x14ac:dyDescent="0.35">
      <c r="B299" s="289"/>
      <c r="C299" s="289"/>
      <c r="Q299" s="193"/>
      <c r="R299" s="194">
        <f t="shared" si="167"/>
        <v>18</v>
      </c>
      <c r="S299" s="197">
        <f t="shared" si="133"/>
        <v>0.3888888888888889</v>
      </c>
      <c r="T299" s="194">
        <f t="shared" si="188"/>
        <v>0.69</v>
      </c>
      <c r="U299" s="194">
        <f t="shared" si="189"/>
        <v>1.4999999999999999E-4</v>
      </c>
      <c r="V299" s="197">
        <f t="shared" si="168"/>
        <v>0.3888888888888889</v>
      </c>
      <c r="W299" s="197">
        <f t="shared" si="134"/>
        <v>4.3555555555555561E-3</v>
      </c>
      <c r="X299" s="286">
        <f t="shared" si="135"/>
        <v>1</v>
      </c>
      <c r="Y299" s="286">
        <f t="shared" si="136"/>
        <v>0.17335969315081967</v>
      </c>
      <c r="Z299" s="286">
        <f t="shared" si="137"/>
        <v>0.54964853345132902</v>
      </c>
      <c r="AA299" s="286">
        <f t="shared" si="169"/>
        <v>0.17335969315081967</v>
      </c>
      <c r="AB299" s="197">
        <f t="shared" si="138"/>
        <v>0.36419974881911377</v>
      </c>
      <c r="AC299" s="287">
        <f t="shared" si="139"/>
        <v>4.4451203372005044E-7</v>
      </c>
      <c r="AD299" s="197">
        <f t="shared" si="170"/>
        <v>11.693936048110356</v>
      </c>
      <c r="AE299" s="197">
        <f t="shared" si="171"/>
        <v>35.08180814433107</v>
      </c>
      <c r="AF299" s="197">
        <f t="shared" si="172"/>
        <v>8.5178571428571423E-2</v>
      </c>
      <c r="AG299" s="197">
        <f t="shared" si="173"/>
        <v>0.25553571428571431</v>
      </c>
      <c r="AH299" s="197">
        <f t="shared" si="140"/>
        <v>0.11660930017110901</v>
      </c>
      <c r="AI299" s="197">
        <f t="shared" si="174"/>
        <v>0.11660930017110901</v>
      </c>
      <c r="AJ299" s="218">
        <f t="shared" si="141"/>
        <v>390.00000000000006</v>
      </c>
      <c r="AK299" s="197">
        <f t="shared" si="175"/>
        <v>6.0930617977437734E-2</v>
      </c>
      <c r="AL299" s="197">
        <f t="shared" si="176"/>
        <v>9.6203707235237593E-2</v>
      </c>
      <c r="AM299" s="197">
        <f t="shared" si="177"/>
        <v>4.0790371867740751E-3</v>
      </c>
      <c r="AN299" s="197">
        <f t="shared" si="142"/>
        <v>24.05</v>
      </c>
      <c r="AO299" s="197">
        <f t="shared" si="143"/>
        <v>21.69</v>
      </c>
      <c r="AP299" s="197">
        <f t="shared" si="178"/>
        <v>7.4093290390420161E-2</v>
      </c>
      <c r="AQ299" s="197">
        <f t="shared" si="179"/>
        <v>0.42250439890466829</v>
      </c>
      <c r="AR299" s="197">
        <f t="shared" si="180"/>
        <v>0.30589509873355925</v>
      </c>
      <c r="AS299" s="258">
        <f t="shared" si="181"/>
        <v>0.15228632177729159</v>
      </c>
      <c r="AT299" s="197">
        <f t="shared" si="144"/>
        <v>2.5974058656511614E-4</v>
      </c>
      <c r="AU299" s="194">
        <f t="shared" si="145"/>
        <v>21.19</v>
      </c>
      <c r="AV299" s="197">
        <f t="shared" si="146"/>
        <v>2.7E-2</v>
      </c>
      <c r="AW299" s="197">
        <f t="shared" si="147"/>
        <v>3.4260000000000002E-3</v>
      </c>
      <c r="AX299" s="197">
        <f t="shared" si="182"/>
        <v>6.1668000000000001E-2</v>
      </c>
      <c r="AY299" s="197">
        <f t="shared" si="148"/>
        <v>2.8867476000000005E-3</v>
      </c>
      <c r="AZ299" s="197">
        <f t="shared" si="149"/>
        <v>0</v>
      </c>
      <c r="BA299" s="197">
        <f t="shared" si="183"/>
        <v>7.2596940000000013E-2</v>
      </c>
      <c r="BB299" s="258">
        <f t="shared" si="150"/>
        <v>0.36575210336206115</v>
      </c>
      <c r="BC299" s="197">
        <f t="shared" si="151"/>
        <v>2.2380490766334034E-2</v>
      </c>
      <c r="BD299" s="197">
        <f t="shared" si="184"/>
        <v>4.4760981532668068E-3</v>
      </c>
      <c r="BE299" s="197">
        <f t="shared" si="185"/>
        <v>2.6856588919600841E-2</v>
      </c>
      <c r="BF299" s="197">
        <f t="shared" si="152"/>
        <v>0.20773291256157633</v>
      </c>
      <c r="BG299" s="197">
        <f t="shared" si="153"/>
        <v>5.4608303342508187E-4</v>
      </c>
      <c r="BH299" s="197">
        <f t="shared" si="154"/>
        <v>3.5336687086656722E-2</v>
      </c>
      <c r="BI299" s="197">
        <f t="shared" si="186"/>
        <v>0.44730899017824427</v>
      </c>
      <c r="BJ299" s="197">
        <f t="shared" si="155"/>
        <v>6.769615024661003</v>
      </c>
      <c r="BK299" s="288">
        <f t="shared" si="156"/>
        <v>0.93392401361838984</v>
      </c>
      <c r="BL299" s="197">
        <f t="shared" si="157"/>
        <v>0.37608972359227794</v>
      </c>
      <c r="BM299" s="197">
        <f t="shared" si="158"/>
        <v>7.4353030976985271E-2</v>
      </c>
      <c r="BN299" s="197">
        <f t="shared" si="159"/>
        <v>54.461181858619113</v>
      </c>
      <c r="BO299" s="197">
        <f t="shared" si="187"/>
        <v>0.2082789955950014</v>
      </c>
      <c r="BP299" s="197">
        <f t="shared" si="160"/>
        <v>65.620924669625111</v>
      </c>
      <c r="BQ299" s="197">
        <f t="shared" si="161"/>
        <v>9.9596940000000009E-2</v>
      </c>
      <c r="BR299" s="288">
        <f t="shared" si="162"/>
        <v>0.16008975919012108</v>
      </c>
      <c r="BS299" s="197">
        <f t="shared" si="163"/>
        <v>0.11660930017110901</v>
      </c>
      <c r="BT299" s="197">
        <f t="shared" si="164"/>
        <v>0.36419974881911377</v>
      </c>
      <c r="BU299" s="197">
        <f t="shared" si="165"/>
        <v>0.1713930788771201</v>
      </c>
      <c r="BV299" s="197">
        <f t="shared" si="166"/>
        <v>0.53530306917875781</v>
      </c>
      <c r="BW299" s="194"/>
      <c r="BX299" s="194"/>
      <c r="BY299" s="194"/>
      <c r="BZ299" s="194"/>
      <c r="CA299" s="194"/>
      <c r="CB299" s="194"/>
      <c r="CC299" s="194"/>
      <c r="CD299" s="194"/>
      <c r="CE299" s="194"/>
      <c r="CF299" s="194"/>
      <c r="CG299" s="194"/>
      <c r="CH299" s="194"/>
      <c r="CI299" s="194"/>
      <c r="CJ299" s="194"/>
      <c r="CK299" s="194"/>
      <c r="CL299" s="194"/>
      <c r="CM299" s="194"/>
      <c r="CN299" s="194"/>
      <c r="CO299" s="194"/>
      <c r="CP299" s="194"/>
      <c r="CQ299" s="194"/>
      <c r="CR299" s="194"/>
      <c r="CS299" s="194"/>
      <c r="CT299" s="194"/>
      <c r="CU299" s="194"/>
      <c r="CV299" s="194"/>
      <c r="CW299" s="194"/>
      <c r="CX299" s="194"/>
      <c r="CY299" s="194"/>
      <c r="CZ299" s="194"/>
      <c r="DA299" s="194"/>
      <c r="DB299" s="194"/>
      <c r="DC299" s="194"/>
      <c r="DD299" s="194"/>
      <c r="DE299" s="194"/>
      <c r="DF299" s="194"/>
    </row>
    <row r="300" spans="2:110" s="192" customFormat="1" hidden="1" x14ac:dyDescent="0.35">
      <c r="B300" s="289"/>
      <c r="C300" s="289"/>
      <c r="Q300" s="193"/>
      <c r="R300" s="194">
        <f t="shared" si="167"/>
        <v>18</v>
      </c>
      <c r="S300" s="197">
        <f t="shared" si="133"/>
        <v>0.3888888888888889</v>
      </c>
      <c r="T300" s="194">
        <f t="shared" si="188"/>
        <v>0.69</v>
      </c>
      <c r="U300" s="194">
        <f t="shared" si="189"/>
        <v>1.4999999999999999E-4</v>
      </c>
      <c r="V300" s="197">
        <f t="shared" si="168"/>
        <v>0.3888888888888889</v>
      </c>
      <c r="W300" s="197">
        <f t="shared" si="134"/>
        <v>4.3555555555555561E-3</v>
      </c>
      <c r="X300" s="286">
        <f t="shared" si="135"/>
        <v>1</v>
      </c>
      <c r="Y300" s="286">
        <f t="shared" si="136"/>
        <v>0.17335969315081967</v>
      </c>
      <c r="Z300" s="286">
        <f t="shared" si="137"/>
        <v>0.54964853345132902</v>
      </c>
      <c r="AA300" s="286">
        <f t="shared" si="169"/>
        <v>0.17335969315081967</v>
      </c>
      <c r="AB300" s="197">
        <f t="shared" si="138"/>
        <v>0.36419974881911377</v>
      </c>
      <c r="AC300" s="287">
        <f t="shared" si="139"/>
        <v>4.4451203372005044E-7</v>
      </c>
      <c r="AD300" s="197">
        <f t="shared" si="170"/>
        <v>11.693936048110356</v>
      </c>
      <c r="AE300" s="197">
        <f t="shared" si="171"/>
        <v>35.08180814433107</v>
      </c>
      <c r="AF300" s="197">
        <f t="shared" si="172"/>
        <v>8.5178571428571423E-2</v>
      </c>
      <c r="AG300" s="197">
        <f t="shared" si="173"/>
        <v>0.25553571428571431</v>
      </c>
      <c r="AH300" s="197">
        <f t="shared" si="140"/>
        <v>0.11660930017110901</v>
      </c>
      <c r="AI300" s="197">
        <f t="shared" si="174"/>
        <v>0.11660930017110901</v>
      </c>
      <c r="AJ300" s="218">
        <f t="shared" si="141"/>
        <v>390.00000000000006</v>
      </c>
      <c r="AK300" s="197">
        <f t="shared" si="175"/>
        <v>6.0930617977437734E-2</v>
      </c>
      <c r="AL300" s="197">
        <f t="shared" si="176"/>
        <v>9.6203707235237593E-2</v>
      </c>
      <c r="AM300" s="197">
        <f t="shared" si="177"/>
        <v>4.0790371867740751E-3</v>
      </c>
      <c r="AN300" s="197">
        <f t="shared" si="142"/>
        <v>24.05</v>
      </c>
      <c r="AO300" s="197">
        <f t="shared" si="143"/>
        <v>21.69</v>
      </c>
      <c r="AP300" s="197">
        <f t="shared" si="178"/>
        <v>7.4093290390420161E-2</v>
      </c>
      <c r="AQ300" s="197">
        <f t="shared" si="179"/>
        <v>0.42250439890466829</v>
      </c>
      <c r="AR300" s="197">
        <f t="shared" si="180"/>
        <v>0.30589509873355925</v>
      </c>
      <c r="AS300" s="258">
        <f t="shared" si="181"/>
        <v>0.15228632177729159</v>
      </c>
      <c r="AT300" s="197">
        <f t="shared" si="144"/>
        <v>2.5974058656511614E-4</v>
      </c>
      <c r="AU300" s="194">
        <f t="shared" si="145"/>
        <v>21.19</v>
      </c>
      <c r="AV300" s="197">
        <f t="shared" si="146"/>
        <v>2.7E-2</v>
      </c>
      <c r="AW300" s="197">
        <f t="shared" si="147"/>
        <v>3.4260000000000002E-3</v>
      </c>
      <c r="AX300" s="197">
        <f t="shared" si="182"/>
        <v>6.1668000000000001E-2</v>
      </c>
      <c r="AY300" s="197">
        <f t="shared" si="148"/>
        <v>2.8867476000000005E-3</v>
      </c>
      <c r="AZ300" s="197">
        <f t="shared" si="149"/>
        <v>0</v>
      </c>
      <c r="BA300" s="197">
        <f t="shared" si="183"/>
        <v>7.2596940000000013E-2</v>
      </c>
      <c r="BB300" s="258">
        <f t="shared" si="150"/>
        <v>0.36575210336206115</v>
      </c>
      <c r="BC300" s="197">
        <f t="shared" si="151"/>
        <v>2.2380490766334034E-2</v>
      </c>
      <c r="BD300" s="197">
        <f t="shared" si="184"/>
        <v>4.4760981532668068E-3</v>
      </c>
      <c r="BE300" s="197">
        <f t="shared" si="185"/>
        <v>2.6856588919600841E-2</v>
      </c>
      <c r="BF300" s="197">
        <f t="shared" si="152"/>
        <v>0.20773291256157633</v>
      </c>
      <c r="BG300" s="197">
        <f t="shared" si="153"/>
        <v>5.4608303342508187E-4</v>
      </c>
      <c r="BH300" s="197">
        <f t="shared" si="154"/>
        <v>3.5336687086656722E-2</v>
      </c>
      <c r="BI300" s="197">
        <f t="shared" si="186"/>
        <v>0.44730899017824427</v>
      </c>
      <c r="BJ300" s="197">
        <f t="shared" si="155"/>
        <v>6.769615024661003</v>
      </c>
      <c r="BK300" s="288">
        <f t="shared" si="156"/>
        <v>0.93392401361838984</v>
      </c>
      <c r="BL300" s="197">
        <f t="shared" si="157"/>
        <v>0.37608972359227794</v>
      </c>
      <c r="BM300" s="197">
        <f t="shared" si="158"/>
        <v>7.4353030976985271E-2</v>
      </c>
      <c r="BN300" s="197">
        <f t="shared" si="159"/>
        <v>54.461181858619113</v>
      </c>
      <c r="BO300" s="197">
        <f t="shared" si="187"/>
        <v>0.2082789955950014</v>
      </c>
      <c r="BP300" s="197">
        <f t="shared" si="160"/>
        <v>65.620924669625111</v>
      </c>
      <c r="BQ300" s="197">
        <f t="shared" si="161"/>
        <v>9.9596940000000009E-2</v>
      </c>
      <c r="BR300" s="288">
        <f t="shared" si="162"/>
        <v>0.16008975919012108</v>
      </c>
      <c r="BS300" s="197">
        <f t="shared" si="163"/>
        <v>0.11660930017110901</v>
      </c>
      <c r="BT300" s="197">
        <f t="shared" si="164"/>
        <v>0.36419974881911377</v>
      </c>
      <c r="BU300" s="197">
        <f t="shared" si="165"/>
        <v>0.1713930788771201</v>
      </c>
      <c r="BV300" s="197">
        <f t="shared" si="166"/>
        <v>0.53530306917875781</v>
      </c>
      <c r="BW300" s="194"/>
      <c r="BX300" s="194"/>
      <c r="BY300" s="194"/>
      <c r="BZ300" s="194"/>
      <c r="CA300" s="194"/>
      <c r="CB300" s="194"/>
      <c r="CC300" s="194"/>
      <c r="CD300" s="194"/>
      <c r="CE300" s="194"/>
      <c r="CF300" s="194"/>
      <c r="CG300" s="194"/>
      <c r="CH300" s="194"/>
      <c r="CI300" s="194"/>
      <c r="CJ300" s="194"/>
      <c r="CK300" s="194"/>
      <c r="CL300" s="194"/>
      <c r="CM300" s="194"/>
      <c r="CN300" s="194"/>
      <c r="CO300" s="194"/>
      <c r="CP300" s="194"/>
      <c r="CQ300" s="194"/>
      <c r="CR300" s="194"/>
      <c r="CS300" s="194"/>
      <c r="CT300" s="194"/>
      <c r="CU300" s="194"/>
      <c r="CV300" s="194"/>
      <c r="CW300" s="194"/>
      <c r="CX300" s="194"/>
      <c r="CY300" s="194"/>
      <c r="CZ300" s="194"/>
      <c r="DA300" s="194"/>
      <c r="DB300" s="194"/>
      <c r="DC300" s="194"/>
      <c r="DD300" s="194"/>
      <c r="DE300" s="194"/>
      <c r="DF300" s="194"/>
    </row>
    <row r="301" spans="2:110" s="192" customFormat="1" hidden="1" x14ac:dyDescent="0.35">
      <c r="B301" s="289"/>
      <c r="C301" s="289"/>
      <c r="Q301" s="193"/>
      <c r="R301" s="194">
        <f t="shared" si="167"/>
        <v>18</v>
      </c>
      <c r="S301" s="197">
        <f t="shared" si="133"/>
        <v>0.3888888888888889</v>
      </c>
      <c r="T301" s="194">
        <f t="shared" si="188"/>
        <v>0.69</v>
      </c>
      <c r="U301" s="194">
        <f t="shared" si="189"/>
        <v>1.4999999999999999E-4</v>
      </c>
      <c r="V301" s="197">
        <f t="shared" si="168"/>
        <v>0.3888888888888889</v>
      </c>
      <c r="W301" s="197">
        <f t="shared" si="134"/>
        <v>4.3555555555555561E-3</v>
      </c>
      <c r="X301" s="286">
        <f t="shared" si="135"/>
        <v>1</v>
      </c>
      <c r="Y301" s="286">
        <f t="shared" si="136"/>
        <v>0.17335969315081967</v>
      </c>
      <c r="Z301" s="286">
        <f t="shared" si="137"/>
        <v>0.54964853345132902</v>
      </c>
      <c r="AA301" s="286">
        <f t="shared" si="169"/>
        <v>0.17335969315081967</v>
      </c>
      <c r="AB301" s="197">
        <f t="shared" si="138"/>
        <v>0.36419974881911377</v>
      </c>
      <c r="AC301" s="287">
        <f t="shared" si="139"/>
        <v>4.4451203372005044E-7</v>
      </c>
      <c r="AD301" s="197">
        <f t="shared" si="170"/>
        <v>11.693936048110356</v>
      </c>
      <c r="AE301" s="197">
        <f t="shared" si="171"/>
        <v>35.08180814433107</v>
      </c>
      <c r="AF301" s="197">
        <f t="shared" si="172"/>
        <v>8.5178571428571423E-2</v>
      </c>
      <c r="AG301" s="197">
        <f t="shared" si="173"/>
        <v>0.25553571428571431</v>
      </c>
      <c r="AH301" s="197">
        <f t="shared" si="140"/>
        <v>0.11660930017110901</v>
      </c>
      <c r="AI301" s="197">
        <f t="shared" si="174"/>
        <v>0.11660930017110901</v>
      </c>
      <c r="AJ301" s="218">
        <f t="shared" si="141"/>
        <v>390.00000000000006</v>
      </c>
      <c r="AK301" s="197">
        <f t="shared" si="175"/>
        <v>6.0930617977437734E-2</v>
      </c>
      <c r="AL301" s="197">
        <f t="shared" si="176"/>
        <v>9.6203707235237593E-2</v>
      </c>
      <c r="AM301" s="197">
        <f t="shared" si="177"/>
        <v>4.0790371867740751E-3</v>
      </c>
      <c r="AN301" s="197">
        <f t="shared" si="142"/>
        <v>24.05</v>
      </c>
      <c r="AO301" s="197">
        <f t="shared" si="143"/>
        <v>21.69</v>
      </c>
      <c r="AP301" s="197">
        <f t="shared" si="178"/>
        <v>7.4093290390420161E-2</v>
      </c>
      <c r="AQ301" s="197">
        <f t="shared" si="179"/>
        <v>0.42250439890466829</v>
      </c>
      <c r="AR301" s="197">
        <f t="shared" si="180"/>
        <v>0.30589509873355925</v>
      </c>
      <c r="AS301" s="258">
        <f t="shared" si="181"/>
        <v>0.15228632177729159</v>
      </c>
      <c r="AT301" s="197">
        <f t="shared" si="144"/>
        <v>2.5974058656511614E-4</v>
      </c>
      <c r="AU301" s="194">
        <f t="shared" si="145"/>
        <v>21.19</v>
      </c>
      <c r="AV301" s="197">
        <f t="shared" si="146"/>
        <v>2.7E-2</v>
      </c>
      <c r="AW301" s="197">
        <f t="shared" si="147"/>
        <v>3.4260000000000002E-3</v>
      </c>
      <c r="AX301" s="197">
        <f t="shared" si="182"/>
        <v>6.1668000000000001E-2</v>
      </c>
      <c r="AY301" s="197">
        <f t="shared" si="148"/>
        <v>2.8867476000000005E-3</v>
      </c>
      <c r="AZ301" s="197">
        <f t="shared" si="149"/>
        <v>0</v>
      </c>
      <c r="BA301" s="197">
        <f t="shared" si="183"/>
        <v>7.2596940000000013E-2</v>
      </c>
      <c r="BB301" s="258">
        <f t="shared" si="150"/>
        <v>0.36575210336206115</v>
      </c>
      <c r="BC301" s="197">
        <f t="shared" si="151"/>
        <v>2.2380490766334034E-2</v>
      </c>
      <c r="BD301" s="197">
        <f t="shared" si="184"/>
        <v>4.4760981532668068E-3</v>
      </c>
      <c r="BE301" s="197">
        <f t="shared" si="185"/>
        <v>2.6856588919600841E-2</v>
      </c>
      <c r="BF301" s="197">
        <f t="shared" si="152"/>
        <v>0.20773291256157633</v>
      </c>
      <c r="BG301" s="197">
        <f t="shared" si="153"/>
        <v>5.4608303342508187E-4</v>
      </c>
      <c r="BH301" s="197">
        <f t="shared" si="154"/>
        <v>3.5336687086656722E-2</v>
      </c>
      <c r="BI301" s="197">
        <f t="shared" si="186"/>
        <v>0.44730899017824427</v>
      </c>
      <c r="BJ301" s="197">
        <f t="shared" si="155"/>
        <v>6.769615024661003</v>
      </c>
      <c r="BK301" s="288">
        <f t="shared" si="156"/>
        <v>0.93392401361838984</v>
      </c>
      <c r="BL301" s="197">
        <f t="shared" si="157"/>
        <v>0.37608972359227794</v>
      </c>
      <c r="BM301" s="197">
        <f t="shared" si="158"/>
        <v>7.4353030976985271E-2</v>
      </c>
      <c r="BN301" s="197">
        <f t="shared" si="159"/>
        <v>54.461181858619113</v>
      </c>
      <c r="BO301" s="197">
        <f t="shared" si="187"/>
        <v>0.2082789955950014</v>
      </c>
      <c r="BP301" s="197">
        <f t="shared" si="160"/>
        <v>65.620924669625111</v>
      </c>
      <c r="BQ301" s="197">
        <f t="shared" si="161"/>
        <v>9.9596940000000009E-2</v>
      </c>
      <c r="BR301" s="288">
        <f t="shared" si="162"/>
        <v>0.16008975919012108</v>
      </c>
      <c r="BS301" s="197">
        <f t="shared" si="163"/>
        <v>0.11660930017110901</v>
      </c>
      <c r="BT301" s="197">
        <f t="shared" si="164"/>
        <v>0.36419974881911377</v>
      </c>
      <c r="BU301" s="197">
        <f t="shared" si="165"/>
        <v>0.1713930788771201</v>
      </c>
      <c r="BV301" s="197">
        <f t="shared" si="166"/>
        <v>0.53530306917875781</v>
      </c>
      <c r="BW301" s="194"/>
      <c r="BX301" s="194"/>
      <c r="BY301" s="194"/>
      <c r="BZ301" s="194"/>
      <c r="CA301" s="194"/>
      <c r="CB301" s="194"/>
      <c r="CC301" s="194"/>
      <c r="CD301" s="194"/>
      <c r="CE301" s="194"/>
      <c r="CF301" s="194"/>
      <c r="CG301" s="194"/>
      <c r="CH301" s="194"/>
      <c r="CI301" s="194"/>
      <c r="CJ301" s="194"/>
      <c r="CK301" s="194"/>
      <c r="CL301" s="194"/>
      <c r="CM301" s="194"/>
      <c r="CN301" s="194"/>
      <c r="CO301" s="194"/>
      <c r="CP301" s="194"/>
      <c r="CQ301" s="194"/>
      <c r="CR301" s="194"/>
      <c r="CS301" s="194"/>
      <c r="CT301" s="194"/>
      <c r="CU301" s="194"/>
      <c r="CV301" s="194"/>
      <c r="CW301" s="194"/>
      <c r="CX301" s="194"/>
      <c r="CY301" s="194"/>
      <c r="CZ301" s="194"/>
      <c r="DA301" s="194"/>
      <c r="DB301" s="194"/>
      <c r="DC301" s="194"/>
      <c r="DD301" s="194"/>
      <c r="DE301" s="194"/>
      <c r="DF301" s="194"/>
    </row>
    <row r="302" spans="2:110" s="192" customFormat="1" hidden="1" x14ac:dyDescent="0.35">
      <c r="B302" s="289"/>
      <c r="C302" s="289"/>
      <c r="Q302" s="193"/>
      <c r="R302" s="194">
        <f t="shared" si="167"/>
        <v>18</v>
      </c>
      <c r="S302" s="197">
        <f t="shared" si="133"/>
        <v>0.3888888888888889</v>
      </c>
      <c r="T302" s="194">
        <f t="shared" si="188"/>
        <v>0.69</v>
      </c>
      <c r="U302" s="194">
        <f t="shared" si="189"/>
        <v>1.4999999999999999E-4</v>
      </c>
      <c r="V302" s="197">
        <f t="shared" si="168"/>
        <v>0.3888888888888889</v>
      </c>
      <c r="W302" s="197">
        <f t="shared" si="134"/>
        <v>4.3555555555555561E-3</v>
      </c>
      <c r="X302" s="286">
        <f t="shared" si="135"/>
        <v>1</v>
      </c>
      <c r="Y302" s="286">
        <f t="shared" si="136"/>
        <v>0.17335969315081967</v>
      </c>
      <c r="Z302" s="286">
        <f t="shared" si="137"/>
        <v>0.54964853345132902</v>
      </c>
      <c r="AA302" s="286">
        <f t="shared" si="169"/>
        <v>0.17335969315081967</v>
      </c>
      <c r="AB302" s="197">
        <f t="shared" si="138"/>
        <v>0.36419974881911377</v>
      </c>
      <c r="AC302" s="287">
        <f t="shared" si="139"/>
        <v>4.4451203372005044E-7</v>
      </c>
      <c r="AD302" s="197">
        <f t="shared" si="170"/>
        <v>11.693936048110356</v>
      </c>
      <c r="AE302" s="197">
        <f t="shared" si="171"/>
        <v>35.08180814433107</v>
      </c>
      <c r="AF302" s="197">
        <f t="shared" si="172"/>
        <v>8.5178571428571423E-2</v>
      </c>
      <c r="AG302" s="197">
        <f t="shared" si="173"/>
        <v>0.25553571428571431</v>
      </c>
      <c r="AH302" s="197">
        <f t="shared" si="140"/>
        <v>0.11660930017110901</v>
      </c>
      <c r="AI302" s="197">
        <f t="shared" si="174"/>
        <v>0.11660930017110901</v>
      </c>
      <c r="AJ302" s="218">
        <f t="shared" si="141"/>
        <v>390.00000000000006</v>
      </c>
      <c r="AK302" s="197">
        <f t="shared" si="175"/>
        <v>6.0930617977437734E-2</v>
      </c>
      <c r="AL302" s="197">
        <f t="shared" si="176"/>
        <v>9.6203707235237593E-2</v>
      </c>
      <c r="AM302" s="197">
        <f t="shared" si="177"/>
        <v>4.0790371867740751E-3</v>
      </c>
      <c r="AN302" s="197">
        <f t="shared" si="142"/>
        <v>24.05</v>
      </c>
      <c r="AO302" s="197">
        <f t="shared" si="143"/>
        <v>21.69</v>
      </c>
      <c r="AP302" s="197">
        <f t="shared" si="178"/>
        <v>7.4093290390420161E-2</v>
      </c>
      <c r="AQ302" s="197">
        <f t="shared" si="179"/>
        <v>0.42250439890466829</v>
      </c>
      <c r="AR302" s="197">
        <f t="shared" si="180"/>
        <v>0.30589509873355925</v>
      </c>
      <c r="AS302" s="258">
        <f t="shared" si="181"/>
        <v>0.15228632177729159</v>
      </c>
      <c r="AT302" s="197">
        <f t="shared" si="144"/>
        <v>2.5974058656511614E-4</v>
      </c>
      <c r="AU302" s="194">
        <f t="shared" si="145"/>
        <v>21.19</v>
      </c>
      <c r="AV302" s="197">
        <f t="shared" si="146"/>
        <v>2.7E-2</v>
      </c>
      <c r="AW302" s="197">
        <f t="shared" si="147"/>
        <v>3.4260000000000002E-3</v>
      </c>
      <c r="AX302" s="197">
        <f t="shared" si="182"/>
        <v>6.1668000000000001E-2</v>
      </c>
      <c r="AY302" s="197">
        <f t="shared" si="148"/>
        <v>2.8867476000000005E-3</v>
      </c>
      <c r="AZ302" s="197">
        <f t="shared" si="149"/>
        <v>0</v>
      </c>
      <c r="BA302" s="197">
        <f t="shared" si="183"/>
        <v>7.2596940000000013E-2</v>
      </c>
      <c r="BB302" s="258">
        <f t="shared" si="150"/>
        <v>0.36575210336206115</v>
      </c>
      <c r="BC302" s="197">
        <f t="shared" si="151"/>
        <v>2.2380490766334034E-2</v>
      </c>
      <c r="BD302" s="197">
        <f t="shared" si="184"/>
        <v>4.4760981532668068E-3</v>
      </c>
      <c r="BE302" s="197">
        <f t="shared" si="185"/>
        <v>2.6856588919600841E-2</v>
      </c>
      <c r="BF302" s="197">
        <f t="shared" si="152"/>
        <v>0.20773291256157633</v>
      </c>
      <c r="BG302" s="197">
        <f t="shared" si="153"/>
        <v>5.4608303342508187E-4</v>
      </c>
      <c r="BH302" s="197">
        <f t="shared" si="154"/>
        <v>3.5336687086656722E-2</v>
      </c>
      <c r="BI302" s="197">
        <f t="shared" si="186"/>
        <v>0.44730899017824427</v>
      </c>
      <c r="BJ302" s="197">
        <f t="shared" si="155"/>
        <v>6.769615024661003</v>
      </c>
      <c r="BK302" s="288">
        <f t="shared" si="156"/>
        <v>0.93392401361838984</v>
      </c>
      <c r="BL302" s="197">
        <f t="shared" si="157"/>
        <v>0.37608972359227794</v>
      </c>
      <c r="BM302" s="197">
        <f t="shared" si="158"/>
        <v>7.4353030976985271E-2</v>
      </c>
      <c r="BN302" s="197">
        <f t="shared" si="159"/>
        <v>54.461181858619113</v>
      </c>
      <c r="BO302" s="197">
        <f t="shared" si="187"/>
        <v>0.2082789955950014</v>
      </c>
      <c r="BP302" s="197">
        <f t="shared" si="160"/>
        <v>65.620924669625111</v>
      </c>
      <c r="BQ302" s="197">
        <f t="shared" si="161"/>
        <v>9.9596940000000009E-2</v>
      </c>
      <c r="BR302" s="288">
        <f t="shared" si="162"/>
        <v>0.16008975919012108</v>
      </c>
      <c r="BS302" s="197">
        <f t="shared" si="163"/>
        <v>0.11660930017110901</v>
      </c>
      <c r="BT302" s="197">
        <f t="shared" si="164"/>
        <v>0.36419974881911377</v>
      </c>
      <c r="BU302" s="197">
        <f t="shared" si="165"/>
        <v>0.1713930788771201</v>
      </c>
      <c r="BV302" s="197">
        <f t="shared" si="166"/>
        <v>0.53530306917875781</v>
      </c>
      <c r="BW302" s="194"/>
      <c r="BX302" s="194"/>
      <c r="BY302" s="194"/>
      <c r="BZ302" s="194"/>
      <c r="CA302" s="194"/>
      <c r="CB302" s="194"/>
      <c r="CC302" s="194"/>
      <c r="CD302" s="194"/>
      <c r="CE302" s="194"/>
      <c r="CF302" s="194"/>
      <c r="CG302" s="194"/>
      <c r="CH302" s="194"/>
      <c r="CI302" s="194"/>
      <c r="CJ302" s="194"/>
      <c r="CK302" s="194"/>
      <c r="CL302" s="194"/>
      <c r="CM302" s="194"/>
      <c r="CN302" s="194"/>
      <c r="CO302" s="194"/>
      <c r="CP302" s="194"/>
      <c r="CQ302" s="194"/>
      <c r="CR302" s="194"/>
      <c r="CS302" s="194"/>
      <c r="CT302" s="194"/>
      <c r="CU302" s="194"/>
      <c r="CV302" s="194"/>
      <c r="CW302" s="194"/>
      <c r="CX302" s="194"/>
      <c r="CY302" s="194"/>
      <c r="CZ302" s="194"/>
      <c r="DA302" s="194"/>
      <c r="DB302" s="194"/>
      <c r="DC302" s="194"/>
      <c r="DD302" s="194"/>
      <c r="DE302" s="194"/>
      <c r="DF302" s="194"/>
    </row>
    <row r="303" spans="2:110" s="192" customFormat="1" hidden="1" x14ac:dyDescent="0.35">
      <c r="B303" s="289"/>
      <c r="C303" s="289"/>
      <c r="Q303" s="193"/>
      <c r="R303" s="194">
        <f t="shared" si="167"/>
        <v>18</v>
      </c>
      <c r="S303" s="197">
        <f t="shared" si="133"/>
        <v>0.3888888888888889</v>
      </c>
      <c r="T303" s="194">
        <f t="shared" si="188"/>
        <v>0.69</v>
      </c>
      <c r="U303" s="194">
        <f t="shared" si="189"/>
        <v>1.4999999999999999E-4</v>
      </c>
      <c r="V303" s="197">
        <f t="shared" si="168"/>
        <v>0.3888888888888889</v>
      </c>
      <c r="W303" s="197">
        <f t="shared" si="134"/>
        <v>4.3555555555555561E-3</v>
      </c>
      <c r="X303" s="286">
        <f t="shared" si="135"/>
        <v>1</v>
      </c>
      <c r="Y303" s="286">
        <f t="shared" si="136"/>
        <v>0.17335969315081967</v>
      </c>
      <c r="Z303" s="286">
        <f t="shared" si="137"/>
        <v>0.54964853345132902</v>
      </c>
      <c r="AA303" s="286">
        <f t="shared" si="169"/>
        <v>0.17335969315081967</v>
      </c>
      <c r="AB303" s="197">
        <f t="shared" si="138"/>
        <v>0.36419974881911377</v>
      </c>
      <c r="AC303" s="287">
        <f t="shared" si="139"/>
        <v>4.4451203372005044E-7</v>
      </c>
      <c r="AD303" s="197">
        <f t="shared" si="170"/>
        <v>11.693936048110356</v>
      </c>
      <c r="AE303" s="197">
        <f t="shared" si="171"/>
        <v>35.08180814433107</v>
      </c>
      <c r="AF303" s="197">
        <f t="shared" si="172"/>
        <v>8.5178571428571423E-2</v>
      </c>
      <c r="AG303" s="197">
        <f t="shared" si="173"/>
        <v>0.25553571428571431</v>
      </c>
      <c r="AH303" s="197">
        <f t="shared" si="140"/>
        <v>0.11660930017110901</v>
      </c>
      <c r="AI303" s="197">
        <f t="shared" si="174"/>
        <v>0.11660930017110901</v>
      </c>
      <c r="AJ303" s="218">
        <f t="shared" si="141"/>
        <v>390.00000000000006</v>
      </c>
      <c r="AK303" s="197">
        <f t="shared" si="175"/>
        <v>6.0930617977437734E-2</v>
      </c>
      <c r="AL303" s="197">
        <f t="shared" si="176"/>
        <v>9.6203707235237593E-2</v>
      </c>
      <c r="AM303" s="197">
        <f t="shared" si="177"/>
        <v>4.0790371867740751E-3</v>
      </c>
      <c r="AN303" s="197">
        <f t="shared" si="142"/>
        <v>24.05</v>
      </c>
      <c r="AO303" s="197">
        <f t="shared" si="143"/>
        <v>21.69</v>
      </c>
      <c r="AP303" s="197">
        <f t="shared" si="178"/>
        <v>7.4093290390420161E-2</v>
      </c>
      <c r="AQ303" s="197">
        <f t="shared" si="179"/>
        <v>0.42250439890466829</v>
      </c>
      <c r="AR303" s="197">
        <f t="shared" si="180"/>
        <v>0.30589509873355925</v>
      </c>
      <c r="AS303" s="258">
        <f t="shared" si="181"/>
        <v>0.15228632177729159</v>
      </c>
      <c r="AT303" s="197">
        <f t="shared" si="144"/>
        <v>2.5974058656511614E-4</v>
      </c>
      <c r="AU303" s="194">
        <f t="shared" si="145"/>
        <v>21.19</v>
      </c>
      <c r="AV303" s="197">
        <f t="shared" si="146"/>
        <v>2.7E-2</v>
      </c>
      <c r="AW303" s="197">
        <f t="shared" si="147"/>
        <v>3.4260000000000002E-3</v>
      </c>
      <c r="AX303" s="197">
        <f t="shared" si="182"/>
        <v>6.1668000000000001E-2</v>
      </c>
      <c r="AY303" s="197">
        <f t="shared" si="148"/>
        <v>2.8867476000000005E-3</v>
      </c>
      <c r="AZ303" s="197">
        <f t="shared" si="149"/>
        <v>0</v>
      </c>
      <c r="BA303" s="197">
        <f t="shared" si="183"/>
        <v>7.2596940000000013E-2</v>
      </c>
      <c r="BB303" s="258">
        <f t="shared" si="150"/>
        <v>0.36575210336206115</v>
      </c>
      <c r="BC303" s="197">
        <f t="shared" si="151"/>
        <v>2.2380490766334034E-2</v>
      </c>
      <c r="BD303" s="197">
        <f t="shared" si="184"/>
        <v>4.4760981532668068E-3</v>
      </c>
      <c r="BE303" s="197">
        <f t="shared" si="185"/>
        <v>2.6856588919600841E-2</v>
      </c>
      <c r="BF303" s="197">
        <f t="shared" si="152"/>
        <v>0.20773291256157633</v>
      </c>
      <c r="BG303" s="197">
        <f t="shared" si="153"/>
        <v>5.4608303342508187E-4</v>
      </c>
      <c r="BH303" s="197">
        <f t="shared" si="154"/>
        <v>3.5336687086656722E-2</v>
      </c>
      <c r="BI303" s="197">
        <f t="shared" si="186"/>
        <v>0.44730899017824427</v>
      </c>
      <c r="BJ303" s="197">
        <f t="shared" si="155"/>
        <v>6.769615024661003</v>
      </c>
      <c r="BK303" s="288">
        <f t="shared" si="156"/>
        <v>0.93392401361838984</v>
      </c>
      <c r="BL303" s="197">
        <f t="shared" si="157"/>
        <v>0.37608972359227794</v>
      </c>
      <c r="BM303" s="197">
        <f t="shared" si="158"/>
        <v>7.4353030976985271E-2</v>
      </c>
      <c r="BN303" s="197">
        <f t="shared" si="159"/>
        <v>54.461181858619113</v>
      </c>
      <c r="BO303" s="197">
        <f t="shared" si="187"/>
        <v>0.2082789955950014</v>
      </c>
      <c r="BP303" s="197">
        <f t="shared" si="160"/>
        <v>65.620924669625111</v>
      </c>
      <c r="BQ303" s="197">
        <f t="shared" si="161"/>
        <v>9.9596940000000009E-2</v>
      </c>
      <c r="BR303" s="288">
        <f t="shared" si="162"/>
        <v>0.16008975919012108</v>
      </c>
      <c r="BS303" s="197">
        <f t="shared" si="163"/>
        <v>0.11660930017110901</v>
      </c>
      <c r="BT303" s="197">
        <f t="shared" si="164"/>
        <v>0.36419974881911377</v>
      </c>
      <c r="BU303" s="197">
        <f t="shared" si="165"/>
        <v>0.1713930788771201</v>
      </c>
      <c r="BV303" s="197">
        <f t="shared" si="166"/>
        <v>0.53530306917875781</v>
      </c>
      <c r="BW303" s="194"/>
      <c r="BX303" s="194"/>
      <c r="BY303" s="194"/>
      <c r="BZ303" s="194"/>
      <c r="CA303" s="194"/>
      <c r="CB303" s="194"/>
      <c r="CC303" s="194"/>
      <c r="CD303" s="194"/>
      <c r="CE303" s="194"/>
      <c r="CF303" s="194"/>
      <c r="CG303" s="194"/>
      <c r="CH303" s="194"/>
      <c r="CI303" s="194"/>
      <c r="CJ303" s="194"/>
      <c r="CK303" s="194"/>
      <c r="CL303" s="194"/>
      <c r="CM303" s="194"/>
      <c r="CN303" s="194"/>
      <c r="CO303" s="194"/>
      <c r="CP303" s="194"/>
      <c r="CQ303" s="194"/>
      <c r="CR303" s="194"/>
      <c r="CS303" s="194"/>
      <c r="CT303" s="194"/>
      <c r="CU303" s="194"/>
      <c r="CV303" s="194"/>
      <c r="CW303" s="194"/>
      <c r="CX303" s="194"/>
      <c r="CY303" s="194"/>
      <c r="CZ303" s="194"/>
      <c r="DA303" s="194"/>
      <c r="DB303" s="194"/>
      <c r="DC303" s="194"/>
      <c r="DD303" s="194"/>
      <c r="DE303" s="194"/>
      <c r="DF303" s="194"/>
    </row>
    <row r="304" spans="2:110" s="192" customFormat="1" hidden="1" x14ac:dyDescent="0.35">
      <c r="B304" s="289"/>
      <c r="C304" s="289"/>
      <c r="Q304" s="193"/>
      <c r="R304" s="194">
        <f t="shared" si="167"/>
        <v>18</v>
      </c>
      <c r="S304" s="197">
        <f t="shared" si="133"/>
        <v>0.3888888888888889</v>
      </c>
      <c r="T304" s="194">
        <f t="shared" si="188"/>
        <v>0.69</v>
      </c>
      <c r="U304" s="194">
        <f t="shared" si="189"/>
        <v>1.4999999999999999E-4</v>
      </c>
      <c r="V304" s="197">
        <f t="shared" si="168"/>
        <v>0.3888888888888889</v>
      </c>
      <c r="W304" s="197">
        <f t="shared" si="134"/>
        <v>4.3555555555555561E-3</v>
      </c>
      <c r="X304" s="286">
        <f t="shared" si="135"/>
        <v>1</v>
      </c>
      <c r="Y304" s="286">
        <f t="shared" si="136"/>
        <v>0.17335969315081967</v>
      </c>
      <c r="Z304" s="286">
        <f t="shared" si="137"/>
        <v>0.54964853345132902</v>
      </c>
      <c r="AA304" s="286">
        <f t="shared" si="169"/>
        <v>0.17335969315081967</v>
      </c>
      <c r="AB304" s="197">
        <f t="shared" si="138"/>
        <v>0.36419974881911377</v>
      </c>
      <c r="AC304" s="287">
        <f t="shared" si="139"/>
        <v>4.4451203372005044E-7</v>
      </c>
      <c r="AD304" s="197">
        <f t="shared" si="170"/>
        <v>11.693936048110356</v>
      </c>
      <c r="AE304" s="197">
        <f t="shared" si="171"/>
        <v>35.08180814433107</v>
      </c>
      <c r="AF304" s="197">
        <f t="shared" si="172"/>
        <v>8.5178571428571423E-2</v>
      </c>
      <c r="AG304" s="197">
        <f t="shared" si="173"/>
        <v>0.25553571428571431</v>
      </c>
      <c r="AH304" s="197">
        <f t="shared" si="140"/>
        <v>0.11660930017110901</v>
      </c>
      <c r="AI304" s="197">
        <f t="shared" si="174"/>
        <v>0.11660930017110901</v>
      </c>
      <c r="AJ304" s="218">
        <f t="shared" si="141"/>
        <v>390.00000000000006</v>
      </c>
      <c r="AK304" s="197">
        <f t="shared" si="175"/>
        <v>6.0930617977437734E-2</v>
      </c>
      <c r="AL304" s="197">
        <f t="shared" si="176"/>
        <v>9.6203707235237593E-2</v>
      </c>
      <c r="AM304" s="197">
        <f t="shared" si="177"/>
        <v>4.0790371867740751E-3</v>
      </c>
      <c r="AN304" s="197">
        <f t="shared" si="142"/>
        <v>24.05</v>
      </c>
      <c r="AO304" s="197">
        <f t="shared" si="143"/>
        <v>21.69</v>
      </c>
      <c r="AP304" s="197">
        <f t="shared" si="178"/>
        <v>7.4093290390420161E-2</v>
      </c>
      <c r="AQ304" s="197">
        <f t="shared" si="179"/>
        <v>0.42250439890466829</v>
      </c>
      <c r="AR304" s="197">
        <f t="shared" si="180"/>
        <v>0.30589509873355925</v>
      </c>
      <c r="AS304" s="258">
        <f t="shared" si="181"/>
        <v>0.15228632177729159</v>
      </c>
      <c r="AT304" s="197">
        <f t="shared" si="144"/>
        <v>2.5974058656511614E-4</v>
      </c>
      <c r="AU304" s="194">
        <f t="shared" si="145"/>
        <v>21.19</v>
      </c>
      <c r="AV304" s="197">
        <f t="shared" si="146"/>
        <v>2.7E-2</v>
      </c>
      <c r="AW304" s="197">
        <f t="shared" si="147"/>
        <v>3.4260000000000002E-3</v>
      </c>
      <c r="AX304" s="197">
        <f t="shared" si="182"/>
        <v>6.1668000000000001E-2</v>
      </c>
      <c r="AY304" s="197">
        <f t="shared" si="148"/>
        <v>2.8867476000000005E-3</v>
      </c>
      <c r="AZ304" s="197">
        <f t="shared" si="149"/>
        <v>0</v>
      </c>
      <c r="BA304" s="197">
        <f t="shared" si="183"/>
        <v>7.2596940000000013E-2</v>
      </c>
      <c r="BB304" s="258">
        <f t="shared" si="150"/>
        <v>0.36575210336206115</v>
      </c>
      <c r="BC304" s="197">
        <f t="shared" si="151"/>
        <v>2.2380490766334034E-2</v>
      </c>
      <c r="BD304" s="197">
        <f t="shared" si="184"/>
        <v>4.4760981532668068E-3</v>
      </c>
      <c r="BE304" s="197">
        <f t="shared" si="185"/>
        <v>2.6856588919600841E-2</v>
      </c>
      <c r="BF304" s="197">
        <f t="shared" si="152"/>
        <v>0.20773291256157633</v>
      </c>
      <c r="BG304" s="197">
        <f t="shared" si="153"/>
        <v>5.4608303342508187E-4</v>
      </c>
      <c r="BH304" s="197">
        <f t="shared" si="154"/>
        <v>3.5336687086656722E-2</v>
      </c>
      <c r="BI304" s="197">
        <f t="shared" si="186"/>
        <v>0.44730899017824427</v>
      </c>
      <c r="BJ304" s="197">
        <f t="shared" si="155"/>
        <v>6.769615024661003</v>
      </c>
      <c r="BK304" s="288">
        <f t="shared" si="156"/>
        <v>0.93392401361838984</v>
      </c>
      <c r="BL304" s="197">
        <f t="shared" si="157"/>
        <v>0.37608972359227794</v>
      </c>
      <c r="BM304" s="197">
        <f t="shared" si="158"/>
        <v>7.4353030976985271E-2</v>
      </c>
      <c r="BN304" s="197">
        <f t="shared" si="159"/>
        <v>54.461181858619113</v>
      </c>
      <c r="BO304" s="197">
        <f t="shared" si="187"/>
        <v>0.2082789955950014</v>
      </c>
      <c r="BP304" s="197">
        <f t="shared" si="160"/>
        <v>65.620924669625111</v>
      </c>
      <c r="BQ304" s="197">
        <f t="shared" si="161"/>
        <v>9.9596940000000009E-2</v>
      </c>
      <c r="BR304" s="288">
        <f t="shared" si="162"/>
        <v>0.16008975919012108</v>
      </c>
      <c r="BS304" s="197">
        <f t="shared" si="163"/>
        <v>0.11660930017110901</v>
      </c>
      <c r="BT304" s="197">
        <f t="shared" si="164"/>
        <v>0.36419974881911377</v>
      </c>
      <c r="BU304" s="197">
        <f t="shared" si="165"/>
        <v>0.1713930788771201</v>
      </c>
      <c r="BV304" s="197">
        <f t="shared" si="166"/>
        <v>0.53530306917875781</v>
      </c>
      <c r="BW304" s="194"/>
      <c r="BX304" s="194"/>
      <c r="BY304" s="194"/>
      <c r="BZ304" s="194"/>
      <c r="CA304" s="194"/>
      <c r="CB304" s="194"/>
      <c r="CC304" s="194"/>
      <c r="CD304" s="194"/>
      <c r="CE304" s="194"/>
      <c r="CF304" s="194"/>
      <c r="CG304" s="194"/>
      <c r="CH304" s="194"/>
      <c r="CI304" s="194"/>
      <c r="CJ304" s="194"/>
      <c r="CK304" s="194"/>
      <c r="CL304" s="194"/>
      <c r="CM304" s="194"/>
      <c r="CN304" s="194"/>
      <c r="CO304" s="194"/>
      <c r="CP304" s="194"/>
      <c r="CQ304" s="194"/>
      <c r="CR304" s="194"/>
      <c r="CS304" s="194"/>
      <c r="CT304" s="194"/>
      <c r="CU304" s="194"/>
      <c r="CV304" s="194"/>
      <c r="CW304" s="194"/>
      <c r="CX304" s="194"/>
      <c r="CY304" s="194"/>
      <c r="CZ304" s="194"/>
      <c r="DA304" s="194"/>
      <c r="DB304" s="194"/>
      <c r="DC304" s="194"/>
      <c r="DD304" s="194"/>
      <c r="DE304" s="194"/>
      <c r="DF304" s="194"/>
    </row>
    <row r="305" spans="2:110" s="192" customFormat="1" hidden="1" x14ac:dyDescent="0.35">
      <c r="B305" s="289"/>
      <c r="C305" s="289"/>
      <c r="Q305" s="193"/>
      <c r="R305" s="194">
        <f t="shared" si="167"/>
        <v>18</v>
      </c>
      <c r="S305" s="197">
        <f t="shared" si="133"/>
        <v>0.3888888888888889</v>
      </c>
      <c r="T305" s="194">
        <f t="shared" si="188"/>
        <v>0.69</v>
      </c>
      <c r="U305" s="194">
        <f t="shared" si="189"/>
        <v>1.4999999999999999E-4</v>
      </c>
      <c r="V305" s="197">
        <f t="shared" si="168"/>
        <v>0.3888888888888889</v>
      </c>
      <c r="W305" s="197">
        <f t="shared" si="134"/>
        <v>4.3555555555555561E-3</v>
      </c>
      <c r="X305" s="286">
        <f t="shared" si="135"/>
        <v>1</v>
      </c>
      <c r="Y305" s="286">
        <f t="shared" si="136"/>
        <v>0.17335969315081967</v>
      </c>
      <c r="Z305" s="286">
        <f t="shared" si="137"/>
        <v>0.54964853345132902</v>
      </c>
      <c r="AA305" s="286">
        <f t="shared" si="169"/>
        <v>0.17335969315081967</v>
      </c>
      <c r="AB305" s="197">
        <f t="shared" si="138"/>
        <v>0.36419974881911377</v>
      </c>
      <c r="AC305" s="287">
        <f t="shared" si="139"/>
        <v>4.4451203372005044E-7</v>
      </c>
      <c r="AD305" s="197">
        <f t="shared" si="170"/>
        <v>11.693936048110356</v>
      </c>
      <c r="AE305" s="197">
        <f t="shared" si="171"/>
        <v>35.08180814433107</v>
      </c>
      <c r="AF305" s="197">
        <f t="shared" si="172"/>
        <v>8.5178571428571423E-2</v>
      </c>
      <c r="AG305" s="197">
        <f t="shared" si="173"/>
        <v>0.25553571428571431</v>
      </c>
      <c r="AH305" s="197">
        <f t="shared" si="140"/>
        <v>0.11660930017110901</v>
      </c>
      <c r="AI305" s="197">
        <f t="shared" si="174"/>
        <v>0.11660930017110901</v>
      </c>
      <c r="AJ305" s="218">
        <f t="shared" si="141"/>
        <v>390.00000000000006</v>
      </c>
      <c r="AK305" s="197">
        <f t="shared" si="175"/>
        <v>6.0930617977437734E-2</v>
      </c>
      <c r="AL305" s="197">
        <f t="shared" si="176"/>
        <v>9.6203707235237593E-2</v>
      </c>
      <c r="AM305" s="197">
        <f t="shared" si="177"/>
        <v>4.0790371867740751E-3</v>
      </c>
      <c r="AN305" s="197">
        <f t="shared" si="142"/>
        <v>24.05</v>
      </c>
      <c r="AO305" s="197">
        <f t="shared" si="143"/>
        <v>21.69</v>
      </c>
      <c r="AP305" s="197">
        <f t="shared" si="178"/>
        <v>7.4093290390420161E-2</v>
      </c>
      <c r="AQ305" s="197">
        <f t="shared" si="179"/>
        <v>0.42250439890466829</v>
      </c>
      <c r="AR305" s="197">
        <f t="shared" si="180"/>
        <v>0.30589509873355925</v>
      </c>
      <c r="AS305" s="258">
        <f t="shared" si="181"/>
        <v>0.15228632177729159</v>
      </c>
      <c r="AT305" s="197">
        <f t="shared" si="144"/>
        <v>2.5974058656511614E-4</v>
      </c>
      <c r="AU305" s="194">
        <f t="shared" si="145"/>
        <v>21.19</v>
      </c>
      <c r="AV305" s="197">
        <f t="shared" si="146"/>
        <v>2.7E-2</v>
      </c>
      <c r="AW305" s="197">
        <f t="shared" si="147"/>
        <v>3.4260000000000002E-3</v>
      </c>
      <c r="AX305" s="197">
        <f t="shared" si="182"/>
        <v>6.1668000000000001E-2</v>
      </c>
      <c r="AY305" s="197">
        <f t="shared" si="148"/>
        <v>2.8867476000000005E-3</v>
      </c>
      <c r="AZ305" s="197">
        <f t="shared" si="149"/>
        <v>0</v>
      </c>
      <c r="BA305" s="197">
        <f t="shared" si="183"/>
        <v>7.2596940000000013E-2</v>
      </c>
      <c r="BB305" s="258">
        <f t="shared" si="150"/>
        <v>0.36575210336206115</v>
      </c>
      <c r="BC305" s="197">
        <f t="shared" si="151"/>
        <v>2.2380490766334034E-2</v>
      </c>
      <c r="BD305" s="197">
        <f t="shared" si="184"/>
        <v>4.4760981532668068E-3</v>
      </c>
      <c r="BE305" s="197">
        <f t="shared" si="185"/>
        <v>2.6856588919600841E-2</v>
      </c>
      <c r="BF305" s="197">
        <f t="shared" si="152"/>
        <v>0.20773291256157633</v>
      </c>
      <c r="BG305" s="197">
        <f t="shared" si="153"/>
        <v>5.4608303342508187E-4</v>
      </c>
      <c r="BH305" s="197">
        <f t="shared" si="154"/>
        <v>3.5336687086656722E-2</v>
      </c>
      <c r="BI305" s="197">
        <f t="shared" si="186"/>
        <v>0.44730899017824427</v>
      </c>
      <c r="BJ305" s="197">
        <f t="shared" si="155"/>
        <v>6.769615024661003</v>
      </c>
      <c r="BK305" s="288">
        <f t="shared" si="156"/>
        <v>0.93392401361838984</v>
      </c>
      <c r="BL305" s="197">
        <f t="shared" si="157"/>
        <v>0.37608972359227794</v>
      </c>
      <c r="BM305" s="197">
        <f t="shared" si="158"/>
        <v>7.4353030976985271E-2</v>
      </c>
      <c r="BN305" s="197">
        <f t="shared" si="159"/>
        <v>54.461181858619113</v>
      </c>
      <c r="BO305" s="197">
        <f t="shared" si="187"/>
        <v>0.2082789955950014</v>
      </c>
      <c r="BP305" s="197">
        <f t="shared" si="160"/>
        <v>65.620924669625111</v>
      </c>
      <c r="BQ305" s="197">
        <f t="shared" si="161"/>
        <v>9.9596940000000009E-2</v>
      </c>
      <c r="BR305" s="288">
        <f t="shared" si="162"/>
        <v>0.16008975919012108</v>
      </c>
      <c r="BS305" s="197">
        <f t="shared" si="163"/>
        <v>0.11660930017110901</v>
      </c>
      <c r="BT305" s="197">
        <f t="shared" si="164"/>
        <v>0.36419974881911377</v>
      </c>
      <c r="BU305" s="197">
        <f t="shared" si="165"/>
        <v>0.1713930788771201</v>
      </c>
      <c r="BV305" s="197">
        <f t="shared" si="166"/>
        <v>0.53530306917875781</v>
      </c>
      <c r="BW305" s="194"/>
      <c r="BX305" s="194"/>
      <c r="BY305" s="194"/>
      <c r="BZ305" s="194"/>
      <c r="CA305" s="194"/>
      <c r="CB305" s="194"/>
      <c r="CC305" s="194"/>
      <c r="CD305" s="194"/>
      <c r="CE305" s="194"/>
      <c r="CF305" s="194"/>
      <c r="CG305" s="194"/>
      <c r="CH305" s="194"/>
      <c r="CI305" s="194"/>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row>
    <row r="306" spans="2:110" s="192" customFormat="1" hidden="1" x14ac:dyDescent="0.35">
      <c r="B306" s="289"/>
      <c r="C306" s="289"/>
      <c r="Q306" s="193"/>
      <c r="R306" s="194">
        <f t="shared" si="167"/>
        <v>18</v>
      </c>
      <c r="S306" s="197">
        <f t="shared" si="133"/>
        <v>0.3888888888888889</v>
      </c>
      <c r="T306" s="194">
        <f t="shared" si="188"/>
        <v>0.69</v>
      </c>
      <c r="U306" s="194">
        <f t="shared" si="189"/>
        <v>1.4999999999999999E-4</v>
      </c>
      <c r="V306" s="197">
        <f t="shared" si="168"/>
        <v>0.3888888888888889</v>
      </c>
      <c r="W306" s="197">
        <f t="shared" si="134"/>
        <v>4.3555555555555561E-3</v>
      </c>
      <c r="X306" s="286">
        <f t="shared" si="135"/>
        <v>1</v>
      </c>
      <c r="Y306" s="286">
        <f t="shared" si="136"/>
        <v>0.17335969315081967</v>
      </c>
      <c r="Z306" s="286">
        <f t="shared" si="137"/>
        <v>0.54964853345132902</v>
      </c>
      <c r="AA306" s="286">
        <f t="shared" si="169"/>
        <v>0.17335969315081967</v>
      </c>
      <c r="AB306" s="197">
        <f t="shared" si="138"/>
        <v>0.36419974881911377</v>
      </c>
      <c r="AC306" s="287">
        <f t="shared" si="139"/>
        <v>4.4451203372005044E-7</v>
      </c>
      <c r="AD306" s="197">
        <f t="shared" si="170"/>
        <v>11.693936048110356</v>
      </c>
      <c r="AE306" s="197">
        <f t="shared" si="171"/>
        <v>35.08180814433107</v>
      </c>
      <c r="AF306" s="197">
        <f t="shared" si="172"/>
        <v>8.5178571428571423E-2</v>
      </c>
      <c r="AG306" s="197">
        <f t="shared" si="173"/>
        <v>0.25553571428571431</v>
      </c>
      <c r="AH306" s="197">
        <f t="shared" si="140"/>
        <v>0.11660930017110901</v>
      </c>
      <c r="AI306" s="197">
        <f t="shared" si="174"/>
        <v>0.11660930017110901</v>
      </c>
      <c r="AJ306" s="218">
        <f t="shared" si="141"/>
        <v>390.00000000000006</v>
      </c>
      <c r="AK306" s="197">
        <f t="shared" si="175"/>
        <v>6.0930617977437734E-2</v>
      </c>
      <c r="AL306" s="197">
        <f t="shared" si="176"/>
        <v>9.6203707235237593E-2</v>
      </c>
      <c r="AM306" s="197">
        <f t="shared" si="177"/>
        <v>4.0790371867740751E-3</v>
      </c>
      <c r="AN306" s="197">
        <f t="shared" si="142"/>
        <v>24.05</v>
      </c>
      <c r="AO306" s="197">
        <f t="shared" si="143"/>
        <v>21.69</v>
      </c>
      <c r="AP306" s="197">
        <f t="shared" si="178"/>
        <v>7.4093290390420161E-2</v>
      </c>
      <c r="AQ306" s="197">
        <f t="shared" si="179"/>
        <v>0.42250439890466829</v>
      </c>
      <c r="AR306" s="197">
        <f t="shared" si="180"/>
        <v>0.30589509873355925</v>
      </c>
      <c r="AS306" s="258">
        <f t="shared" si="181"/>
        <v>0.15228632177729159</v>
      </c>
      <c r="AT306" s="197">
        <f t="shared" si="144"/>
        <v>2.5974058656511614E-4</v>
      </c>
      <c r="AU306" s="194">
        <f t="shared" si="145"/>
        <v>21.19</v>
      </c>
      <c r="AV306" s="197">
        <f t="shared" si="146"/>
        <v>2.7E-2</v>
      </c>
      <c r="AW306" s="197">
        <f t="shared" si="147"/>
        <v>3.4260000000000002E-3</v>
      </c>
      <c r="AX306" s="197">
        <f t="shared" si="182"/>
        <v>6.1668000000000001E-2</v>
      </c>
      <c r="AY306" s="197">
        <f t="shared" si="148"/>
        <v>2.8867476000000005E-3</v>
      </c>
      <c r="AZ306" s="197">
        <f t="shared" si="149"/>
        <v>0</v>
      </c>
      <c r="BA306" s="197">
        <f t="shared" si="183"/>
        <v>7.2596940000000013E-2</v>
      </c>
      <c r="BB306" s="258">
        <f t="shared" si="150"/>
        <v>0.36575210336206115</v>
      </c>
      <c r="BC306" s="197">
        <f t="shared" si="151"/>
        <v>2.2380490766334034E-2</v>
      </c>
      <c r="BD306" s="197">
        <f t="shared" si="184"/>
        <v>4.4760981532668068E-3</v>
      </c>
      <c r="BE306" s="197">
        <f t="shared" si="185"/>
        <v>2.6856588919600841E-2</v>
      </c>
      <c r="BF306" s="197">
        <f t="shared" si="152"/>
        <v>0.20773291256157633</v>
      </c>
      <c r="BG306" s="197">
        <f t="shared" si="153"/>
        <v>5.4608303342508187E-4</v>
      </c>
      <c r="BH306" s="197">
        <f t="shared" si="154"/>
        <v>3.5336687086656722E-2</v>
      </c>
      <c r="BI306" s="197">
        <f t="shared" si="186"/>
        <v>0.44730899017824427</v>
      </c>
      <c r="BJ306" s="197">
        <f t="shared" si="155"/>
        <v>6.769615024661003</v>
      </c>
      <c r="BK306" s="288">
        <f t="shared" si="156"/>
        <v>0.93392401361838984</v>
      </c>
      <c r="BL306" s="197">
        <f t="shared" si="157"/>
        <v>0.37608972359227794</v>
      </c>
      <c r="BM306" s="197">
        <f t="shared" si="158"/>
        <v>7.4353030976985271E-2</v>
      </c>
      <c r="BN306" s="197">
        <f t="shared" si="159"/>
        <v>54.461181858619113</v>
      </c>
      <c r="BO306" s="197">
        <f t="shared" si="187"/>
        <v>0.2082789955950014</v>
      </c>
      <c r="BP306" s="197">
        <f t="shared" si="160"/>
        <v>65.620924669625111</v>
      </c>
      <c r="BQ306" s="197">
        <f t="shared" si="161"/>
        <v>9.9596940000000009E-2</v>
      </c>
      <c r="BR306" s="288">
        <f t="shared" si="162"/>
        <v>0.16008975919012108</v>
      </c>
      <c r="BS306" s="197">
        <f t="shared" si="163"/>
        <v>0.11660930017110901</v>
      </c>
      <c r="BT306" s="197">
        <f t="shared" si="164"/>
        <v>0.36419974881911377</v>
      </c>
      <c r="BU306" s="197">
        <f t="shared" si="165"/>
        <v>0.1713930788771201</v>
      </c>
      <c r="BV306" s="197">
        <f t="shared" si="166"/>
        <v>0.53530306917875781</v>
      </c>
      <c r="BW306" s="194"/>
      <c r="BX306" s="194"/>
      <c r="BY306" s="194"/>
      <c r="BZ306" s="194"/>
      <c r="CA306" s="194"/>
      <c r="CB306" s="194"/>
      <c r="CC306" s="194"/>
      <c r="CD306" s="194"/>
      <c r="CE306" s="194"/>
      <c r="CF306" s="194"/>
      <c r="CG306" s="194"/>
      <c r="CH306" s="194"/>
      <c r="CI306" s="194"/>
      <c r="CJ306" s="194"/>
      <c r="CK306" s="194"/>
      <c r="CL306" s="194"/>
      <c r="CM306" s="194"/>
      <c r="CN306" s="194"/>
      <c r="CO306" s="194"/>
      <c r="CP306" s="194"/>
      <c r="CQ306" s="194"/>
      <c r="CR306" s="194"/>
      <c r="CS306" s="194"/>
      <c r="CT306" s="194"/>
      <c r="CU306" s="194"/>
      <c r="CV306" s="194"/>
      <c r="CW306" s="194"/>
      <c r="CX306" s="194"/>
      <c r="CY306" s="194"/>
      <c r="CZ306" s="194"/>
      <c r="DA306" s="194"/>
      <c r="DB306" s="194"/>
      <c r="DC306" s="194"/>
      <c r="DD306" s="194"/>
      <c r="DE306" s="194"/>
      <c r="DF306" s="194"/>
    </row>
    <row r="307" spans="2:110" s="192" customFormat="1" hidden="1" x14ac:dyDescent="0.35">
      <c r="B307" s="289"/>
      <c r="C307" s="289"/>
      <c r="Q307" s="193"/>
      <c r="R307" s="194">
        <f t="shared" si="167"/>
        <v>18</v>
      </c>
      <c r="S307" s="197">
        <f t="shared" si="133"/>
        <v>0.3888888888888889</v>
      </c>
      <c r="T307" s="194">
        <f t="shared" si="188"/>
        <v>0.69</v>
      </c>
      <c r="U307" s="194">
        <f t="shared" si="189"/>
        <v>1.4999999999999999E-4</v>
      </c>
      <c r="V307" s="197">
        <f t="shared" si="168"/>
        <v>0.3888888888888889</v>
      </c>
      <c r="W307" s="197">
        <f t="shared" si="134"/>
        <v>4.3555555555555561E-3</v>
      </c>
      <c r="X307" s="286">
        <f t="shared" si="135"/>
        <v>1</v>
      </c>
      <c r="Y307" s="286">
        <f t="shared" si="136"/>
        <v>0.17335969315081967</v>
      </c>
      <c r="Z307" s="286">
        <f t="shared" si="137"/>
        <v>0.54964853345132902</v>
      </c>
      <c r="AA307" s="286">
        <f t="shared" si="169"/>
        <v>0.17335969315081967</v>
      </c>
      <c r="AB307" s="197">
        <f t="shared" si="138"/>
        <v>0.36419974881911377</v>
      </c>
      <c r="AC307" s="287">
        <f t="shared" si="139"/>
        <v>4.4451203372005044E-7</v>
      </c>
      <c r="AD307" s="197">
        <f t="shared" si="170"/>
        <v>11.693936048110356</v>
      </c>
      <c r="AE307" s="197">
        <f t="shared" si="171"/>
        <v>35.08180814433107</v>
      </c>
      <c r="AF307" s="197">
        <f t="shared" si="172"/>
        <v>8.5178571428571423E-2</v>
      </c>
      <c r="AG307" s="197">
        <f t="shared" si="173"/>
        <v>0.25553571428571431</v>
      </c>
      <c r="AH307" s="197">
        <f t="shared" si="140"/>
        <v>0.11660930017110901</v>
      </c>
      <c r="AI307" s="197">
        <f t="shared" si="174"/>
        <v>0.11660930017110901</v>
      </c>
      <c r="AJ307" s="218">
        <f t="shared" si="141"/>
        <v>390.00000000000006</v>
      </c>
      <c r="AK307" s="197">
        <f t="shared" si="175"/>
        <v>6.0930617977437734E-2</v>
      </c>
      <c r="AL307" s="197">
        <f t="shared" si="176"/>
        <v>9.6203707235237593E-2</v>
      </c>
      <c r="AM307" s="197">
        <f t="shared" si="177"/>
        <v>4.0790371867740751E-3</v>
      </c>
      <c r="AN307" s="197">
        <f t="shared" si="142"/>
        <v>24.05</v>
      </c>
      <c r="AO307" s="197">
        <f t="shared" si="143"/>
        <v>21.69</v>
      </c>
      <c r="AP307" s="197">
        <f t="shared" si="178"/>
        <v>7.4093290390420161E-2</v>
      </c>
      <c r="AQ307" s="197">
        <f t="shared" si="179"/>
        <v>0.42250439890466829</v>
      </c>
      <c r="AR307" s="197">
        <f t="shared" si="180"/>
        <v>0.30589509873355925</v>
      </c>
      <c r="AS307" s="258">
        <f t="shared" si="181"/>
        <v>0.15228632177729159</v>
      </c>
      <c r="AT307" s="197">
        <f t="shared" si="144"/>
        <v>2.5974058656511614E-4</v>
      </c>
      <c r="AU307" s="194">
        <f t="shared" si="145"/>
        <v>21.19</v>
      </c>
      <c r="AV307" s="197">
        <f t="shared" si="146"/>
        <v>2.7E-2</v>
      </c>
      <c r="AW307" s="197">
        <f t="shared" si="147"/>
        <v>3.4260000000000002E-3</v>
      </c>
      <c r="AX307" s="197">
        <f t="shared" si="182"/>
        <v>6.1668000000000001E-2</v>
      </c>
      <c r="AY307" s="197">
        <f t="shared" si="148"/>
        <v>2.8867476000000005E-3</v>
      </c>
      <c r="AZ307" s="197">
        <f t="shared" si="149"/>
        <v>0</v>
      </c>
      <c r="BA307" s="197">
        <f t="shared" si="183"/>
        <v>7.2596940000000013E-2</v>
      </c>
      <c r="BB307" s="258">
        <f t="shared" si="150"/>
        <v>0.36575210336206115</v>
      </c>
      <c r="BC307" s="197">
        <f t="shared" si="151"/>
        <v>2.2380490766334034E-2</v>
      </c>
      <c r="BD307" s="197">
        <f t="shared" si="184"/>
        <v>4.4760981532668068E-3</v>
      </c>
      <c r="BE307" s="197">
        <f t="shared" si="185"/>
        <v>2.6856588919600841E-2</v>
      </c>
      <c r="BF307" s="197">
        <f t="shared" si="152"/>
        <v>0.20773291256157633</v>
      </c>
      <c r="BG307" s="197">
        <f t="shared" si="153"/>
        <v>5.4608303342508187E-4</v>
      </c>
      <c r="BH307" s="197">
        <f t="shared" si="154"/>
        <v>3.5336687086656722E-2</v>
      </c>
      <c r="BI307" s="197">
        <f t="shared" si="186"/>
        <v>0.44730899017824427</v>
      </c>
      <c r="BJ307" s="197">
        <f t="shared" si="155"/>
        <v>6.769615024661003</v>
      </c>
      <c r="BK307" s="288">
        <f t="shared" si="156"/>
        <v>0.93392401361838984</v>
      </c>
      <c r="BL307" s="197">
        <f t="shared" si="157"/>
        <v>0.37608972359227794</v>
      </c>
      <c r="BM307" s="197">
        <f t="shared" si="158"/>
        <v>7.4353030976985271E-2</v>
      </c>
      <c r="BN307" s="197">
        <f t="shared" si="159"/>
        <v>54.461181858619113</v>
      </c>
      <c r="BO307" s="197">
        <f t="shared" si="187"/>
        <v>0.2082789955950014</v>
      </c>
      <c r="BP307" s="197">
        <f t="shared" si="160"/>
        <v>65.620924669625111</v>
      </c>
      <c r="BQ307" s="197">
        <f t="shared" si="161"/>
        <v>9.9596940000000009E-2</v>
      </c>
      <c r="BR307" s="288">
        <f t="shared" si="162"/>
        <v>0.16008975919012108</v>
      </c>
      <c r="BS307" s="197">
        <f t="shared" si="163"/>
        <v>0.11660930017110901</v>
      </c>
      <c r="BT307" s="197">
        <f t="shared" si="164"/>
        <v>0.36419974881911377</v>
      </c>
      <c r="BU307" s="197">
        <f t="shared" si="165"/>
        <v>0.1713930788771201</v>
      </c>
      <c r="BV307" s="197">
        <f t="shared" si="166"/>
        <v>0.53530306917875781</v>
      </c>
      <c r="BW307" s="194"/>
      <c r="BX307" s="194"/>
      <c r="BY307" s="194"/>
      <c r="BZ307" s="194"/>
      <c r="CA307" s="194"/>
      <c r="CB307" s="194"/>
      <c r="CC307" s="194"/>
      <c r="CD307" s="194"/>
      <c r="CE307" s="194"/>
      <c r="CF307" s="194"/>
      <c r="CG307" s="194"/>
      <c r="CH307" s="194"/>
      <c r="CI307" s="194"/>
      <c r="CJ307" s="194"/>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row>
    <row r="308" spans="2:110" s="192" customFormat="1" hidden="1" x14ac:dyDescent="0.35">
      <c r="B308" s="289"/>
      <c r="C308" s="289"/>
      <c r="Q308" s="193"/>
      <c r="R308" s="194">
        <f t="shared" si="167"/>
        <v>18</v>
      </c>
      <c r="S308" s="197">
        <f t="shared" si="133"/>
        <v>0.3888888888888889</v>
      </c>
      <c r="T308" s="194">
        <f t="shared" si="188"/>
        <v>0.69</v>
      </c>
      <c r="U308" s="194">
        <f t="shared" si="189"/>
        <v>1.4999999999999999E-4</v>
      </c>
      <c r="V308" s="197">
        <f t="shared" si="168"/>
        <v>0.3888888888888889</v>
      </c>
      <c r="W308" s="197">
        <f t="shared" si="134"/>
        <v>4.3555555555555561E-3</v>
      </c>
      <c r="X308" s="286">
        <f t="shared" si="135"/>
        <v>1</v>
      </c>
      <c r="Y308" s="286">
        <f t="shared" si="136"/>
        <v>0.17335969315081967</v>
      </c>
      <c r="Z308" s="286">
        <f t="shared" si="137"/>
        <v>0.54964853345132902</v>
      </c>
      <c r="AA308" s="286">
        <f t="shared" si="169"/>
        <v>0.17335969315081967</v>
      </c>
      <c r="AB308" s="197">
        <f t="shared" si="138"/>
        <v>0.36419974881911377</v>
      </c>
      <c r="AC308" s="287">
        <f t="shared" si="139"/>
        <v>4.4451203372005044E-7</v>
      </c>
      <c r="AD308" s="197">
        <f t="shared" si="170"/>
        <v>11.693936048110356</v>
      </c>
      <c r="AE308" s="197">
        <f t="shared" si="171"/>
        <v>35.08180814433107</v>
      </c>
      <c r="AF308" s="197">
        <f t="shared" si="172"/>
        <v>8.5178571428571423E-2</v>
      </c>
      <c r="AG308" s="197">
        <f t="shared" si="173"/>
        <v>0.25553571428571431</v>
      </c>
      <c r="AH308" s="197">
        <f t="shared" si="140"/>
        <v>0.11660930017110901</v>
      </c>
      <c r="AI308" s="197">
        <f t="shared" si="174"/>
        <v>0.11660930017110901</v>
      </c>
      <c r="AJ308" s="218">
        <f t="shared" si="141"/>
        <v>390.00000000000006</v>
      </c>
      <c r="AK308" s="197">
        <f t="shared" si="175"/>
        <v>6.0930617977437734E-2</v>
      </c>
      <c r="AL308" s="197">
        <f t="shared" si="176"/>
        <v>9.6203707235237593E-2</v>
      </c>
      <c r="AM308" s="197">
        <f t="shared" si="177"/>
        <v>4.0790371867740751E-3</v>
      </c>
      <c r="AN308" s="197">
        <f t="shared" si="142"/>
        <v>24.05</v>
      </c>
      <c r="AO308" s="197">
        <f t="shared" si="143"/>
        <v>21.69</v>
      </c>
      <c r="AP308" s="197">
        <f t="shared" si="178"/>
        <v>7.4093290390420161E-2</v>
      </c>
      <c r="AQ308" s="197">
        <f t="shared" si="179"/>
        <v>0.42250439890466829</v>
      </c>
      <c r="AR308" s="197">
        <f t="shared" si="180"/>
        <v>0.30589509873355925</v>
      </c>
      <c r="AS308" s="258">
        <f t="shared" si="181"/>
        <v>0.15228632177729159</v>
      </c>
      <c r="AT308" s="197">
        <f t="shared" si="144"/>
        <v>2.5974058656511614E-4</v>
      </c>
      <c r="AU308" s="194">
        <f t="shared" si="145"/>
        <v>21.19</v>
      </c>
      <c r="AV308" s="197">
        <f t="shared" si="146"/>
        <v>2.7E-2</v>
      </c>
      <c r="AW308" s="197">
        <f t="shared" si="147"/>
        <v>3.4260000000000002E-3</v>
      </c>
      <c r="AX308" s="197">
        <f t="shared" si="182"/>
        <v>6.1668000000000001E-2</v>
      </c>
      <c r="AY308" s="197">
        <f t="shared" si="148"/>
        <v>2.8867476000000005E-3</v>
      </c>
      <c r="AZ308" s="197">
        <f t="shared" si="149"/>
        <v>0</v>
      </c>
      <c r="BA308" s="197">
        <f t="shared" si="183"/>
        <v>7.2596940000000013E-2</v>
      </c>
      <c r="BB308" s="258">
        <f t="shared" si="150"/>
        <v>0.36575210336206115</v>
      </c>
      <c r="BC308" s="197">
        <f t="shared" si="151"/>
        <v>2.2380490766334034E-2</v>
      </c>
      <c r="BD308" s="197">
        <f t="shared" si="184"/>
        <v>4.4760981532668068E-3</v>
      </c>
      <c r="BE308" s="197">
        <f t="shared" si="185"/>
        <v>2.6856588919600841E-2</v>
      </c>
      <c r="BF308" s="197">
        <f t="shared" si="152"/>
        <v>0.20773291256157633</v>
      </c>
      <c r="BG308" s="197">
        <f t="shared" si="153"/>
        <v>5.4608303342508187E-4</v>
      </c>
      <c r="BH308" s="197">
        <f t="shared" si="154"/>
        <v>3.5336687086656722E-2</v>
      </c>
      <c r="BI308" s="197">
        <f t="shared" si="186"/>
        <v>0.44730899017824427</v>
      </c>
      <c r="BJ308" s="197">
        <f t="shared" si="155"/>
        <v>6.769615024661003</v>
      </c>
      <c r="BK308" s="288">
        <f t="shared" si="156"/>
        <v>0.93392401361838984</v>
      </c>
      <c r="BL308" s="197">
        <f t="shared" si="157"/>
        <v>0.37608972359227794</v>
      </c>
      <c r="BM308" s="197">
        <f t="shared" si="158"/>
        <v>7.4353030976985271E-2</v>
      </c>
      <c r="BN308" s="197">
        <f t="shared" si="159"/>
        <v>54.461181858619113</v>
      </c>
      <c r="BO308" s="197">
        <f t="shared" si="187"/>
        <v>0.2082789955950014</v>
      </c>
      <c r="BP308" s="197">
        <f t="shared" si="160"/>
        <v>65.620924669625111</v>
      </c>
      <c r="BQ308" s="197">
        <f t="shared" si="161"/>
        <v>9.9596940000000009E-2</v>
      </c>
      <c r="BR308" s="288">
        <f t="shared" si="162"/>
        <v>0.16008975919012108</v>
      </c>
      <c r="BS308" s="197">
        <f t="shared" si="163"/>
        <v>0.11660930017110901</v>
      </c>
      <c r="BT308" s="197">
        <f t="shared" si="164"/>
        <v>0.36419974881911377</v>
      </c>
      <c r="BU308" s="197">
        <f t="shared" si="165"/>
        <v>0.1713930788771201</v>
      </c>
      <c r="BV308" s="197">
        <f t="shared" si="166"/>
        <v>0.53530306917875781</v>
      </c>
      <c r="BW308" s="194"/>
      <c r="BX308" s="194"/>
      <c r="BY308" s="194"/>
      <c r="BZ308" s="194"/>
      <c r="CA308" s="194"/>
      <c r="CB308" s="194"/>
      <c r="CC308" s="194"/>
      <c r="CD308" s="194"/>
      <c r="CE308" s="194"/>
      <c r="CF308" s="194"/>
      <c r="CG308" s="194"/>
      <c r="CH308" s="194"/>
      <c r="CI308" s="194"/>
      <c r="CJ308" s="194"/>
      <c r="CK308" s="194"/>
      <c r="CL308" s="194"/>
      <c r="CM308" s="194"/>
      <c r="CN308" s="194"/>
      <c r="CO308" s="194"/>
      <c r="CP308" s="194"/>
      <c r="CQ308" s="194"/>
      <c r="CR308" s="194"/>
      <c r="CS308" s="194"/>
      <c r="CT308" s="194"/>
      <c r="CU308" s="194"/>
      <c r="CV308" s="194"/>
      <c r="CW308" s="194"/>
      <c r="CX308" s="194"/>
      <c r="CY308" s="194"/>
      <c r="CZ308" s="194"/>
      <c r="DA308" s="194"/>
      <c r="DB308" s="194"/>
      <c r="DC308" s="194"/>
      <c r="DD308" s="194"/>
      <c r="DE308" s="194"/>
      <c r="DF308" s="194"/>
    </row>
    <row r="309" spans="2:110" s="192" customFormat="1" hidden="1" x14ac:dyDescent="0.35">
      <c r="B309" s="289"/>
      <c r="C309" s="289"/>
      <c r="Q309" s="193"/>
      <c r="R309" s="194">
        <f t="shared" si="167"/>
        <v>18</v>
      </c>
      <c r="S309" s="197">
        <f t="shared" si="133"/>
        <v>0.3888888888888889</v>
      </c>
      <c r="T309" s="194">
        <f t="shared" si="188"/>
        <v>0.69</v>
      </c>
      <c r="U309" s="194">
        <f t="shared" si="189"/>
        <v>1.4999999999999999E-4</v>
      </c>
      <c r="V309" s="197">
        <f t="shared" si="168"/>
        <v>0.3888888888888889</v>
      </c>
      <c r="W309" s="197">
        <f t="shared" si="134"/>
        <v>4.3555555555555561E-3</v>
      </c>
      <c r="X309" s="286">
        <f t="shared" si="135"/>
        <v>1</v>
      </c>
      <c r="Y309" s="286">
        <f t="shared" si="136"/>
        <v>0.17335969315081967</v>
      </c>
      <c r="Z309" s="286">
        <f t="shared" si="137"/>
        <v>0.54964853345132902</v>
      </c>
      <c r="AA309" s="286">
        <f t="shared" si="169"/>
        <v>0.17335969315081967</v>
      </c>
      <c r="AB309" s="197">
        <f t="shared" si="138"/>
        <v>0.36419974881911377</v>
      </c>
      <c r="AC309" s="287">
        <f t="shared" si="139"/>
        <v>4.4451203372005044E-7</v>
      </c>
      <c r="AD309" s="197">
        <f t="shared" si="170"/>
        <v>11.693936048110356</v>
      </c>
      <c r="AE309" s="197">
        <f t="shared" si="171"/>
        <v>35.08180814433107</v>
      </c>
      <c r="AF309" s="197">
        <f t="shared" si="172"/>
        <v>8.5178571428571423E-2</v>
      </c>
      <c r="AG309" s="197">
        <f t="shared" si="173"/>
        <v>0.25553571428571431</v>
      </c>
      <c r="AH309" s="197">
        <f t="shared" si="140"/>
        <v>0.11660930017110901</v>
      </c>
      <c r="AI309" s="197">
        <f t="shared" si="174"/>
        <v>0.11660930017110901</v>
      </c>
      <c r="AJ309" s="218">
        <f t="shared" si="141"/>
        <v>390.00000000000006</v>
      </c>
      <c r="AK309" s="197">
        <f t="shared" si="175"/>
        <v>6.0930617977437734E-2</v>
      </c>
      <c r="AL309" s="197">
        <f t="shared" si="176"/>
        <v>9.6203707235237593E-2</v>
      </c>
      <c r="AM309" s="197">
        <f t="shared" si="177"/>
        <v>4.0790371867740751E-3</v>
      </c>
      <c r="AN309" s="197">
        <f t="shared" si="142"/>
        <v>24.05</v>
      </c>
      <c r="AO309" s="197">
        <f t="shared" si="143"/>
        <v>21.69</v>
      </c>
      <c r="AP309" s="197">
        <f t="shared" si="178"/>
        <v>7.4093290390420161E-2</v>
      </c>
      <c r="AQ309" s="197">
        <f t="shared" si="179"/>
        <v>0.42250439890466829</v>
      </c>
      <c r="AR309" s="197">
        <f t="shared" si="180"/>
        <v>0.30589509873355925</v>
      </c>
      <c r="AS309" s="258">
        <f t="shared" si="181"/>
        <v>0.15228632177729159</v>
      </c>
      <c r="AT309" s="197">
        <f t="shared" si="144"/>
        <v>2.5974058656511614E-4</v>
      </c>
      <c r="AU309" s="194">
        <f t="shared" si="145"/>
        <v>21.19</v>
      </c>
      <c r="AV309" s="197">
        <f t="shared" si="146"/>
        <v>2.7E-2</v>
      </c>
      <c r="AW309" s="197">
        <f t="shared" si="147"/>
        <v>3.4260000000000002E-3</v>
      </c>
      <c r="AX309" s="197">
        <f t="shared" si="182"/>
        <v>6.1668000000000001E-2</v>
      </c>
      <c r="AY309" s="197">
        <f t="shared" si="148"/>
        <v>2.8867476000000005E-3</v>
      </c>
      <c r="AZ309" s="197">
        <f t="shared" si="149"/>
        <v>0</v>
      </c>
      <c r="BA309" s="197">
        <f t="shared" si="183"/>
        <v>7.2596940000000013E-2</v>
      </c>
      <c r="BB309" s="258">
        <f t="shared" si="150"/>
        <v>0.36575210336206115</v>
      </c>
      <c r="BC309" s="197">
        <f t="shared" si="151"/>
        <v>2.2380490766334034E-2</v>
      </c>
      <c r="BD309" s="197">
        <f t="shared" si="184"/>
        <v>4.4760981532668068E-3</v>
      </c>
      <c r="BE309" s="197">
        <f t="shared" si="185"/>
        <v>2.6856588919600841E-2</v>
      </c>
      <c r="BF309" s="197">
        <f t="shared" si="152"/>
        <v>0.20773291256157633</v>
      </c>
      <c r="BG309" s="197">
        <f t="shared" si="153"/>
        <v>5.4608303342508187E-4</v>
      </c>
      <c r="BH309" s="197">
        <f t="shared" si="154"/>
        <v>3.5336687086656722E-2</v>
      </c>
      <c r="BI309" s="197">
        <f t="shared" si="186"/>
        <v>0.44730899017824427</v>
      </c>
      <c r="BJ309" s="197">
        <f t="shared" si="155"/>
        <v>6.769615024661003</v>
      </c>
      <c r="BK309" s="288">
        <f t="shared" si="156"/>
        <v>0.93392401361838984</v>
      </c>
      <c r="BL309" s="197">
        <f t="shared" si="157"/>
        <v>0.37608972359227794</v>
      </c>
      <c r="BM309" s="197">
        <f t="shared" si="158"/>
        <v>7.4353030976985271E-2</v>
      </c>
      <c r="BN309" s="197">
        <f t="shared" si="159"/>
        <v>54.461181858619113</v>
      </c>
      <c r="BO309" s="197">
        <f t="shared" si="187"/>
        <v>0.2082789955950014</v>
      </c>
      <c r="BP309" s="197">
        <f t="shared" si="160"/>
        <v>65.620924669625111</v>
      </c>
      <c r="BQ309" s="197">
        <f t="shared" si="161"/>
        <v>9.9596940000000009E-2</v>
      </c>
      <c r="BR309" s="288">
        <f t="shared" si="162"/>
        <v>0.16008975919012108</v>
      </c>
      <c r="BS309" s="197">
        <f t="shared" si="163"/>
        <v>0.11660930017110901</v>
      </c>
      <c r="BT309" s="197">
        <f t="shared" si="164"/>
        <v>0.36419974881911377</v>
      </c>
      <c r="BU309" s="197">
        <f t="shared" si="165"/>
        <v>0.1713930788771201</v>
      </c>
      <c r="BV309" s="197">
        <f t="shared" si="166"/>
        <v>0.53530306917875781</v>
      </c>
      <c r="BW309" s="194"/>
      <c r="BX309" s="194"/>
      <c r="BY309" s="194"/>
      <c r="BZ309" s="194"/>
      <c r="CA309" s="194"/>
      <c r="CB309" s="194"/>
      <c r="CC309" s="194"/>
      <c r="CD309" s="194"/>
      <c r="CE309" s="194"/>
      <c r="CF309" s="194"/>
      <c r="CG309" s="194"/>
      <c r="CH309" s="194"/>
      <c r="CI309" s="194"/>
      <c r="CJ309" s="194"/>
      <c r="CK309" s="194"/>
      <c r="CL309" s="194"/>
      <c r="CM309" s="194"/>
      <c r="CN309" s="194"/>
      <c r="CO309" s="194"/>
      <c r="CP309" s="194"/>
      <c r="CQ309" s="194"/>
      <c r="CR309" s="194"/>
      <c r="CS309" s="194"/>
      <c r="CT309" s="194"/>
      <c r="CU309" s="194"/>
      <c r="CV309" s="194"/>
      <c r="CW309" s="194"/>
      <c r="CX309" s="194"/>
      <c r="CY309" s="194"/>
      <c r="CZ309" s="194"/>
      <c r="DA309" s="194"/>
      <c r="DB309" s="194"/>
      <c r="DC309" s="194"/>
      <c r="DD309" s="194"/>
      <c r="DE309" s="194"/>
      <c r="DF309" s="194"/>
    </row>
    <row r="310" spans="2:110" s="192" customFormat="1" hidden="1" x14ac:dyDescent="0.35">
      <c r="B310" s="289"/>
      <c r="C310" s="289"/>
      <c r="Q310" s="193"/>
      <c r="R310" s="194">
        <f t="shared" si="167"/>
        <v>18</v>
      </c>
      <c r="S310" s="197">
        <f t="shared" si="133"/>
        <v>0.3888888888888889</v>
      </c>
      <c r="T310" s="194">
        <f t="shared" si="188"/>
        <v>0.69</v>
      </c>
      <c r="U310" s="194">
        <f t="shared" si="189"/>
        <v>1.4999999999999999E-4</v>
      </c>
      <c r="V310" s="197">
        <f t="shared" si="168"/>
        <v>0.3888888888888889</v>
      </c>
      <c r="W310" s="197">
        <f t="shared" si="134"/>
        <v>4.3555555555555561E-3</v>
      </c>
      <c r="X310" s="286">
        <f t="shared" si="135"/>
        <v>1</v>
      </c>
      <c r="Y310" s="286">
        <f t="shared" si="136"/>
        <v>0.17335969315081967</v>
      </c>
      <c r="Z310" s="286">
        <f t="shared" si="137"/>
        <v>0.54964853345132902</v>
      </c>
      <c r="AA310" s="286">
        <f t="shared" si="169"/>
        <v>0.17335969315081967</v>
      </c>
      <c r="AB310" s="197">
        <f t="shared" si="138"/>
        <v>0.36419974881911377</v>
      </c>
      <c r="AC310" s="287">
        <f t="shared" si="139"/>
        <v>4.4451203372005044E-7</v>
      </c>
      <c r="AD310" s="197">
        <f t="shared" si="170"/>
        <v>11.693936048110356</v>
      </c>
      <c r="AE310" s="197">
        <f t="shared" si="171"/>
        <v>35.08180814433107</v>
      </c>
      <c r="AF310" s="197">
        <f t="shared" si="172"/>
        <v>8.5178571428571423E-2</v>
      </c>
      <c r="AG310" s="197">
        <f t="shared" si="173"/>
        <v>0.25553571428571431</v>
      </c>
      <c r="AH310" s="197">
        <f t="shared" si="140"/>
        <v>0.11660930017110901</v>
      </c>
      <c r="AI310" s="197">
        <f t="shared" si="174"/>
        <v>0.11660930017110901</v>
      </c>
      <c r="AJ310" s="218">
        <f t="shared" si="141"/>
        <v>390.00000000000006</v>
      </c>
      <c r="AK310" s="197">
        <f t="shared" si="175"/>
        <v>6.0930617977437734E-2</v>
      </c>
      <c r="AL310" s="197">
        <f t="shared" si="176"/>
        <v>9.6203707235237593E-2</v>
      </c>
      <c r="AM310" s="197">
        <f t="shared" si="177"/>
        <v>4.0790371867740751E-3</v>
      </c>
      <c r="AN310" s="197">
        <f t="shared" si="142"/>
        <v>24.05</v>
      </c>
      <c r="AO310" s="197">
        <f t="shared" si="143"/>
        <v>21.69</v>
      </c>
      <c r="AP310" s="197">
        <f t="shared" si="178"/>
        <v>7.4093290390420161E-2</v>
      </c>
      <c r="AQ310" s="197">
        <f t="shared" si="179"/>
        <v>0.42250439890466829</v>
      </c>
      <c r="AR310" s="197">
        <f t="shared" si="180"/>
        <v>0.30589509873355925</v>
      </c>
      <c r="AS310" s="258">
        <f t="shared" si="181"/>
        <v>0.15228632177729159</v>
      </c>
      <c r="AT310" s="197">
        <f t="shared" si="144"/>
        <v>2.5974058656511614E-4</v>
      </c>
      <c r="AU310" s="194">
        <f t="shared" si="145"/>
        <v>21.19</v>
      </c>
      <c r="AV310" s="197">
        <f t="shared" si="146"/>
        <v>2.7E-2</v>
      </c>
      <c r="AW310" s="197">
        <f t="shared" si="147"/>
        <v>3.4260000000000002E-3</v>
      </c>
      <c r="AX310" s="197">
        <f t="shared" si="182"/>
        <v>6.1668000000000001E-2</v>
      </c>
      <c r="AY310" s="197">
        <f t="shared" si="148"/>
        <v>2.8867476000000005E-3</v>
      </c>
      <c r="AZ310" s="197">
        <f t="shared" si="149"/>
        <v>0</v>
      </c>
      <c r="BA310" s="197">
        <f t="shared" si="183"/>
        <v>7.2596940000000013E-2</v>
      </c>
      <c r="BB310" s="258">
        <f t="shared" si="150"/>
        <v>0.36575210336206115</v>
      </c>
      <c r="BC310" s="197">
        <f t="shared" si="151"/>
        <v>2.2380490766334034E-2</v>
      </c>
      <c r="BD310" s="197">
        <f t="shared" si="184"/>
        <v>4.4760981532668068E-3</v>
      </c>
      <c r="BE310" s="197">
        <f t="shared" si="185"/>
        <v>2.6856588919600841E-2</v>
      </c>
      <c r="BF310" s="197">
        <f t="shared" si="152"/>
        <v>0.20773291256157633</v>
      </c>
      <c r="BG310" s="197">
        <f t="shared" si="153"/>
        <v>5.4608303342508187E-4</v>
      </c>
      <c r="BH310" s="197">
        <f t="shared" si="154"/>
        <v>3.5336687086656722E-2</v>
      </c>
      <c r="BI310" s="197">
        <f t="shared" si="186"/>
        <v>0.44730899017824427</v>
      </c>
      <c r="BJ310" s="197">
        <f t="shared" si="155"/>
        <v>6.769615024661003</v>
      </c>
      <c r="BK310" s="288">
        <f t="shared" si="156"/>
        <v>0.93392401361838984</v>
      </c>
      <c r="BL310" s="197">
        <f t="shared" si="157"/>
        <v>0.37608972359227794</v>
      </c>
      <c r="BM310" s="197">
        <f t="shared" si="158"/>
        <v>7.4353030976985271E-2</v>
      </c>
      <c r="BN310" s="197">
        <f t="shared" si="159"/>
        <v>54.461181858619113</v>
      </c>
      <c r="BO310" s="197">
        <f t="shared" si="187"/>
        <v>0.2082789955950014</v>
      </c>
      <c r="BP310" s="197">
        <f t="shared" si="160"/>
        <v>65.620924669625111</v>
      </c>
      <c r="BQ310" s="197">
        <f t="shared" si="161"/>
        <v>9.9596940000000009E-2</v>
      </c>
      <c r="BR310" s="288">
        <f t="shared" si="162"/>
        <v>0.16008975919012108</v>
      </c>
      <c r="BS310" s="197">
        <f t="shared" si="163"/>
        <v>0.11660930017110901</v>
      </c>
      <c r="BT310" s="197">
        <f t="shared" si="164"/>
        <v>0.36419974881911377</v>
      </c>
      <c r="BU310" s="197">
        <f t="shared" si="165"/>
        <v>0.1713930788771201</v>
      </c>
      <c r="BV310" s="197">
        <f t="shared" si="166"/>
        <v>0.53530306917875781</v>
      </c>
      <c r="BW310" s="194"/>
      <c r="BX310" s="194"/>
      <c r="BY310" s="194"/>
      <c r="BZ310" s="194"/>
      <c r="CA310" s="194"/>
      <c r="CB310" s="194"/>
      <c r="CC310" s="194"/>
      <c r="CD310" s="194"/>
      <c r="CE310" s="194"/>
      <c r="CF310" s="194"/>
      <c r="CG310" s="194"/>
      <c r="CH310" s="194"/>
      <c r="CI310" s="194"/>
      <c r="CJ310" s="194"/>
      <c r="CK310" s="194"/>
      <c r="CL310" s="194"/>
      <c r="CM310" s="194"/>
      <c r="CN310" s="194"/>
      <c r="CO310" s="194"/>
      <c r="CP310" s="194"/>
      <c r="CQ310" s="194"/>
      <c r="CR310" s="194"/>
      <c r="CS310" s="194"/>
      <c r="CT310" s="194"/>
      <c r="CU310" s="194"/>
      <c r="CV310" s="194"/>
      <c r="CW310" s="194"/>
      <c r="CX310" s="194"/>
      <c r="CY310" s="194"/>
      <c r="CZ310" s="194"/>
      <c r="DA310" s="194"/>
      <c r="DB310" s="194"/>
      <c r="DC310" s="194"/>
      <c r="DD310" s="194"/>
      <c r="DE310" s="194"/>
      <c r="DF310" s="194"/>
    </row>
    <row r="311" spans="2:110" s="192" customFormat="1" hidden="1" x14ac:dyDescent="0.35">
      <c r="B311" s="289"/>
      <c r="C311" s="289"/>
      <c r="Q311" s="193"/>
      <c r="R311" s="194">
        <f t="shared" si="167"/>
        <v>18</v>
      </c>
      <c r="S311" s="197">
        <f t="shared" si="133"/>
        <v>0.3888888888888889</v>
      </c>
      <c r="T311" s="194">
        <f t="shared" si="188"/>
        <v>0.69</v>
      </c>
      <c r="U311" s="194">
        <f t="shared" si="189"/>
        <v>1.4999999999999999E-4</v>
      </c>
      <c r="V311" s="197">
        <f t="shared" si="168"/>
        <v>0.3888888888888889</v>
      </c>
      <c r="W311" s="197">
        <f t="shared" si="134"/>
        <v>4.3555555555555561E-3</v>
      </c>
      <c r="X311" s="286">
        <f t="shared" si="135"/>
        <v>1</v>
      </c>
      <c r="Y311" s="286">
        <f t="shared" si="136"/>
        <v>0.17335969315081967</v>
      </c>
      <c r="Z311" s="286">
        <f t="shared" si="137"/>
        <v>0.54964853345132902</v>
      </c>
      <c r="AA311" s="286">
        <f t="shared" si="169"/>
        <v>0.17335969315081967</v>
      </c>
      <c r="AB311" s="197">
        <f t="shared" si="138"/>
        <v>0.36419974881911377</v>
      </c>
      <c r="AC311" s="287">
        <f t="shared" si="139"/>
        <v>4.4451203372005044E-7</v>
      </c>
      <c r="AD311" s="197">
        <f t="shared" si="170"/>
        <v>11.693936048110356</v>
      </c>
      <c r="AE311" s="197">
        <f t="shared" si="171"/>
        <v>35.08180814433107</v>
      </c>
      <c r="AF311" s="197">
        <f t="shared" si="172"/>
        <v>8.5178571428571423E-2</v>
      </c>
      <c r="AG311" s="197">
        <f t="shared" si="173"/>
        <v>0.25553571428571431</v>
      </c>
      <c r="AH311" s="197">
        <f t="shared" si="140"/>
        <v>0.11660930017110901</v>
      </c>
      <c r="AI311" s="197">
        <f t="shared" si="174"/>
        <v>0.11660930017110901</v>
      </c>
      <c r="AJ311" s="218">
        <f t="shared" si="141"/>
        <v>390.00000000000006</v>
      </c>
      <c r="AK311" s="197">
        <f t="shared" si="175"/>
        <v>6.0930617977437734E-2</v>
      </c>
      <c r="AL311" s="197">
        <f t="shared" si="176"/>
        <v>9.6203707235237593E-2</v>
      </c>
      <c r="AM311" s="197">
        <f t="shared" si="177"/>
        <v>4.0790371867740751E-3</v>
      </c>
      <c r="AN311" s="197">
        <f t="shared" si="142"/>
        <v>24.05</v>
      </c>
      <c r="AO311" s="197">
        <f t="shared" si="143"/>
        <v>21.69</v>
      </c>
      <c r="AP311" s="197">
        <f t="shared" si="178"/>
        <v>7.4093290390420161E-2</v>
      </c>
      <c r="AQ311" s="197">
        <f t="shared" si="179"/>
        <v>0.42250439890466829</v>
      </c>
      <c r="AR311" s="197">
        <f t="shared" si="180"/>
        <v>0.30589509873355925</v>
      </c>
      <c r="AS311" s="258">
        <f t="shared" si="181"/>
        <v>0.15228632177729159</v>
      </c>
      <c r="AT311" s="197">
        <f t="shared" si="144"/>
        <v>2.5974058656511614E-4</v>
      </c>
      <c r="AU311" s="194">
        <f t="shared" si="145"/>
        <v>21.19</v>
      </c>
      <c r="AV311" s="197">
        <f t="shared" si="146"/>
        <v>2.7E-2</v>
      </c>
      <c r="AW311" s="197">
        <f t="shared" si="147"/>
        <v>3.4260000000000002E-3</v>
      </c>
      <c r="AX311" s="197">
        <f t="shared" si="182"/>
        <v>6.1668000000000001E-2</v>
      </c>
      <c r="AY311" s="197">
        <f t="shared" si="148"/>
        <v>2.8867476000000005E-3</v>
      </c>
      <c r="AZ311" s="197">
        <f t="shared" si="149"/>
        <v>0</v>
      </c>
      <c r="BA311" s="197">
        <f t="shared" si="183"/>
        <v>7.2596940000000013E-2</v>
      </c>
      <c r="BB311" s="258">
        <f t="shared" si="150"/>
        <v>0.36575210336206115</v>
      </c>
      <c r="BC311" s="197">
        <f t="shared" si="151"/>
        <v>2.2380490766334034E-2</v>
      </c>
      <c r="BD311" s="197">
        <f t="shared" si="184"/>
        <v>4.4760981532668068E-3</v>
      </c>
      <c r="BE311" s="197">
        <f t="shared" si="185"/>
        <v>2.6856588919600841E-2</v>
      </c>
      <c r="BF311" s="197">
        <f t="shared" si="152"/>
        <v>0.20773291256157633</v>
      </c>
      <c r="BG311" s="197">
        <f t="shared" si="153"/>
        <v>5.4608303342508187E-4</v>
      </c>
      <c r="BH311" s="197">
        <f t="shared" si="154"/>
        <v>3.5336687086656722E-2</v>
      </c>
      <c r="BI311" s="197">
        <f t="shared" si="186"/>
        <v>0.44730899017824427</v>
      </c>
      <c r="BJ311" s="197">
        <f t="shared" si="155"/>
        <v>6.769615024661003</v>
      </c>
      <c r="BK311" s="288">
        <f t="shared" si="156"/>
        <v>0.93392401361838984</v>
      </c>
      <c r="BL311" s="197">
        <f t="shared" si="157"/>
        <v>0.37608972359227794</v>
      </c>
      <c r="BM311" s="197">
        <f t="shared" si="158"/>
        <v>7.4353030976985271E-2</v>
      </c>
      <c r="BN311" s="197">
        <f t="shared" si="159"/>
        <v>54.461181858619113</v>
      </c>
      <c r="BO311" s="197">
        <f t="shared" si="187"/>
        <v>0.2082789955950014</v>
      </c>
      <c r="BP311" s="197">
        <f t="shared" si="160"/>
        <v>65.620924669625111</v>
      </c>
      <c r="BQ311" s="197">
        <f t="shared" si="161"/>
        <v>9.9596940000000009E-2</v>
      </c>
      <c r="BR311" s="288">
        <f t="shared" si="162"/>
        <v>0.16008975919012108</v>
      </c>
      <c r="BS311" s="197">
        <f t="shared" si="163"/>
        <v>0.11660930017110901</v>
      </c>
      <c r="BT311" s="197">
        <f t="shared" si="164"/>
        <v>0.36419974881911377</v>
      </c>
      <c r="BU311" s="197">
        <f t="shared" si="165"/>
        <v>0.1713930788771201</v>
      </c>
      <c r="BV311" s="197">
        <f t="shared" si="166"/>
        <v>0.53530306917875781</v>
      </c>
      <c r="BW311" s="194"/>
      <c r="BX311" s="194"/>
      <c r="BY311" s="194"/>
      <c r="BZ311" s="194"/>
      <c r="CA311" s="194"/>
      <c r="CB311" s="194"/>
      <c r="CC311" s="194"/>
      <c r="CD311" s="194"/>
      <c r="CE311" s="194"/>
      <c r="CF311" s="194"/>
      <c r="CG311" s="194"/>
      <c r="CH311" s="194"/>
      <c r="CI311" s="194"/>
      <c r="CJ311" s="194"/>
      <c r="CK311" s="194"/>
      <c r="CL311" s="194"/>
      <c r="CM311" s="194"/>
      <c r="CN311" s="194"/>
      <c r="CO311" s="194"/>
      <c r="CP311" s="194"/>
      <c r="CQ311" s="194"/>
      <c r="CR311" s="194"/>
      <c r="CS311" s="194"/>
      <c r="CT311" s="194"/>
      <c r="CU311" s="194"/>
      <c r="CV311" s="194"/>
      <c r="CW311" s="194"/>
      <c r="CX311" s="194"/>
      <c r="CY311" s="194"/>
      <c r="CZ311" s="194"/>
      <c r="DA311" s="194"/>
      <c r="DB311" s="194"/>
      <c r="DC311" s="194"/>
      <c r="DD311" s="194"/>
      <c r="DE311" s="194"/>
      <c r="DF311" s="194"/>
    </row>
    <row r="312" spans="2:110" s="192" customFormat="1" hidden="1" x14ac:dyDescent="0.35">
      <c r="B312" s="289"/>
      <c r="C312" s="289"/>
      <c r="Q312" s="193"/>
      <c r="R312" s="194">
        <f t="shared" si="167"/>
        <v>18</v>
      </c>
      <c r="S312" s="197">
        <f t="shared" ref="S312:S375" si="190">(VLEDS/R312)*ILED/0.9</f>
        <v>0.3888888888888889</v>
      </c>
      <c r="T312" s="194">
        <f t="shared" si="188"/>
        <v>0.69</v>
      </c>
      <c r="U312" s="194">
        <f t="shared" si="189"/>
        <v>1.4999999999999999E-4</v>
      </c>
      <c r="V312" s="197">
        <f t="shared" si="168"/>
        <v>0.3888888888888889</v>
      </c>
      <c r="W312" s="197">
        <f t="shared" ref="W312:W375" si="191">V312*RON</f>
        <v>4.3555555555555561E-3</v>
      </c>
      <c r="X312" s="286">
        <f t="shared" ref="X312:X375" si="192">IF((VLEDS+T312+ILEDF*(RON+RCOIL))/(R312+T312-W312)&gt;1,1,(VLEDS+T312+ILEDF*(RON+RCOIL))/(R312+T312-W312))</f>
        <v>1</v>
      </c>
      <c r="Y312" s="286">
        <f t="shared" ref="Y312:Y375" si="193">IF((VLEDS-R312+T312+S312*(RON+RCOIL))/(VLEDS+T312-W312)&lt;0,0,(VLEDS-R312+T312+S312*(RON+RCOIL))/(VLEDS+T312-W312))</f>
        <v>0.17335969315081967</v>
      </c>
      <c r="Z312" s="286">
        <f t="shared" ref="Z312:Z375" si="194">(VLEDS+T312+(S312+ILEDF)*(RON+RCOIL))/(VLEDS+R312+T312-W312)</f>
        <v>0.54964853345132902</v>
      </c>
      <c r="AA312" s="286">
        <f t="shared" si="169"/>
        <v>0.17335969315081967</v>
      </c>
      <c r="AB312" s="197">
        <f t="shared" ref="AB312:AB375" si="195">IF(CONFIG="BUCK",ILEDF,ILEDF/(1-AA312))</f>
        <v>0.36419974881911377</v>
      </c>
      <c r="AC312" s="287">
        <f t="shared" ref="AC312:AC375" si="196">AA312/(FINIT*1000)</f>
        <v>4.4451203372005044E-7</v>
      </c>
      <c r="AD312" s="197">
        <f t="shared" si="170"/>
        <v>11.693936048110356</v>
      </c>
      <c r="AE312" s="197">
        <f t="shared" si="171"/>
        <v>35.08180814433107</v>
      </c>
      <c r="AF312" s="197">
        <f t="shared" si="172"/>
        <v>8.5178571428571423E-2</v>
      </c>
      <c r="AG312" s="197">
        <f t="shared" si="173"/>
        <v>0.25553571428571431</v>
      </c>
      <c r="AH312" s="197">
        <f t="shared" ref="AH312:AH375" si="197">IF(CONFIG="BUCK",R312-VLEDS-AB312*(RS+RCOIL)-W312,R312-AB312*(RS+RCOIL)-W312)*AC312/(L*0.000001)</f>
        <v>0.11660930017110901</v>
      </c>
      <c r="AI312" s="197">
        <f t="shared" si="174"/>
        <v>0.11660930017110901</v>
      </c>
      <c r="AJ312" s="218">
        <f t="shared" ref="AJ312:AJ375" si="198">0.001*AA312*AH312/(AI312*AC312)</f>
        <v>390.00000000000006</v>
      </c>
      <c r="AK312" s="197">
        <f t="shared" si="175"/>
        <v>6.0930617977437734E-2</v>
      </c>
      <c r="AL312" s="197">
        <f t="shared" si="176"/>
        <v>9.6203707235237593E-2</v>
      </c>
      <c r="AM312" s="197">
        <f t="shared" si="177"/>
        <v>4.0790371867740751E-3</v>
      </c>
      <c r="AN312" s="197">
        <f t="shared" ref="AN312:AN375" si="199">(QGSW/IGATE)+($D$37+$D$38)/2</f>
        <v>24.05</v>
      </c>
      <c r="AO312" s="197">
        <f t="shared" ref="AO312:AO375" si="200">IF(CONFIG="BUCK",R312+T312,IF(CONFIG="BOOST",VLEDS+T312,R312+VLEDS+T312))</f>
        <v>21.69</v>
      </c>
      <c r="AP312" s="197">
        <f t="shared" si="178"/>
        <v>7.4093290390420161E-2</v>
      </c>
      <c r="AQ312" s="197">
        <f t="shared" si="179"/>
        <v>0.42250439890466829</v>
      </c>
      <c r="AR312" s="197">
        <f t="shared" si="180"/>
        <v>0.30589509873355925</v>
      </c>
      <c r="AS312" s="258">
        <f t="shared" si="181"/>
        <v>0.15228632177729159</v>
      </c>
      <c r="AT312" s="197">
        <f t="shared" ref="AT312:AT375" si="201">(AS312^2)*RON</f>
        <v>2.5974058656511614E-4</v>
      </c>
      <c r="AU312" s="194">
        <f t="shared" ref="AU312:AU375" si="202">IF(LOWV,AO312-0.5,IF(DISSLIM,IF(R312&lt;_VZD3,R312,_VZD3),R312))</f>
        <v>21.19</v>
      </c>
      <c r="AV312" s="197">
        <f t="shared" ref="AV312:AV375" si="203">R312*IQ</f>
        <v>2.7E-2</v>
      </c>
      <c r="AW312" s="197">
        <f t="shared" ref="AW312:AW375" si="204">IQAUX+QGTOT*AJ312*0.000001</f>
        <v>3.4260000000000002E-3</v>
      </c>
      <c r="AX312" s="197">
        <f t="shared" si="182"/>
        <v>6.1668000000000001E-2</v>
      </c>
      <c r="AY312" s="197">
        <f t="shared" ref="AY312:AY375" si="205">IF(LOWV,((AW312^2)*100)+0.5*AW312,0)</f>
        <v>2.8867476000000005E-3</v>
      </c>
      <c r="AZ312" s="197">
        <f t="shared" ref="AZ312:AZ375" si="206">IF(DISSLIM,((R312-AU312)^2/5000)+AU312*(((R312-AU312)/5000)-AW312),0)</f>
        <v>0</v>
      </c>
      <c r="BA312" s="197">
        <f t="shared" si="183"/>
        <v>7.2596940000000013E-2</v>
      </c>
      <c r="BB312" s="258">
        <f t="shared" ref="BB312:BB375" si="207">SQRT((1/3)*(AQ312^2+AQ312*AR312+AR312^2))</f>
        <v>0.36575210336206115</v>
      </c>
      <c r="BC312" s="197">
        <f t="shared" ref="BC312:BC375" si="208">BB312^2*RCOIL</f>
        <v>2.2380490766334034E-2</v>
      </c>
      <c r="BD312" s="197">
        <f t="shared" si="184"/>
        <v>4.4760981532668068E-3</v>
      </c>
      <c r="BE312" s="197">
        <f t="shared" si="185"/>
        <v>2.6856588919600841E-2</v>
      </c>
      <c r="BF312" s="197">
        <f t="shared" ref="BF312:BF375" si="209">T312*AB312*(1-AA312)</f>
        <v>0.20773291256157633</v>
      </c>
      <c r="BG312" s="197">
        <f t="shared" ref="BG312:BG375" si="210">U312*AA312*IF(CONFIG="BUCK",R312,IF(CONFIG="BOOST",VLEDS,R312+VLEDS))</f>
        <v>5.4608303342508187E-4</v>
      </c>
      <c r="BH312" s="197">
        <f t="shared" ref="BH312:BH375" si="211">BB312^2*RS</f>
        <v>3.5336687086656722E-2</v>
      </c>
      <c r="BI312" s="197">
        <f t="shared" si="186"/>
        <v>0.44730899017824427</v>
      </c>
      <c r="BJ312" s="197">
        <f t="shared" ref="BJ312:BJ375" si="212">PLEDS+BI312</f>
        <v>6.769615024661003</v>
      </c>
      <c r="BK312" s="288">
        <f t="shared" ref="BK312:BK375" si="213">PLEDS/BJ312</f>
        <v>0.93392401361838984</v>
      </c>
      <c r="BL312" s="197">
        <f t="shared" ref="BL312:BL375" si="214">BJ312/R312</f>
        <v>0.37608972359227794</v>
      </c>
      <c r="BM312" s="197">
        <f t="shared" ref="BM312:BM375" si="215">AP312+AT312</f>
        <v>7.4353030976985271E-2</v>
      </c>
      <c r="BN312" s="197">
        <f t="shared" ref="BN312:BN375" si="216">TAMB+BM312*RTHMOS</f>
        <v>54.461181858619113</v>
      </c>
      <c r="BO312" s="197">
        <f t="shared" si="187"/>
        <v>0.2082789955950014</v>
      </c>
      <c r="BP312" s="197">
        <f t="shared" ref="BP312:BP375" si="217">TAMB+BO312*RTHFW</f>
        <v>65.620924669625111</v>
      </c>
      <c r="BQ312" s="197">
        <f t="shared" ref="BQ312:BQ375" si="218">AV312+BA312</f>
        <v>9.9596940000000009E-2</v>
      </c>
      <c r="BR312" s="288">
        <f t="shared" ref="BR312:BR375" si="219">0.5*AI312/AB312</f>
        <v>0.16008975919012108</v>
      </c>
      <c r="BS312" s="197">
        <f t="shared" ref="BS312:BS375" si="220">IF(CONFIG="BOOST",AI312,AB312)</f>
        <v>0.11660930017110901</v>
      </c>
      <c r="BT312" s="197">
        <f t="shared" ref="BT312:BT375" si="221">IF(CONFIG="BUCK",AI312,AB312)</f>
        <v>0.36419974881911377</v>
      </c>
      <c r="BU312" s="197">
        <f t="shared" ref="BU312:BU375" si="222">1000*BS312*(1-AA312)*AA312/(AJ312*VRIPIN)</f>
        <v>0.1713930788771201</v>
      </c>
      <c r="BV312" s="197">
        <f t="shared" ref="BV312:BV375" si="223">1000*BT312*(1-AA312)*AA312/(AJ312*VRIPOUT)</f>
        <v>0.53530306917875781</v>
      </c>
      <c r="BW312" s="194"/>
      <c r="BX312" s="194"/>
      <c r="BY312" s="194"/>
      <c r="BZ312" s="194"/>
      <c r="CA312" s="194"/>
      <c r="CB312" s="194"/>
      <c r="CC312" s="194"/>
      <c r="CD312" s="194"/>
      <c r="CE312" s="194"/>
      <c r="CF312" s="194"/>
      <c r="CG312" s="194"/>
      <c r="CH312" s="194"/>
      <c r="CI312" s="194"/>
      <c r="CJ312" s="194"/>
      <c r="CK312" s="194"/>
      <c r="CL312" s="194"/>
      <c r="CM312" s="194"/>
      <c r="CN312" s="194"/>
      <c r="CO312" s="194"/>
      <c r="CP312" s="194"/>
      <c r="CQ312" s="194"/>
      <c r="CR312" s="194"/>
      <c r="CS312" s="194"/>
      <c r="CT312" s="194"/>
      <c r="CU312" s="194"/>
      <c r="CV312" s="194"/>
      <c r="CW312" s="194"/>
      <c r="CX312" s="194"/>
      <c r="CY312" s="194"/>
      <c r="CZ312" s="194"/>
      <c r="DA312" s="194"/>
      <c r="DB312" s="194"/>
      <c r="DC312" s="194"/>
      <c r="DD312" s="194"/>
      <c r="DE312" s="194"/>
      <c r="DF312" s="194"/>
    </row>
    <row r="313" spans="2:110" s="192" customFormat="1" hidden="1" x14ac:dyDescent="0.35">
      <c r="B313" s="289"/>
      <c r="C313" s="289"/>
      <c r="Q313" s="193"/>
      <c r="R313" s="194">
        <f t="shared" ref="R313:R376" si="224">MIN(R312+0.1,VINMAX)</f>
        <v>18</v>
      </c>
      <c r="S313" s="197">
        <f t="shared" si="190"/>
        <v>0.3888888888888889</v>
      </c>
      <c r="T313" s="194">
        <f t="shared" si="188"/>
        <v>0.69</v>
      </c>
      <c r="U313" s="194">
        <f t="shared" si="189"/>
        <v>1.4999999999999999E-4</v>
      </c>
      <c r="V313" s="197">
        <f t="shared" ref="V313:V376" si="225">IF(CONFIG="BUCK",ILED,IF(CONFIG="BOOST",S313,ILED+S313))</f>
        <v>0.3888888888888889</v>
      </c>
      <c r="W313" s="197">
        <f t="shared" si="191"/>
        <v>4.3555555555555561E-3</v>
      </c>
      <c r="X313" s="286">
        <f t="shared" si="192"/>
        <v>1</v>
      </c>
      <c r="Y313" s="286">
        <f t="shared" si="193"/>
        <v>0.17335969315081967</v>
      </c>
      <c r="Z313" s="286">
        <f t="shared" si="194"/>
        <v>0.54964853345132902</v>
      </c>
      <c r="AA313" s="286">
        <f t="shared" ref="AA313:AA376" si="226">IF(CONFIG="BUCK",X313,IF(CONFIG="BOOST",Y313,Z313))</f>
        <v>0.17335969315081967</v>
      </c>
      <c r="AB313" s="197">
        <f t="shared" si="195"/>
        <v>0.36419974881911377</v>
      </c>
      <c r="AC313" s="287">
        <f t="shared" si="196"/>
        <v>4.4451203372005044E-7</v>
      </c>
      <c r="AD313" s="197">
        <f t="shared" ref="AD313:AD376" si="227">IF(CONFIG="BUCK",RIPLOW,RIPLOW*(1-AA313)/GI_ADJ)</f>
        <v>11.693936048110356</v>
      </c>
      <c r="AE313" s="197">
        <f t="shared" ref="AE313:AE376" si="228">IF(CONFIG="BUCK",RIPHIGH,RIPHIGH*(1-AA313)/GI_ADJ)</f>
        <v>35.08180814433107</v>
      </c>
      <c r="AF313" s="197">
        <f t="shared" ref="AF313:AF376" si="229">(AD313*2/100)*AB313</f>
        <v>8.5178571428571423E-2</v>
      </c>
      <c r="AG313" s="197">
        <f t="shared" ref="AG313:AG376" si="230">(AE313*2/100)*AB313</f>
        <v>0.25553571428571431</v>
      </c>
      <c r="AH313" s="197">
        <f t="shared" si="197"/>
        <v>0.11660930017110901</v>
      </c>
      <c r="AI313" s="197">
        <f t="shared" ref="AI313:AI376" si="231">IF(AH313&lt;AF313,AF313,IF(AH313&gt;AG313,AG313,AH313))</f>
        <v>0.11660930017110901</v>
      </c>
      <c r="AJ313" s="218">
        <f t="shared" si="198"/>
        <v>390.00000000000006</v>
      </c>
      <c r="AK313" s="197">
        <f t="shared" ref="AK313:AK376" si="232">AB313*RCOIL</f>
        <v>6.0930617977437734E-2</v>
      </c>
      <c r="AL313" s="197">
        <f t="shared" ref="AL313:AL376" si="233">AB313*RS</f>
        <v>9.6203707235237593E-2</v>
      </c>
      <c r="AM313" s="197">
        <f t="shared" ref="AM313:AM376" si="234">AB313*RON</f>
        <v>4.0790371867740751E-3</v>
      </c>
      <c r="AN313" s="197">
        <f t="shared" si="199"/>
        <v>24.05</v>
      </c>
      <c r="AO313" s="197">
        <f t="shared" si="200"/>
        <v>21.69</v>
      </c>
      <c r="AP313" s="197">
        <f t="shared" ref="AP313:AP376" si="235">AB313*AO313*AN313*AJ313*0.000001</f>
        <v>7.4093290390420161E-2</v>
      </c>
      <c r="AQ313" s="197">
        <f t="shared" ref="AQ313:AQ376" si="236">AB313+AI313/2</f>
        <v>0.42250439890466829</v>
      </c>
      <c r="AR313" s="197">
        <f t="shared" ref="AR313:AR376" si="237">AB313-AI313/2</f>
        <v>0.30589509873355925</v>
      </c>
      <c r="AS313" s="258">
        <f t="shared" ref="AS313:AS376" si="238">SQRT((AA313/3)*(AQ313^2+AQ313*AR313+AR313^2))</f>
        <v>0.15228632177729159</v>
      </c>
      <c r="AT313" s="197">
        <f t="shared" si="201"/>
        <v>2.5974058656511614E-4</v>
      </c>
      <c r="AU313" s="194">
        <f t="shared" si="202"/>
        <v>21.19</v>
      </c>
      <c r="AV313" s="197">
        <f t="shared" si="203"/>
        <v>2.7E-2</v>
      </c>
      <c r="AW313" s="197">
        <f t="shared" si="204"/>
        <v>3.4260000000000002E-3</v>
      </c>
      <c r="AX313" s="197">
        <f t="shared" ref="AX313:AX376" si="239">R313*(IQAUX+QGTOT*AJ313*0.000001)</f>
        <v>6.1668000000000001E-2</v>
      </c>
      <c r="AY313" s="197">
        <f t="shared" si="205"/>
        <v>2.8867476000000005E-3</v>
      </c>
      <c r="AZ313" s="197">
        <f t="shared" si="206"/>
        <v>0</v>
      </c>
      <c r="BA313" s="197">
        <f t="shared" ref="BA313:BA376" si="240">AU313*AW313</f>
        <v>7.2596940000000013E-2</v>
      </c>
      <c r="BB313" s="258">
        <f t="shared" si="207"/>
        <v>0.36575210336206115</v>
      </c>
      <c r="BC313" s="197">
        <f t="shared" si="208"/>
        <v>2.2380490766334034E-2</v>
      </c>
      <c r="BD313" s="197">
        <f t="shared" ref="BD313:BD376" si="241">BC313*0.2</f>
        <v>4.4760981532668068E-3</v>
      </c>
      <c r="BE313" s="197">
        <f t="shared" ref="BE313:BE376" si="242">BC313+BD313</f>
        <v>2.6856588919600841E-2</v>
      </c>
      <c r="BF313" s="197">
        <f t="shared" si="209"/>
        <v>0.20773291256157633</v>
      </c>
      <c r="BG313" s="197">
        <f t="shared" si="210"/>
        <v>5.4608303342508187E-4</v>
      </c>
      <c r="BH313" s="197">
        <f t="shared" si="211"/>
        <v>3.5336687086656722E-2</v>
      </c>
      <c r="BI313" s="197">
        <f t="shared" ref="BI313:BI376" si="243">AP313+AT313+AV313+AY313+BA313+BE313+BF313+BG313+BH313</f>
        <v>0.44730899017824427</v>
      </c>
      <c r="BJ313" s="197">
        <f t="shared" si="212"/>
        <v>6.769615024661003</v>
      </c>
      <c r="BK313" s="288">
        <f t="shared" si="213"/>
        <v>0.93392401361838984</v>
      </c>
      <c r="BL313" s="197">
        <f t="shared" si="214"/>
        <v>0.37608972359227794</v>
      </c>
      <c r="BM313" s="197">
        <f t="shared" si="215"/>
        <v>7.4353030976985271E-2</v>
      </c>
      <c r="BN313" s="197">
        <f t="shared" si="216"/>
        <v>54.461181858619113</v>
      </c>
      <c r="BO313" s="197">
        <f t="shared" ref="BO313:BO376" si="244">BF313+BG313</f>
        <v>0.2082789955950014</v>
      </c>
      <c r="BP313" s="197">
        <f t="shared" si="217"/>
        <v>65.620924669625111</v>
      </c>
      <c r="BQ313" s="197">
        <f t="shared" si="218"/>
        <v>9.9596940000000009E-2</v>
      </c>
      <c r="BR313" s="288">
        <f t="shared" si="219"/>
        <v>0.16008975919012108</v>
      </c>
      <c r="BS313" s="197">
        <f t="shared" si="220"/>
        <v>0.11660930017110901</v>
      </c>
      <c r="BT313" s="197">
        <f t="shared" si="221"/>
        <v>0.36419974881911377</v>
      </c>
      <c r="BU313" s="197">
        <f t="shared" si="222"/>
        <v>0.1713930788771201</v>
      </c>
      <c r="BV313" s="197">
        <f t="shared" si="223"/>
        <v>0.53530306917875781</v>
      </c>
      <c r="BW313" s="194"/>
      <c r="BX313" s="194"/>
      <c r="BY313" s="194"/>
      <c r="BZ313" s="194"/>
      <c r="CA313" s="194"/>
      <c r="CB313" s="194"/>
      <c r="CC313" s="194"/>
      <c r="CD313" s="194"/>
      <c r="CE313" s="194"/>
      <c r="CF313" s="194"/>
      <c r="CG313" s="194"/>
      <c r="CH313" s="194"/>
      <c r="CI313" s="194"/>
      <c r="CJ313" s="194"/>
      <c r="CK313" s="194"/>
      <c r="CL313" s="194"/>
      <c r="CM313" s="194"/>
      <c r="CN313" s="194"/>
      <c r="CO313" s="194"/>
      <c r="CP313" s="194"/>
      <c r="CQ313" s="194"/>
      <c r="CR313" s="194"/>
      <c r="CS313" s="194"/>
      <c r="CT313" s="194"/>
      <c r="CU313" s="194"/>
      <c r="CV313" s="194"/>
      <c r="CW313" s="194"/>
      <c r="CX313" s="194"/>
      <c r="CY313" s="194"/>
      <c r="CZ313" s="194"/>
      <c r="DA313" s="194"/>
      <c r="DB313" s="194"/>
      <c r="DC313" s="194"/>
      <c r="DD313" s="194"/>
      <c r="DE313" s="194"/>
      <c r="DF313" s="194"/>
    </row>
    <row r="314" spans="2:110" s="192" customFormat="1" hidden="1" x14ac:dyDescent="0.35">
      <c r="B314" s="289"/>
      <c r="C314" s="289"/>
      <c r="Q314" s="193"/>
      <c r="R314" s="194">
        <f t="shared" si="224"/>
        <v>18</v>
      </c>
      <c r="S314" s="197">
        <f t="shared" si="190"/>
        <v>0.3888888888888889</v>
      </c>
      <c r="T314" s="194">
        <f t="shared" ref="T314:T377" si="245">$D$45</f>
        <v>0.69</v>
      </c>
      <c r="U314" s="194">
        <f t="shared" ref="U314:U377" si="246">$D$48*0.001</f>
        <v>1.4999999999999999E-4</v>
      </c>
      <c r="V314" s="197">
        <f t="shared" si="225"/>
        <v>0.3888888888888889</v>
      </c>
      <c r="W314" s="197">
        <f t="shared" si="191"/>
        <v>4.3555555555555561E-3</v>
      </c>
      <c r="X314" s="286">
        <f t="shared" si="192"/>
        <v>1</v>
      </c>
      <c r="Y314" s="286">
        <f t="shared" si="193"/>
        <v>0.17335969315081967</v>
      </c>
      <c r="Z314" s="286">
        <f t="shared" si="194"/>
        <v>0.54964853345132902</v>
      </c>
      <c r="AA314" s="286">
        <f t="shared" si="226"/>
        <v>0.17335969315081967</v>
      </c>
      <c r="AB314" s="197">
        <f t="shared" si="195"/>
        <v>0.36419974881911377</v>
      </c>
      <c r="AC314" s="287">
        <f t="shared" si="196"/>
        <v>4.4451203372005044E-7</v>
      </c>
      <c r="AD314" s="197">
        <f t="shared" si="227"/>
        <v>11.693936048110356</v>
      </c>
      <c r="AE314" s="197">
        <f t="shared" si="228"/>
        <v>35.08180814433107</v>
      </c>
      <c r="AF314" s="197">
        <f t="shared" si="229"/>
        <v>8.5178571428571423E-2</v>
      </c>
      <c r="AG314" s="197">
        <f t="shared" si="230"/>
        <v>0.25553571428571431</v>
      </c>
      <c r="AH314" s="197">
        <f t="shared" si="197"/>
        <v>0.11660930017110901</v>
      </c>
      <c r="AI314" s="197">
        <f t="shared" si="231"/>
        <v>0.11660930017110901</v>
      </c>
      <c r="AJ314" s="218">
        <f t="shared" si="198"/>
        <v>390.00000000000006</v>
      </c>
      <c r="AK314" s="197">
        <f t="shared" si="232"/>
        <v>6.0930617977437734E-2</v>
      </c>
      <c r="AL314" s="197">
        <f t="shared" si="233"/>
        <v>9.6203707235237593E-2</v>
      </c>
      <c r="AM314" s="197">
        <f t="shared" si="234"/>
        <v>4.0790371867740751E-3</v>
      </c>
      <c r="AN314" s="197">
        <f t="shared" si="199"/>
        <v>24.05</v>
      </c>
      <c r="AO314" s="197">
        <f t="shared" si="200"/>
        <v>21.69</v>
      </c>
      <c r="AP314" s="197">
        <f t="shared" si="235"/>
        <v>7.4093290390420161E-2</v>
      </c>
      <c r="AQ314" s="197">
        <f t="shared" si="236"/>
        <v>0.42250439890466829</v>
      </c>
      <c r="AR314" s="197">
        <f t="shared" si="237"/>
        <v>0.30589509873355925</v>
      </c>
      <c r="AS314" s="258">
        <f t="shared" si="238"/>
        <v>0.15228632177729159</v>
      </c>
      <c r="AT314" s="197">
        <f t="shared" si="201"/>
        <v>2.5974058656511614E-4</v>
      </c>
      <c r="AU314" s="194">
        <f t="shared" si="202"/>
        <v>21.19</v>
      </c>
      <c r="AV314" s="197">
        <f t="shared" si="203"/>
        <v>2.7E-2</v>
      </c>
      <c r="AW314" s="197">
        <f t="shared" si="204"/>
        <v>3.4260000000000002E-3</v>
      </c>
      <c r="AX314" s="197">
        <f t="shared" si="239"/>
        <v>6.1668000000000001E-2</v>
      </c>
      <c r="AY314" s="197">
        <f t="shared" si="205"/>
        <v>2.8867476000000005E-3</v>
      </c>
      <c r="AZ314" s="197">
        <f t="shared" si="206"/>
        <v>0</v>
      </c>
      <c r="BA314" s="197">
        <f t="shared" si="240"/>
        <v>7.2596940000000013E-2</v>
      </c>
      <c r="BB314" s="258">
        <f t="shared" si="207"/>
        <v>0.36575210336206115</v>
      </c>
      <c r="BC314" s="197">
        <f t="shared" si="208"/>
        <v>2.2380490766334034E-2</v>
      </c>
      <c r="BD314" s="197">
        <f t="shared" si="241"/>
        <v>4.4760981532668068E-3</v>
      </c>
      <c r="BE314" s="197">
        <f t="shared" si="242"/>
        <v>2.6856588919600841E-2</v>
      </c>
      <c r="BF314" s="197">
        <f t="shared" si="209"/>
        <v>0.20773291256157633</v>
      </c>
      <c r="BG314" s="197">
        <f t="shared" si="210"/>
        <v>5.4608303342508187E-4</v>
      </c>
      <c r="BH314" s="197">
        <f t="shared" si="211"/>
        <v>3.5336687086656722E-2</v>
      </c>
      <c r="BI314" s="197">
        <f t="shared" si="243"/>
        <v>0.44730899017824427</v>
      </c>
      <c r="BJ314" s="197">
        <f t="shared" si="212"/>
        <v>6.769615024661003</v>
      </c>
      <c r="BK314" s="288">
        <f t="shared" si="213"/>
        <v>0.93392401361838984</v>
      </c>
      <c r="BL314" s="197">
        <f t="shared" si="214"/>
        <v>0.37608972359227794</v>
      </c>
      <c r="BM314" s="197">
        <f t="shared" si="215"/>
        <v>7.4353030976985271E-2</v>
      </c>
      <c r="BN314" s="197">
        <f t="shared" si="216"/>
        <v>54.461181858619113</v>
      </c>
      <c r="BO314" s="197">
        <f t="shared" si="244"/>
        <v>0.2082789955950014</v>
      </c>
      <c r="BP314" s="197">
        <f t="shared" si="217"/>
        <v>65.620924669625111</v>
      </c>
      <c r="BQ314" s="197">
        <f t="shared" si="218"/>
        <v>9.9596940000000009E-2</v>
      </c>
      <c r="BR314" s="288">
        <f t="shared" si="219"/>
        <v>0.16008975919012108</v>
      </c>
      <c r="BS314" s="197">
        <f t="shared" si="220"/>
        <v>0.11660930017110901</v>
      </c>
      <c r="BT314" s="197">
        <f t="shared" si="221"/>
        <v>0.36419974881911377</v>
      </c>
      <c r="BU314" s="197">
        <f t="shared" si="222"/>
        <v>0.1713930788771201</v>
      </c>
      <c r="BV314" s="197">
        <f t="shared" si="223"/>
        <v>0.53530306917875781</v>
      </c>
      <c r="BW314" s="194"/>
      <c r="BX314" s="194"/>
      <c r="BY314" s="194"/>
      <c r="BZ314" s="194"/>
      <c r="CA314" s="194"/>
      <c r="CB314" s="194"/>
      <c r="CC314" s="194"/>
      <c r="CD314" s="194"/>
      <c r="CE314" s="194"/>
      <c r="CF314" s="194"/>
      <c r="CG314" s="194"/>
      <c r="CH314" s="194"/>
      <c r="CI314" s="194"/>
      <c r="CJ314" s="194"/>
      <c r="CK314" s="194"/>
      <c r="CL314" s="194"/>
      <c r="CM314" s="194"/>
      <c r="CN314" s="194"/>
      <c r="CO314" s="194"/>
      <c r="CP314" s="194"/>
      <c r="CQ314" s="194"/>
      <c r="CR314" s="194"/>
      <c r="CS314" s="194"/>
      <c r="CT314" s="194"/>
      <c r="CU314" s="194"/>
      <c r="CV314" s="194"/>
      <c r="CW314" s="194"/>
      <c r="CX314" s="194"/>
      <c r="CY314" s="194"/>
      <c r="CZ314" s="194"/>
      <c r="DA314" s="194"/>
      <c r="DB314" s="194"/>
      <c r="DC314" s="194"/>
      <c r="DD314" s="194"/>
      <c r="DE314" s="194"/>
      <c r="DF314" s="194"/>
    </row>
    <row r="315" spans="2:110" s="192" customFormat="1" hidden="1" x14ac:dyDescent="0.35">
      <c r="B315" s="289"/>
      <c r="C315" s="289"/>
      <c r="Q315" s="193"/>
      <c r="R315" s="194">
        <f t="shared" si="224"/>
        <v>18</v>
      </c>
      <c r="S315" s="197">
        <f t="shared" si="190"/>
        <v>0.3888888888888889</v>
      </c>
      <c r="T315" s="194">
        <f t="shared" si="245"/>
        <v>0.69</v>
      </c>
      <c r="U315" s="194">
        <f t="shared" si="246"/>
        <v>1.4999999999999999E-4</v>
      </c>
      <c r="V315" s="197">
        <f t="shared" si="225"/>
        <v>0.3888888888888889</v>
      </c>
      <c r="W315" s="197">
        <f t="shared" si="191"/>
        <v>4.3555555555555561E-3</v>
      </c>
      <c r="X315" s="286">
        <f t="shared" si="192"/>
        <v>1</v>
      </c>
      <c r="Y315" s="286">
        <f t="shared" si="193"/>
        <v>0.17335969315081967</v>
      </c>
      <c r="Z315" s="286">
        <f t="shared" si="194"/>
        <v>0.54964853345132902</v>
      </c>
      <c r="AA315" s="286">
        <f t="shared" si="226"/>
        <v>0.17335969315081967</v>
      </c>
      <c r="AB315" s="197">
        <f t="shared" si="195"/>
        <v>0.36419974881911377</v>
      </c>
      <c r="AC315" s="287">
        <f t="shared" si="196"/>
        <v>4.4451203372005044E-7</v>
      </c>
      <c r="AD315" s="197">
        <f t="shared" si="227"/>
        <v>11.693936048110356</v>
      </c>
      <c r="AE315" s="197">
        <f t="shared" si="228"/>
        <v>35.08180814433107</v>
      </c>
      <c r="AF315" s="197">
        <f t="shared" si="229"/>
        <v>8.5178571428571423E-2</v>
      </c>
      <c r="AG315" s="197">
        <f t="shared" si="230"/>
        <v>0.25553571428571431</v>
      </c>
      <c r="AH315" s="197">
        <f t="shared" si="197"/>
        <v>0.11660930017110901</v>
      </c>
      <c r="AI315" s="197">
        <f t="shared" si="231"/>
        <v>0.11660930017110901</v>
      </c>
      <c r="AJ315" s="218">
        <f t="shared" si="198"/>
        <v>390.00000000000006</v>
      </c>
      <c r="AK315" s="197">
        <f t="shared" si="232"/>
        <v>6.0930617977437734E-2</v>
      </c>
      <c r="AL315" s="197">
        <f t="shared" si="233"/>
        <v>9.6203707235237593E-2</v>
      </c>
      <c r="AM315" s="197">
        <f t="shared" si="234"/>
        <v>4.0790371867740751E-3</v>
      </c>
      <c r="AN315" s="197">
        <f t="shared" si="199"/>
        <v>24.05</v>
      </c>
      <c r="AO315" s="197">
        <f t="shared" si="200"/>
        <v>21.69</v>
      </c>
      <c r="AP315" s="197">
        <f t="shared" si="235"/>
        <v>7.4093290390420161E-2</v>
      </c>
      <c r="AQ315" s="197">
        <f t="shared" si="236"/>
        <v>0.42250439890466829</v>
      </c>
      <c r="AR315" s="197">
        <f t="shared" si="237"/>
        <v>0.30589509873355925</v>
      </c>
      <c r="AS315" s="258">
        <f t="shared" si="238"/>
        <v>0.15228632177729159</v>
      </c>
      <c r="AT315" s="197">
        <f t="shared" si="201"/>
        <v>2.5974058656511614E-4</v>
      </c>
      <c r="AU315" s="194">
        <f t="shared" si="202"/>
        <v>21.19</v>
      </c>
      <c r="AV315" s="197">
        <f t="shared" si="203"/>
        <v>2.7E-2</v>
      </c>
      <c r="AW315" s="197">
        <f t="shared" si="204"/>
        <v>3.4260000000000002E-3</v>
      </c>
      <c r="AX315" s="197">
        <f t="shared" si="239"/>
        <v>6.1668000000000001E-2</v>
      </c>
      <c r="AY315" s="197">
        <f t="shared" si="205"/>
        <v>2.8867476000000005E-3</v>
      </c>
      <c r="AZ315" s="197">
        <f t="shared" si="206"/>
        <v>0</v>
      </c>
      <c r="BA315" s="197">
        <f t="shared" si="240"/>
        <v>7.2596940000000013E-2</v>
      </c>
      <c r="BB315" s="258">
        <f t="shared" si="207"/>
        <v>0.36575210336206115</v>
      </c>
      <c r="BC315" s="197">
        <f t="shared" si="208"/>
        <v>2.2380490766334034E-2</v>
      </c>
      <c r="BD315" s="197">
        <f t="shared" si="241"/>
        <v>4.4760981532668068E-3</v>
      </c>
      <c r="BE315" s="197">
        <f t="shared" si="242"/>
        <v>2.6856588919600841E-2</v>
      </c>
      <c r="BF315" s="197">
        <f t="shared" si="209"/>
        <v>0.20773291256157633</v>
      </c>
      <c r="BG315" s="197">
        <f t="shared" si="210"/>
        <v>5.4608303342508187E-4</v>
      </c>
      <c r="BH315" s="197">
        <f t="shared" si="211"/>
        <v>3.5336687086656722E-2</v>
      </c>
      <c r="BI315" s="197">
        <f t="shared" si="243"/>
        <v>0.44730899017824427</v>
      </c>
      <c r="BJ315" s="197">
        <f t="shared" si="212"/>
        <v>6.769615024661003</v>
      </c>
      <c r="BK315" s="288">
        <f t="shared" si="213"/>
        <v>0.93392401361838984</v>
      </c>
      <c r="BL315" s="197">
        <f t="shared" si="214"/>
        <v>0.37608972359227794</v>
      </c>
      <c r="BM315" s="197">
        <f t="shared" si="215"/>
        <v>7.4353030976985271E-2</v>
      </c>
      <c r="BN315" s="197">
        <f t="shared" si="216"/>
        <v>54.461181858619113</v>
      </c>
      <c r="BO315" s="197">
        <f t="shared" si="244"/>
        <v>0.2082789955950014</v>
      </c>
      <c r="BP315" s="197">
        <f t="shared" si="217"/>
        <v>65.620924669625111</v>
      </c>
      <c r="BQ315" s="197">
        <f t="shared" si="218"/>
        <v>9.9596940000000009E-2</v>
      </c>
      <c r="BR315" s="288">
        <f t="shared" si="219"/>
        <v>0.16008975919012108</v>
      </c>
      <c r="BS315" s="197">
        <f t="shared" si="220"/>
        <v>0.11660930017110901</v>
      </c>
      <c r="BT315" s="197">
        <f t="shared" si="221"/>
        <v>0.36419974881911377</v>
      </c>
      <c r="BU315" s="197">
        <f t="shared" si="222"/>
        <v>0.1713930788771201</v>
      </c>
      <c r="BV315" s="197">
        <f t="shared" si="223"/>
        <v>0.53530306917875781</v>
      </c>
      <c r="BW315" s="194"/>
      <c r="BX315" s="194"/>
      <c r="BY315" s="194"/>
      <c r="BZ315" s="194"/>
      <c r="CA315" s="194"/>
      <c r="CB315" s="194"/>
      <c r="CC315" s="194"/>
      <c r="CD315" s="194"/>
      <c r="CE315" s="194"/>
      <c r="CF315" s="194"/>
      <c r="CG315" s="194"/>
      <c r="CH315" s="194"/>
      <c r="CI315" s="194"/>
      <c r="CJ315" s="194"/>
      <c r="CK315" s="194"/>
      <c r="CL315" s="194"/>
      <c r="CM315" s="194"/>
      <c r="CN315" s="194"/>
      <c r="CO315" s="194"/>
      <c r="CP315" s="194"/>
      <c r="CQ315" s="194"/>
      <c r="CR315" s="194"/>
      <c r="CS315" s="194"/>
      <c r="CT315" s="194"/>
      <c r="CU315" s="194"/>
      <c r="CV315" s="194"/>
      <c r="CW315" s="194"/>
      <c r="CX315" s="194"/>
      <c r="CY315" s="194"/>
      <c r="CZ315" s="194"/>
      <c r="DA315" s="194"/>
      <c r="DB315" s="194"/>
      <c r="DC315" s="194"/>
      <c r="DD315" s="194"/>
      <c r="DE315" s="194"/>
      <c r="DF315" s="194"/>
    </row>
    <row r="316" spans="2:110" s="192" customFormat="1" hidden="1" x14ac:dyDescent="0.35">
      <c r="B316" s="289"/>
      <c r="C316" s="289"/>
      <c r="Q316" s="193"/>
      <c r="R316" s="194">
        <f t="shared" si="224"/>
        <v>18</v>
      </c>
      <c r="S316" s="197">
        <f t="shared" si="190"/>
        <v>0.3888888888888889</v>
      </c>
      <c r="T316" s="194">
        <f t="shared" si="245"/>
        <v>0.69</v>
      </c>
      <c r="U316" s="194">
        <f t="shared" si="246"/>
        <v>1.4999999999999999E-4</v>
      </c>
      <c r="V316" s="197">
        <f t="shared" si="225"/>
        <v>0.3888888888888889</v>
      </c>
      <c r="W316" s="197">
        <f t="shared" si="191"/>
        <v>4.3555555555555561E-3</v>
      </c>
      <c r="X316" s="286">
        <f t="shared" si="192"/>
        <v>1</v>
      </c>
      <c r="Y316" s="286">
        <f t="shared" si="193"/>
        <v>0.17335969315081967</v>
      </c>
      <c r="Z316" s="286">
        <f t="shared" si="194"/>
        <v>0.54964853345132902</v>
      </c>
      <c r="AA316" s="286">
        <f t="shared" si="226"/>
        <v>0.17335969315081967</v>
      </c>
      <c r="AB316" s="197">
        <f t="shared" si="195"/>
        <v>0.36419974881911377</v>
      </c>
      <c r="AC316" s="287">
        <f t="shared" si="196"/>
        <v>4.4451203372005044E-7</v>
      </c>
      <c r="AD316" s="197">
        <f t="shared" si="227"/>
        <v>11.693936048110356</v>
      </c>
      <c r="AE316" s="197">
        <f t="shared" si="228"/>
        <v>35.08180814433107</v>
      </c>
      <c r="AF316" s="197">
        <f t="shared" si="229"/>
        <v>8.5178571428571423E-2</v>
      </c>
      <c r="AG316" s="197">
        <f t="shared" si="230"/>
        <v>0.25553571428571431</v>
      </c>
      <c r="AH316" s="197">
        <f t="shared" si="197"/>
        <v>0.11660930017110901</v>
      </c>
      <c r="AI316" s="197">
        <f t="shared" si="231"/>
        <v>0.11660930017110901</v>
      </c>
      <c r="AJ316" s="218">
        <f t="shared" si="198"/>
        <v>390.00000000000006</v>
      </c>
      <c r="AK316" s="197">
        <f t="shared" si="232"/>
        <v>6.0930617977437734E-2</v>
      </c>
      <c r="AL316" s="197">
        <f t="shared" si="233"/>
        <v>9.6203707235237593E-2</v>
      </c>
      <c r="AM316" s="197">
        <f t="shared" si="234"/>
        <v>4.0790371867740751E-3</v>
      </c>
      <c r="AN316" s="197">
        <f t="shared" si="199"/>
        <v>24.05</v>
      </c>
      <c r="AO316" s="197">
        <f t="shared" si="200"/>
        <v>21.69</v>
      </c>
      <c r="AP316" s="197">
        <f t="shared" si="235"/>
        <v>7.4093290390420161E-2</v>
      </c>
      <c r="AQ316" s="197">
        <f t="shared" si="236"/>
        <v>0.42250439890466829</v>
      </c>
      <c r="AR316" s="197">
        <f t="shared" si="237"/>
        <v>0.30589509873355925</v>
      </c>
      <c r="AS316" s="258">
        <f t="shared" si="238"/>
        <v>0.15228632177729159</v>
      </c>
      <c r="AT316" s="197">
        <f t="shared" si="201"/>
        <v>2.5974058656511614E-4</v>
      </c>
      <c r="AU316" s="194">
        <f t="shared" si="202"/>
        <v>21.19</v>
      </c>
      <c r="AV316" s="197">
        <f t="shared" si="203"/>
        <v>2.7E-2</v>
      </c>
      <c r="AW316" s="197">
        <f t="shared" si="204"/>
        <v>3.4260000000000002E-3</v>
      </c>
      <c r="AX316" s="197">
        <f t="shared" si="239"/>
        <v>6.1668000000000001E-2</v>
      </c>
      <c r="AY316" s="197">
        <f t="shared" si="205"/>
        <v>2.8867476000000005E-3</v>
      </c>
      <c r="AZ316" s="197">
        <f t="shared" si="206"/>
        <v>0</v>
      </c>
      <c r="BA316" s="197">
        <f t="shared" si="240"/>
        <v>7.2596940000000013E-2</v>
      </c>
      <c r="BB316" s="258">
        <f t="shared" si="207"/>
        <v>0.36575210336206115</v>
      </c>
      <c r="BC316" s="197">
        <f t="shared" si="208"/>
        <v>2.2380490766334034E-2</v>
      </c>
      <c r="BD316" s="197">
        <f t="shared" si="241"/>
        <v>4.4760981532668068E-3</v>
      </c>
      <c r="BE316" s="197">
        <f t="shared" si="242"/>
        <v>2.6856588919600841E-2</v>
      </c>
      <c r="BF316" s="197">
        <f t="shared" si="209"/>
        <v>0.20773291256157633</v>
      </c>
      <c r="BG316" s="197">
        <f t="shared" si="210"/>
        <v>5.4608303342508187E-4</v>
      </c>
      <c r="BH316" s="197">
        <f t="shared" si="211"/>
        <v>3.5336687086656722E-2</v>
      </c>
      <c r="BI316" s="197">
        <f t="shared" si="243"/>
        <v>0.44730899017824427</v>
      </c>
      <c r="BJ316" s="197">
        <f t="shared" si="212"/>
        <v>6.769615024661003</v>
      </c>
      <c r="BK316" s="288">
        <f t="shared" si="213"/>
        <v>0.93392401361838984</v>
      </c>
      <c r="BL316" s="197">
        <f t="shared" si="214"/>
        <v>0.37608972359227794</v>
      </c>
      <c r="BM316" s="197">
        <f t="shared" si="215"/>
        <v>7.4353030976985271E-2</v>
      </c>
      <c r="BN316" s="197">
        <f t="shared" si="216"/>
        <v>54.461181858619113</v>
      </c>
      <c r="BO316" s="197">
        <f t="shared" si="244"/>
        <v>0.2082789955950014</v>
      </c>
      <c r="BP316" s="197">
        <f t="shared" si="217"/>
        <v>65.620924669625111</v>
      </c>
      <c r="BQ316" s="197">
        <f t="shared" si="218"/>
        <v>9.9596940000000009E-2</v>
      </c>
      <c r="BR316" s="288">
        <f t="shared" si="219"/>
        <v>0.16008975919012108</v>
      </c>
      <c r="BS316" s="197">
        <f t="shared" si="220"/>
        <v>0.11660930017110901</v>
      </c>
      <c r="BT316" s="197">
        <f t="shared" si="221"/>
        <v>0.36419974881911377</v>
      </c>
      <c r="BU316" s="197">
        <f t="shared" si="222"/>
        <v>0.1713930788771201</v>
      </c>
      <c r="BV316" s="197">
        <f t="shared" si="223"/>
        <v>0.53530306917875781</v>
      </c>
      <c r="BW316" s="194"/>
      <c r="BX316" s="194"/>
      <c r="BY316" s="194"/>
      <c r="BZ316" s="194"/>
      <c r="CA316" s="194"/>
      <c r="CB316" s="194"/>
      <c r="CC316" s="194"/>
      <c r="CD316" s="194"/>
      <c r="CE316" s="194"/>
      <c r="CF316" s="194"/>
      <c r="CG316" s="194"/>
      <c r="CH316" s="194"/>
      <c r="CI316" s="194"/>
      <c r="CJ316" s="194"/>
      <c r="CK316" s="194"/>
      <c r="CL316" s="194"/>
      <c r="CM316" s="194"/>
      <c r="CN316" s="194"/>
      <c r="CO316" s="194"/>
      <c r="CP316" s="194"/>
      <c r="CQ316" s="194"/>
      <c r="CR316" s="194"/>
      <c r="CS316" s="194"/>
      <c r="CT316" s="194"/>
      <c r="CU316" s="194"/>
      <c r="CV316" s="194"/>
      <c r="CW316" s="194"/>
      <c r="CX316" s="194"/>
      <c r="CY316" s="194"/>
      <c r="CZ316" s="194"/>
      <c r="DA316" s="194"/>
      <c r="DB316" s="194"/>
      <c r="DC316" s="194"/>
      <c r="DD316" s="194"/>
      <c r="DE316" s="194"/>
      <c r="DF316" s="194"/>
    </row>
    <row r="317" spans="2:110" s="192" customFormat="1" hidden="1" x14ac:dyDescent="0.35">
      <c r="B317" s="289"/>
      <c r="C317" s="289"/>
      <c r="Q317" s="193"/>
      <c r="R317" s="194">
        <f t="shared" si="224"/>
        <v>18</v>
      </c>
      <c r="S317" s="197">
        <f t="shared" si="190"/>
        <v>0.3888888888888889</v>
      </c>
      <c r="T317" s="194">
        <f t="shared" si="245"/>
        <v>0.69</v>
      </c>
      <c r="U317" s="194">
        <f t="shared" si="246"/>
        <v>1.4999999999999999E-4</v>
      </c>
      <c r="V317" s="197">
        <f t="shared" si="225"/>
        <v>0.3888888888888889</v>
      </c>
      <c r="W317" s="197">
        <f t="shared" si="191"/>
        <v>4.3555555555555561E-3</v>
      </c>
      <c r="X317" s="286">
        <f t="shared" si="192"/>
        <v>1</v>
      </c>
      <c r="Y317" s="286">
        <f t="shared" si="193"/>
        <v>0.17335969315081967</v>
      </c>
      <c r="Z317" s="286">
        <f t="shared" si="194"/>
        <v>0.54964853345132902</v>
      </c>
      <c r="AA317" s="286">
        <f t="shared" si="226"/>
        <v>0.17335969315081967</v>
      </c>
      <c r="AB317" s="197">
        <f t="shared" si="195"/>
        <v>0.36419974881911377</v>
      </c>
      <c r="AC317" s="287">
        <f t="shared" si="196"/>
        <v>4.4451203372005044E-7</v>
      </c>
      <c r="AD317" s="197">
        <f t="shared" si="227"/>
        <v>11.693936048110356</v>
      </c>
      <c r="AE317" s="197">
        <f t="shared" si="228"/>
        <v>35.08180814433107</v>
      </c>
      <c r="AF317" s="197">
        <f t="shared" si="229"/>
        <v>8.5178571428571423E-2</v>
      </c>
      <c r="AG317" s="197">
        <f t="shared" si="230"/>
        <v>0.25553571428571431</v>
      </c>
      <c r="AH317" s="197">
        <f t="shared" si="197"/>
        <v>0.11660930017110901</v>
      </c>
      <c r="AI317" s="197">
        <f t="shared" si="231"/>
        <v>0.11660930017110901</v>
      </c>
      <c r="AJ317" s="218">
        <f t="shared" si="198"/>
        <v>390.00000000000006</v>
      </c>
      <c r="AK317" s="197">
        <f t="shared" si="232"/>
        <v>6.0930617977437734E-2</v>
      </c>
      <c r="AL317" s="197">
        <f t="shared" si="233"/>
        <v>9.6203707235237593E-2</v>
      </c>
      <c r="AM317" s="197">
        <f t="shared" si="234"/>
        <v>4.0790371867740751E-3</v>
      </c>
      <c r="AN317" s="197">
        <f t="shared" si="199"/>
        <v>24.05</v>
      </c>
      <c r="AO317" s="197">
        <f t="shared" si="200"/>
        <v>21.69</v>
      </c>
      <c r="AP317" s="197">
        <f t="shared" si="235"/>
        <v>7.4093290390420161E-2</v>
      </c>
      <c r="AQ317" s="197">
        <f t="shared" si="236"/>
        <v>0.42250439890466829</v>
      </c>
      <c r="AR317" s="197">
        <f t="shared" si="237"/>
        <v>0.30589509873355925</v>
      </c>
      <c r="AS317" s="258">
        <f t="shared" si="238"/>
        <v>0.15228632177729159</v>
      </c>
      <c r="AT317" s="197">
        <f t="shared" si="201"/>
        <v>2.5974058656511614E-4</v>
      </c>
      <c r="AU317" s="194">
        <f t="shared" si="202"/>
        <v>21.19</v>
      </c>
      <c r="AV317" s="197">
        <f t="shared" si="203"/>
        <v>2.7E-2</v>
      </c>
      <c r="AW317" s="197">
        <f t="shared" si="204"/>
        <v>3.4260000000000002E-3</v>
      </c>
      <c r="AX317" s="197">
        <f t="shared" si="239"/>
        <v>6.1668000000000001E-2</v>
      </c>
      <c r="AY317" s="197">
        <f t="shared" si="205"/>
        <v>2.8867476000000005E-3</v>
      </c>
      <c r="AZ317" s="197">
        <f t="shared" si="206"/>
        <v>0</v>
      </c>
      <c r="BA317" s="197">
        <f t="shared" si="240"/>
        <v>7.2596940000000013E-2</v>
      </c>
      <c r="BB317" s="258">
        <f t="shared" si="207"/>
        <v>0.36575210336206115</v>
      </c>
      <c r="BC317" s="197">
        <f t="shared" si="208"/>
        <v>2.2380490766334034E-2</v>
      </c>
      <c r="BD317" s="197">
        <f t="shared" si="241"/>
        <v>4.4760981532668068E-3</v>
      </c>
      <c r="BE317" s="197">
        <f t="shared" si="242"/>
        <v>2.6856588919600841E-2</v>
      </c>
      <c r="BF317" s="197">
        <f t="shared" si="209"/>
        <v>0.20773291256157633</v>
      </c>
      <c r="BG317" s="197">
        <f t="shared" si="210"/>
        <v>5.4608303342508187E-4</v>
      </c>
      <c r="BH317" s="197">
        <f t="shared" si="211"/>
        <v>3.5336687086656722E-2</v>
      </c>
      <c r="BI317" s="197">
        <f t="shared" si="243"/>
        <v>0.44730899017824427</v>
      </c>
      <c r="BJ317" s="197">
        <f t="shared" si="212"/>
        <v>6.769615024661003</v>
      </c>
      <c r="BK317" s="288">
        <f t="shared" si="213"/>
        <v>0.93392401361838984</v>
      </c>
      <c r="BL317" s="197">
        <f t="shared" si="214"/>
        <v>0.37608972359227794</v>
      </c>
      <c r="BM317" s="197">
        <f t="shared" si="215"/>
        <v>7.4353030976985271E-2</v>
      </c>
      <c r="BN317" s="197">
        <f t="shared" si="216"/>
        <v>54.461181858619113</v>
      </c>
      <c r="BO317" s="197">
        <f t="shared" si="244"/>
        <v>0.2082789955950014</v>
      </c>
      <c r="BP317" s="197">
        <f t="shared" si="217"/>
        <v>65.620924669625111</v>
      </c>
      <c r="BQ317" s="197">
        <f t="shared" si="218"/>
        <v>9.9596940000000009E-2</v>
      </c>
      <c r="BR317" s="288">
        <f t="shared" si="219"/>
        <v>0.16008975919012108</v>
      </c>
      <c r="BS317" s="197">
        <f t="shared" si="220"/>
        <v>0.11660930017110901</v>
      </c>
      <c r="BT317" s="197">
        <f t="shared" si="221"/>
        <v>0.36419974881911377</v>
      </c>
      <c r="BU317" s="197">
        <f t="shared" si="222"/>
        <v>0.1713930788771201</v>
      </c>
      <c r="BV317" s="197">
        <f t="shared" si="223"/>
        <v>0.53530306917875781</v>
      </c>
      <c r="BW317" s="194"/>
      <c r="BX317" s="194"/>
      <c r="BY317" s="194"/>
      <c r="BZ317" s="194"/>
      <c r="CA317" s="194"/>
      <c r="CB317" s="194"/>
      <c r="CC317" s="194"/>
      <c r="CD317" s="194"/>
      <c r="CE317" s="194"/>
      <c r="CF317" s="194"/>
      <c r="CG317" s="194"/>
      <c r="CH317" s="194"/>
      <c r="CI317" s="194"/>
      <c r="CJ317" s="194"/>
      <c r="CK317" s="194"/>
      <c r="CL317" s="194"/>
      <c r="CM317" s="194"/>
      <c r="CN317" s="194"/>
      <c r="CO317" s="194"/>
      <c r="CP317" s="194"/>
      <c r="CQ317" s="194"/>
      <c r="CR317" s="194"/>
      <c r="CS317" s="194"/>
      <c r="CT317" s="194"/>
      <c r="CU317" s="194"/>
      <c r="CV317" s="194"/>
      <c r="CW317" s="194"/>
      <c r="CX317" s="194"/>
      <c r="CY317" s="194"/>
      <c r="CZ317" s="194"/>
      <c r="DA317" s="194"/>
      <c r="DB317" s="194"/>
      <c r="DC317" s="194"/>
      <c r="DD317" s="194"/>
      <c r="DE317" s="194"/>
      <c r="DF317" s="194"/>
    </row>
    <row r="318" spans="2:110" s="192" customFormat="1" hidden="1" x14ac:dyDescent="0.35">
      <c r="B318" s="289"/>
      <c r="C318" s="289"/>
      <c r="Q318" s="193"/>
      <c r="R318" s="194">
        <f t="shared" si="224"/>
        <v>18</v>
      </c>
      <c r="S318" s="197">
        <f t="shared" si="190"/>
        <v>0.3888888888888889</v>
      </c>
      <c r="T318" s="194">
        <f t="shared" si="245"/>
        <v>0.69</v>
      </c>
      <c r="U318" s="194">
        <f t="shared" si="246"/>
        <v>1.4999999999999999E-4</v>
      </c>
      <c r="V318" s="197">
        <f t="shared" si="225"/>
        <v>0.3888888888888889</v>
      </c>
      <c r="W318" s="197">
        <f t="shared" si="191"/>
        <v>4.3555555555555561E-3</v>
      </c>
      <c r="X318" s="286">
        <f t="shared" si="192"/>
        <v>1</v>
      </c>
      <c r="Y318" s="286">
        <f t="shared" si="193"/>
        <v>0.17335969315081967</v>
      </c>
      <c r="Z318" s="286">
        <f t="shared" si="194"/>
        <v>0.54964853345132902</v>
      </c>
      <c r="AA318" s="286">
        <f t="shared" si="226"/>
        <v>0.17335969315081967</v>
      </c>
      <c r="AB318" s="197">
        <f t="shared" si="195"/>
        <v>0.36419974881911377</v>
      </c>
      <c r="AC318" s="287">
        <f t="shared" si="196"/>
        <v>4.4451203372005044E-7</v>
      </c>
      <c r="AD318" s="197">
        <f t="shared" si="227"/>
        <v>11.693936048110356</v>
      </c>
      <c r="AE318" s="197">
        <f t="shared" si="228"/>
        <v>35.08180814433107</v>
      </c>
      <c r="AF318" s="197">
        <f t="shared" si="229"/>
        <v>8.5178571428571423E-2</v>
      </c>
      <c r="AG318" s="197">
        <f t="shared" si="230"/>
        <v>0.25553571428571431</v>
      </c>
      <c r="AH318" s="197">
        <f t="shared" si="197"/>
        <v>0.11660930017110901</v>
      </c>
      <c r="AI318" s="197">
        <f t="shared" si="231"/>
        <v>0.11660930017110901</v>
      </c>
      <c r="AJ318" s="218">
        <f t="shared" si="198"/>
        <v>390.00000000000006</v>
      </c>
      <c r="AK318" s="197">
        <f t="shared" si="232"/>
        <v>6.0930617977437734E-2</v>
      </c>
      <c r="AL318" s="197">
        <f t="shared" si="233"/>
        <v>9.6203707235237593E-2</v>
      </c>
      <c r="AM318" s="197">
        <f t="shared" si="234"/>
        <v>4.0790371867740751E-3</v>
      </c>
      <c r="AN318" s="197">
        <f t="shared" si="199"/>
        <v>24.05</v>
      </c>
      <c r="AO318" s="197">
        <f t="shared" si="200"/>
        <v>21.69</v>
      </c>
      <c r="AP318" s="197">
        <f t="shared" si="235"/>
        <v>7.4093290390420161E-2</v>
      </c>
      <c r="AQ318" s="197">
        <f t="shared" si="236"/>
        <v>0.42250439890466829</v>
      </c>
      <c r="AR318" s="197">
        <f t="shared" si="237"/>
        <v>0.30589509873355925</v>
      </c>
      <c r="AS318" s="258">
        <f t="shared" si="238"/>
        <v>0.15228632177729159</v>
      </c>
      <c r="AT318" s="197">
        <f t="shared" si="201"/>
        <v>2.5974058656511614E-4</v>
      </c>
      <c r="AU318" s="194">
        <f t="shared" si="202"/>
        <v>21.19</v>
      </c>
      <c r="AV318" s="197">
        <f t="shared" si="203"/>
        <v>2.7E-2</v>
      </c>
      <c r="AW318" s="197">
        <f t="shared" si="204"/>
        <v>3.4260000000000002E-3</v>
      </c>
      <c r="AX318" s="197">
        <f t="shared" si="239"/>
        <v>6.1668000000000001E-2</v>
      </c>
      <c r="AY318" s="197">
        <f t="shared" si="205"/>
        <v>2.8867476000000005E-3</v>
      </c>
      <c r="AZ318" s="197">
        <f t="shared" si="206"/>
        <v>0</v>
      </c>
      <c r="BA318" s="197">
        <f t="shared" si="240"/>
        <v>7.2596940000000013E-2</v>
      </c>
      <c r="BB318" s="258">
        <f t="shared" si="207"/>
        <v>0.36575210336206115</v>
      </c>
      <c r="BC318" s="197">
        <f t="shared" si="208"/>
        <v>2.2380490766334034E-2</v>
      </c>
      <c r="BD318" s="197">
        <f t="shared" si="241"/>
        <v>4.4760981532668068E-3</v>
      </c>
      <c r="BE318" s="197">
        <f t="shared" si="242"/>
        <v>2.6856588919600841E-2</v>
      </c>
      <c r="BF318" s="197">
        <f t="shared" si="209"/>
        <v>0.20773291256157633</v>
      </c>
      <c r="BG318" s="197">
        <f t="shared" si="210"/>
        <v>5.4608303342508187E-4</v>
      </c>
      <c r="BH318" s="197">
        <f t="shared" si="211"/>
        <v>3.5336687086656722E-2</v>
      </c>
      <c r="BI318" s="197">
        <f t="shared" si="243"/>
        <v>0.44730899017824427</v>
      </c>
      <c r="BJ318" s="197">
        <f t="shared" si="212"/>
        <v>6.769615024661003</v>
      </c>
      <c r="BK318" s="288">
        <f t="shared" si="213"/>
        <v>0.93392401361838984</v>
      </c>
      <c r="BL318" s="197">
        <f t="shared" si="214"/>
        <v>0.37608972359227794</v>
      </c>
      <c r="BM318" s="197">
        <f t="shared" si="215"/>
        <v>7.4353030976985271E-2</v>
      </c>
      <c r="BN318" s="197">
        <f t="shared" si="216"/>
        <v>54.461181858619113</v>
      </c>
      <c r="BO318" s="197">
        <f t="shared" si="244"/>
        <v>0.2082789955950014</v>
      </c>
      <c r="BP318" s="197">
        <f t="shared" si="217"/>
        <v>65.620924669625111</v>
      </c>
      <c r="BQ318" s="197">
        <f t="shared" si="218"/>
        <v>9.9596940000000009E-2</v>
      </c>
      <c r="BR318" s="288">
        <f t="shared" si="219"/>
        <v>0.16008975919012108</v>
      </c>
      <c r="BS318" s="197">
        <f t="shared" si="220"/>
        <v>0.11660930017110901</v>
      </c>
      <c r="BT318" s="197">
        <f t="shared" si="221"/>
        <v>0.36419974881911377</v>
      </c>
      <c r="BU318" s="197">
        <f t="shared" si="222"/>
        <v>0.1713930788771201</v>
      </c>
      <c r="BV318" s="197">
        <f t="shared" si="223"/>
        <v>0.53530306917875781</v>
      </c>
      <c r="BW318" s="194"/>
      <c r="BX318" s="194"/>
      <c r="BY318" s="194"/>
      <c r="BZ318" s="194"/>
      <c r="CA318" s="194"/>
      <c r="CB318" s="194"/>
      <c r="CC318" s="194"/>
      <c r="CD318" s="194"/>
      <c r="CE318" s="194"/>
      <c r="CF318" s="194"/>
      <c r="CG318" s="194"/>
      <c r="CH318" s="194"/>
      <c r="CI318" s="194"/>
      <c r="CJ318" s="194"/>
      <c r="CK318" s="194"/>
      <c r="CL318" s="194"/>
      <c r="CM318" s="194"/>
      <c r="CN318" s="194"/>
      <c r="CO318" s="194"/>
      <c r="CP318" s="194"/>
      <c r="CQ318" s="194"/>
      <c r="CR318" s="194"/>
      <c r="CS318" s="194"/>
      <c r="CT318" s="194"/>
      <c r="CU318" s="194"/>
      <c r="CV318" s="194"/>
      <c r="CW318" s="194"/>
      <c r="CX318" s="194"/>
      <c r="CY318" s="194"/>
      <c r="CZ318" s="194"/>
      <c r="DA318" s="194"/>
      <c r="DB318" s="194"/>
      <c r="DC318" s="194"/>
      <c r="DD318" s="194"/>
      <c r="DE318" s="194"/>
      <c r="DF318" s="194"/>
    </row>
    <row r="319" spans="2:110" s="192" customFormat="1" hidden="1" x14ac:dyDescent="0.35">
      <c r="B319" s="289"/>
      <c r="C319" s="289"/>
      <c r="Q319" s="193"/>
      <c r="R319" s="194">
        <f t="shared" si="224"/>
        <v>18</v>
      </c>
      <c r="S319" s="197">
        <f t="shared" si="190"/>
        <v>0.3888888888888889</v>
      </c>
      <c r="T319" s="194">
        <f t="shared" si="245"/>
        <v>0.69</v>
      </c>
      <c r="U319" s="194">
        <f t="shared" si="246"/>
        <v>1.4999999999999999E-4</v>
      </c>
      <c r="V319" s="197">
        <f t="shared" si="225"/>
        <v>0.3888888888888889</v>
      </c>
      <c r="W319" s="197">
        <f t="shared" si="191"/>
        <v>4.3555555555555561E-3</v>
      </c>
      <c r="X319" s="286">
        <f t="shared" si="192"/>
        <v>1</v>
      </c>
      <c r="Y319" s="286">
        <f t="shared" si="193"/>
        <v>0.17335969315081967</v>
      </c>
      <c r="Z319" s="286">
        <f t="shared" si="194"/>
        <v>0.54964853345132902</v>
      </c>
      <c r="AA319" s="286">
        <f t="shared" si="226"/>
        <v>0.17335969315081967</v>
      </c>
      <c r="AB319" s="197">
        <f t="shared" si="195"/>
        <v>0.36419974881911377</v>
      </c>
      <c r="AC319" s="287">
        <f t="shared" si="196"/>
        <v>4.4451203372005044E-7</v>
      </c>
      <c r="AD319" s="197">
        <f t="shared" si="227"/>
        <v>11.693936048110356</v>
      </c>
      <c r="AE319" s="197">
        <f t="shared" si="228"/>
        <v>35.08180814433107</v>
      </c>
      <c r="AF319" s="197">
        <f t="shared" si="229"/>
        <v>8.5178571428571423E-2</v>
      </c>
      <c r="AG319" s="197">
        <f t="shared" si="230"/>
        <v>0.25553571428571431</v>
      </c>
      <c r="AH319" s="197">
        <f t="shared" si="197"/>
        <v>0.11660930017110901</v>
      </c>
      <c r="AI319" s="197">
        <f t="shared" si="231"/>
        <v>0.11660930017110901</v>
      </c>
      <c r="AJ319" s="218">
        <f t="shared" si="198"/>
        <v>390.00000000000006</v>
      </c>
      <c r="AK319" s="197">
        <f t="shared" si="232"/>
        <v>6.0930617977437734E-2</v>
      </c>
      <c r="AL319" s="197">
        <f t="shared" si="233"/>
        <v>9.6203707235237593E-2</v>
      </c>
      <c r="AM319" s="197">
        <f t="shared" si="234"/>
        <v>4.0790371867740751E-3</v>
      </c>
      <c r="AN319" s="197">
        <f t="shared" si="199"/>
        <v>24.05</v>
      </c>
      <c r="AO319" s="197">
        <f t="shared" si="200"/>
        <v>21.69</v>
      </c>
      <c r="AP319" s="197">
        <f t="shared" si="235"/>
        <v>7.4093290390420161E-2</v>
      </c>
      <c r="AQ319" s="197">
        <f t="shared" si="236"/>
        <v>0.42250439890466829</v>
      </c>
      <c r="AR319" s="197">
        <f t="shared" si="237"/>
        <v>0.30589509873355925</v>
      </c>
      <c r="AS319" s="258">
        <f t="shared" si="238"/>
        <v>0.15228632177729159</v>
      </c>
      <c r="AT319" s="197">
        <f t="shared" si="201"/>
        <v>2.5974058656511614E-4</v>
      </c>
      <c r="AU319" s="194">
        <f t="shared" si="202"/>
        <v>21.19</v>
      </c>
      <c r="AV319" s="197">
        <f t="shared" si="203"/>
        <v>2.7E-2</v>
      </c>
      <c r="AW319" s="197">
        <f t="shared" si="204"/>
        <v>3.4260000000000002E-3</v>
      </c>
      <c r="AX319" s="197">
        <f t="shared" si="239"/>
        <v>6.1668000000000001E-2</v>
      </c>
      <c r="AY319" s="197">
        <f t="shared" si="205"/>
        <v>2.8867476000000005E-3</v>
      </c>
      <c r="AZ319" s="197">
        <f t="shared" si="206"/>
        <v>0</v>
      </c>
      <c r="BA319" s="197">
        <f t="shared" si="240"/>
        <v>7.2596940000000013E-2</v>
      </c>
      <c r="BB319" s="258">
        <f t="shared" si="207"/>
        <v>0.36575210336206115</v>
      </c>
      <c r="BC319" s="197">
        <f t="shared" si="208"/>
        <v>2.2380490766334034E-2</v>
      </c>
      <c r="BD319" s="197">
        <f t="shared" si="241"/>
        <v>4.4760981532668068E-3</v>
      </c>
      <c r="BE319" s="197">
        <f t="shared" si="242"/>
        <v>2.6856588919600841E-2</v>
      </c>
      <c r="BF319" s="197">
        <f t="shared" si="209"/>
        <v>0.20773291256157633</v>
      </c>
      <c r="BG319" s="197">
        <f t="shared" si="210"/>
        <v>5.4608303342508187E-4</v>
      </c>
      <c r="BH319" s="197">
        <f t="shared" si="211"/>
        <v>3.5336687086656722E-2</v>
      </c>
      <c r="BI319" s="197">
        <f t="shared" si="243"/>
        <v>0.44730899017824427</v>
      </c>
      <c r="BJ319" s="197">
        <f t="shared" si="212"/>
        <v>6.769615024661003</v>
      </c>
      <c r="BK319" s="288">
        <f t="shared" si="213"/>
        <v>0.93392401361838984</v>
      </c>
      <c r="BL319" s="197">
        <f t="shared" si="214"/>
        <v>0.37608972359227794</v>
      </c>
      <c r="BM319" s="197">
        <f t="shared" si="215"/>
        <v>7.4353030976985271E-2</v>
      </c>
      <c r="BN319" s="197">
        <f t="shared" si="216"/>
        <v>54.461181858619113</v>
      </c>
      <c r="BO319" s="197">
        <f t="shared" si="244"/>
        <v>0.2082789955950014</v>
      </c>
      <c r="BP319" s="197">
        <f t="shared" si="217"/>
        <v>65.620924669625111</v>
      </c>
      <c r="BQ319" s="197">
        <f t="shared" si="218"/>
        <v>9.9596940000000009E-2</v>
      </c>
      <c r="BR319" s="288">
        <f t="shared" si="219"/>
        <v>0.16008975919012108</v>
      </c>
      <c r="BS319" s="197">
        <f t="shared" si="220"/>
        <v>0.11660930017110901</v>
      </c>
      <c r="BT319" s="197">
        <f t="shared" si="221"/>
        <v>0.36419974881911377</v>
      </c>
      <c r="BU319" s="197">
        <f t="shared" si="222"/>
        <v>0.1713930788771201</v>
      </c>
      <c r="BV319" s="197">
        <f t="shared" si="223"/>
        <v>0.53530306917875781</v>
      </c>
      <c r="BW319" s="194"/>
      <c r="BX319" s="194"/>
      <c r="BY319" s="194"/>
      <c r="BZ319" s="194"/>
      <c r="CA319" s="194"/>
      <c r="CB319" s="194"/>
      <c r="CC319" s="194"/>
      <c r="CD319" s="194"/>
      <c r="CE319" s="194"/>
      <c r="CF319" s="194"/>
      <c r="CG319" s="194"/>
      <c r="CH319" s="194"/>
      <c r="CI319" s="194"/>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row>
    <row r="320" spans="2:110" s="192" customFormat="1" hidden="1" x14ac:dyDescent="0.35">
      <c r="B320" s="289"/>
      <c r="C320" s="289"/>
      <c r="Q320" s="193"/>
      <c r="R320" s="194">
        <f t="shared" si="224"/>
        <v>18</v>
      </c>
      <c r="S320" s="197">
        <f t="shared" si="190"/>
        <v>0.3888888888888889</v>
      </c>
      <c r="T320" s="194">
        <f t="shared" si="245"/>
        <v>0.69</v>
      </c>
      <c r="U320" s="194">
        <f t="shared" si="246"/>
        <v>1.4999999999999999E-4</v>
      </c>
      <c r="V320" s="197">
        <f t="shared" si="225"/>
        <v>0.3888888888888889</v>
      </c>
      <c r="W320" s="197">
        <f t="shared" si="191"/>
        <v>4.3555555555555561E-3</v>
      </c>
      <c r="X320" s="286">
        <f t="shared" si="192"/>
        <v>1</v>
      </c>
      <c r="Y320" s="286">
        <f t="shared" si="193"/>
        <v>0.17335969315081967</v>
      </c>
      <c r="Z320" s="286">
        <f t="shared" si="194"/>
        <v>0.54964853345132902</v>
      </c>
      <c r="AA320" s="286">
        <f t="shared" si="226"/>
        <v>0.17335969315081967</v>
      </c>
      <c r="AB320" s="197">
        <f t="shared" si="195"/>
        <v>0.36419974881911377</v>
      </c>
      <c r="AC320" s="287">
        <f t="shared" si="196"/>
        <v>4.4451203372005044E-7</v>
      </c>
      <c r="AD320" s="197">
        <f t="shared" si="227"/>
        <v>11.693936048110356</v>
      </c>
      <c r="AE320" s="197">
        <f t="shared" si="228"/>
        <v>35.08180814433107</v>
      </c>
      <c r="AF320" s="197">
        <f t="shared" si="229"/>
        <v>8.5178571428571423E-2</v>
      </c>
      <c r="AG320" s="197">
        <f t="shared" si="230"/>
        <v>0.25553571428571431</v>
      </c>
      <c r="AH320" s="197">
        <f t="shared" si="197"/>
        <v>0.11660930017110901</v>
      </c>
      <c r="AI320" s="197">
        <f t="shared" si="231"/>
        <v>0.11660930017110901</v>
      </c>
      <c r="AJ320" s="218">
        <f t="shared" si="198"/>
        <v>390.00000000000006</v>
      </c>
      <c r="AK320" s="197">
        <f t="shared" si="232"/>
        <v>6.0930617977437734E-2</v>
      </c>
      <c r="AL320" s="197">
        <f t="shared" si="233"/>
        <v>9.6203707235237593E-2</v>
      </c>
      <c r="AM320" s="197">
        <f t="shared" si="234"/>
        <v>4.0790371867740751E-3</v>
      </c>
      <c r="AN320" s="197">
        <f t="shared" si="199"/>
        <v>24.05</v>
      </c>
      <c r="AO320" s="197">
        <f t="shared" si="200"/>
        <v>21.69</v>
      </c>
      <c r="AP320" s="197">
        <f t="shared" si="235"/>
        <v>7.4093290390420161E-2</v>
      </c>
      <c r="AQ320" s="197">
        <f t="shared" si="236"/>
        <v>0.42250439890466829</v>
      </c>
      <c r="AR320" s="197">
        <f t="shared" si="237"/>
        <v>0.30589509873355925</v>
      </c>
      <c r="AS320" s="258">
        <f t="shared" si="238"/>
        <v>0.15228632177729159</v>
      </c>
      <c r="AT320" s="197">
        <f t="shared" si="201"/>
        <v>2.5974058656511614E-4</v>
      </c>
      <c r="AU320" s="194">
        <f t="shared" si="202"/>
        <v>21.19</v>
      </c>
      <c r="AV320" s="197">
        <f t="shared" si="203"/>
        <v>2.7E-2</v>
      </c>
      <c r="AW320" s="197">
        <f t="shared" si="204"/>
        <v>3.4260000000000002E-3</v>
      </c>
      <c r="AX320" s="197">
        <f t="shared" si="239"/>
        <v>6.1668000000000001E-2</v>
      </c>
      <c r="AY320" s="197">
        <f t="shared" si="205"/>
        <v>2.8867476000000005E-3</v>
      </c>
      <c r="AZ320" s="197">
        <f t="shared" si="206"/>
        <v>0</v>
      </c>
      <c r="BA320" s="197">
        <f t="shared" si="240"/>
        <v>7.2596940000000013E-2</v>
      </c>
      <c r="BB320" s="258">
        <f t="shared" si="207"/>
        <v>0.36575210336206115</v>
      </c>
      <c r="BC320" s="197">
        <f t="shared" si="208"/>
        <v>2.2380490766334034E-2</v>
      </c>
      <c r="BD320" s="197">
        <f t="shared" si="241"/>
        <v>4.4760981532668068E-3</v>
      </c>
      <c r="BE320" s="197">
        <f t="shared" si="242"/>
        <v>2.6856588919600841E-2</v>
      </c>
      <c r="BF320" s="197">
        <f t="shared" si="209"/>
        <v>0.20773291256157633</v>
      </c>
      <c r="BG320" s="197">
        <f t="shared" si="210"/>
        <v>5.4608303342508187E-4</v>
      </c>
      <c r="BH320" s="197">
        <f t="shared" si="211"/>
        <v>3.5336687086656722E-2</v>
      </c>
      <c r="BI320" s="197">
        <f t="shared" si="243"/>
        <v>0.44730899017824427</v>
      </c>
      <c r="BJ320" s="197">
        <f t="shared" si="212"/>
        <v>6.769615024661003</v>
      </c>
      <c r="BK320" s="288">
        <f t="shared" si="213"/>
        <v>0.93392401361838984</v>
      </c>
      <c r="BL320" s="197">
        <f t="shared" si="214"/>
        <v>0.37608972359227794</v>
      </c>
      <c r="BM320" s="197">
        <f t="shared" si="215"/>
        <v>7.4353030976985271E-2</v>
      </c>
      <c r="BN320" s="197">
        <f t="shared" si="216"/>
        <v>54.461181858619113</v>
      </c>
      <c r="BO320" s="197">
        <f t="shared" si="244"/>
        <v>0.2082789955950014</v>
      </c>
      <c r="BP320" s="197">
        <f t="shared" si="217"/>
        <v>65.620924669625111</v>
      </c>
      <c r="BQ320" s="197">
        <f t="shared" si="218"/>
        <v>9.9596940000000009E-2</v>
      </c>
      <c r="BR320" s="288">
        <f t="shared" si="219"/>
        <v>0.16008975919012108</v>
      </c>
      <c r="BS320" s="197">
        <f t="shared" si="220"/>
        <v>0.11660930017110901</v>
      </c>
      <c r="BT320" s="197">
        <f t="shared" si="221"/>
        <v>0.36419974881911377</v>
      </c>
      <c r="BU320" s="197">
        <f t="shared" si="222"/>
        <v>0.1713930788771201</v>
      </c>
      <c r="BV320" s="197">
        <f t="shared" si="223"/>
        <v>0.53530306917875781</v>
      </c>
      <c r="BW320" s="194"/>
      <c r="BX320" s="194"/>
      <c r="BY320" s="194"/>
      <c r="BZ320" s="194"/>
      <c r="CA320" s="194"/>
      <c r="CB320" s="194"/>
      <c r="CC320" s="194"/>
      <c r="CD320" s="194"/>
      <c r="CE320" s="194"/>
      <c r="CF320" s="194"/>
      <c r="CG320" s="194"/>
      <c r="CH320" s="194"/>
      <c r="CI320" s="194"/>
      <c r="CJ320" s="194"/>
      <c r="CK320" s="194"/>
      <c r="CL320" s="194"/>
      <c r="CM320" s="194"/>
      <c r="CN320" s="194"/>
      <c r="CO320" s="194"/>
      <c r="CP320" s="194"/>
      <c r="CQ320" s="194"/>
      <c r="CR320" s="194"/>
      <c r="CS320" s="194"/>
      <c r="CT320" s="194"/>
      <c r="CU320" s="194"/>
      <c r="CV320" s="194"/>
      <c r="CW320" s="194"/>
      <c r="CX320" s="194"/>
      <c r="CY320" s="194"/>
      <c r="CZ320" s="194"/>
      <c r="DA320" s="194"/>
      <c r="DB320" s="194"/>
      <c r="DC320" s="194"/>
      <c r="DD320" s="194"/>
      <c r="DE320" s="194"/>
      <c r="DF320" s="194"/>
    </row>
    <row r="321" spans="2:110" s="192" customFormat="1" hidden="1" x14ac:dyDescent="0.35">
      <c r="B321" s="289"/>
      <c r="C321" s="289"/>
      <c r="Q321" s="193"/>
      <c r="R321" s="194">
        <f t="shared" si="224"/>
        <v>18</v>
      </c>
      <c r="S321" s="197">
        <f t="shared" si="190"/>
        <v>0.3888888888888889</v>
      </c>
      <c r="T321" s="194">
        <f t="shared" si="245"/>
        <v>0.69</v>
      </c>
      <c r="U321" s="194">
        <f t="shared" si="246"/>
        <v>1.4999999999999999E-4</v>
      </c>
      <c r="V321" s="197">
        <f t="shared" si="225"/>
        <v>0.3888888888888889</v>
      </c>
      <c r="W321" s="197">
        <f t="shared" si="191"/>
        <v>4.3555555555555561E-3</v>
      </c>
      <c r="X321" s="286">
        <f t="shared" si="192"/>
        <v>1</v>
      </c>
      <c r="Y321" s="286">
        <f t="shared" si="193"/>
        <v>0.17335969315081967</v>
      </c>
      <c r="Z321" s="286">
        <f t="shared" si="194"/>
        <v>0.54964853345132902</v>
      </c>
      <c r="AA321" s="286">
        <f t="shared" si="226"/>
        <v>0.17335969315081967</v>
      </c>
      <c r="AB321" s="197">
        <f t="shared" si="195"/>
        <v>0.36419974881911377</v>
      </c>
      <c r="AC321" s="287">
        <f t="shared" si="196"/>
        <v>4.4451203372005044E-7</v>
      </c>
      <c r="AD321" s="197">
        <f t="shared" si="227"/>
        <v>11.693936048110356</v>
      </c>
      <c r="AE321" s="197">
        <f t="shared" si="228"/>
        <v>35.08180814433107</v>
      </c>
      <c r="AF321" s="197">
        <f t="shared" si="229"/>
        <v>8.5178571428571423E-2</v>
      </c>
      <c r="AG321" s="197">
        <f t="shared" si="230"/>
        <v>0.25553571428571431</v>
      </c>
      <c r="AH321" s="197">
        <f t="shared" si="197"/>
        <v>0.11660930017110901</v>
      </c>
      <c r="AI321" s="197">
        <f t="shared" si="231"/>
        <v>0.11660930017110901</v>
      </c>
      <c r="AJ321" s="218">
        <f t="shared" si="198"/>
        <v>390.00000000000006</v>
      </c>
      <c r="AK321" s="197">
        <f t="shared" si="232"/>
        <v>6.0930617977437734E-2</v>
      </c>
      <c r="AL321" s="197">
        <f t="shared" si="233"/>
        <v>9.6203707235237593E-2</v>
      </c>
      <c r="AM321" s="197">
        <f t="shared" si="234"/>
        <v>4.0790371867740751E-3</v>
      </c>
      <c r="AN321" s="197">
        <f t="shared" si="199"/>
        <v>24.05</v>
      </c>
      <c r="AO321" s="197">
        <f t="shared" si="200"/>
        <v>21.69</v>
      </c>
      <c r="AP321" s="197">
        <f t="shared" si="235"/>
        <v>7.4093290390420161E-2</v>
      </c>
      <c r="AQ321" s="197">
        <f t="shared" si="236"/>
        <v>0.42250439890466829</v>
      </c>
      <c r="AR321" s="197">
        <f t="shared" si="237"/>
        <v>0.30589509873355925</v>
      </c>
      <c r="AS321" s="258">
        <f t="shared" si="238"/>
        <v>0.15228632177729159</v>
      </c>
      <c r="AT321" s="197">
        <f t="shared" si="201"/>
        <v>2.5974058656511614E-4</v>
      </c>
      <c r="AU321" s="194">
        <f t="shared" si="202"/>
        <v>21.19</v>
      </c>
      <c r="AV321" s="197">
        <f t="shared" si="203"/>
        <v>2.7E-2</v>
      </c>
      <c r="AW321" s="197">
        <f t="shared" si="204"/>
        <v>3.4260000000000002E-3</v>
      </c>
      <c r="AX321" s="197">
        <f t="shared" si="239"/>
        <v>6.1668000000000001E-2</v>
      </c>
      <c r="AY321" s="197">
        <f t="shared" si="205"/>
        <v>2.8867476000000005E-3</v>
      </c>
      <c r="AZ321" s="197">
        <f t="shared" si="206"/>
        <v>0</v>
      </c>
      <c r="BA321" s="197">
        <f t="shared" si="240"/>
        <v>7.2596940000000013E-2</v>
      </c>
      <c r="BB321" s="258">
        <f t="shared" si="207"/>
        <v>0.36575210336206115</v>
      </c>
      <c r="BC321" s="197">
        <f t="shared" si="208"/>
        <v>2.2380490766334034E-2</v>
      </c>
      <c r="BD321" s="197">
        <f t="shared" si="241"/>
        <v>4.4760981532668068E-3</v>
      </c>
      <c r="BE321" s="197">
        <f t="shared" si="242"/>
        <v>2.6856588919600841E-2</v>
      </c>
      <c r="BF321" s="197">
        <f t="shared" si="209"/>
        <v>0.20773291256157633</v>
      </c>
      <c r="BG321" s="197">
        <f t="shared" si="210"/>
        <v>5.4608303342508187E-4</v>
      </c>
      <c r="BH321" s="197">
        <f t="shared" si="211"/>
        <v>3.5336687086656722E-2</v>
      </c>
      <c r="BI321" s="197">
        <f t="shared" si="243"/>
        <v>0.44730899017824427</v>
      </c>
      <c r="BJ321" s="197">
        <f t="shared" si="212"/>
        <v>6.769615024661003</v>
      </c>
      <c r="BK321" s="288">
        <f t="shared" si="213"/>
        <v>0.93392401361838984</v>
      </c>
      <c r="BL321" s="197">
        <f t="shared" si="214"/>
        <v>0.37608972359227794</v>
      </c>
      <c r="BM321" s="197">
        <f t="shared" si="215"/>
        <v>7.4353030976985271E-2</v>
      </c>
      <c r="BN321" s="197">
        <f t="shared" si="216"/>
        <v>54.461181858619113</v>
      </c>
      <c r="BO321" s="197">
        <f t="shared" si="244"/>
        <v>0.2082789955950014</v>
      </c>
      <c r="BP321" s="197">
        <f t="shared" si="217"/>
        <v>65.620924669625111</v>
      </c>
      <c r="BQ321" s="197">
        <f t="shared" si="218"/>
        <v>9.9596940000000009E-2</v>
      </c>
      <c r="BR321" s="288">
        <f t="shared" si="219"/>
        <v>0.16008975919012108</v>
      </c>
      <c r="BS321" s="197">
        <f t="shared" si="220"/>
        <v>0.11660930017110901</v>
      </c>
      <c r="BT321" s="197">
        <f t="shared" si="221"/>
        <v>0.36419974881911377</v>
      </c>
      <c r="BU321" s="197">
        <f t="shared" si="222"/>
        <v>0.1713930788771201</v>
      </c>
      <c r="BV321" s="197">
        <f t="shared" si="223"/>
        <v>0.53530306917875781</v>
      </c>
      <c r="BW321" s="194"/>
      <c r="BX321" s="194"/>
      <c r="BY321" s="194"/>
      <c r="BZ321" s="194"/>
      <c r="CA321" s="194"/>
      <c r="CB321" s="194"/>
      <c r="CC321" s="194"/>
      <c r="CD321" s="194"/>
      <c r="CE321" s="194"/>
      <c r="CF321" s="194"/>
      <c r="CG321" s="194"/>
      <c r="CH321" s="194"/>
      <c r="CI321" s="194"/>
      <c r="CJ321" s="194"/>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row>
    <row r="322" spans="2:110" s="192" customFormat="1" hidden="1" x14ac:dyDescent="0.35">
      <c r="B322" s="289"/>
      <c r="C322" s="289"/>
      <c r="Q322" s="193"/>
      <c r="R322" s="194">
        <f t="shared" si="224"/>
        <v>18</v>
      </c>
      <c r="S322" s="197">
        <f t="shared" si="190"/>
        <v>0.3888888888888889</v>
      </c>
      <c r="T322" s="194">
        <f t="shared" si="245"/>
        <v>0.69</v>
      </c>
      <c r="U322" s="194">
        <f t="shared" si="246"/>
        <v>1.4999999999999999E-4</v>
      </c>
      <c r="V322" s="197">
        <f t="shared" si="225"/>
        <v>0.3888888888888889</v>
      </c>
      <c r="W322" s="197">
        <f t="shared" si="191"/>
        <v>4.3555555555555561E-3</v>
      </c>
      <c r="X322" s="286">
        <f t="shared" si="192"/>
        <v>1</v>
      </c>
      <c r="Y322" s="286">
        <f t="shared" si="193"/>
        <v>0.17335969315081967</v>
      </c>
      <c r="Z322" s="286">
        <f t="shared" si="194"/>
        <v>0.54964853345132902</v>
      </c>
      <c r="AA322" s="286">
        <f t="shared" si="226"/>
        <v>0.17335969315081967</v>
      </c>
      <c r="AB322" s="197">
        <f t="shared" si="195"/>
        <v>0.36419974881911377</v>
      </c>
      <c r="AC322" s="287">
        <f t="shared" si="196"/>
        <v>4.4451203372005044E-7</v>
      </c>
      <c r="AD322" s="197">
        <f t="shared" si="227"/>
        <v>11.693936048110356</v>
      </c>
      <c r="AE322" s="197">
        <f t="shared" si="228"/>
        <v>35.08180814433107</v>
      </c>
      <c r="AF322" s="197">
        <f t="shared" si="229"/>
        <v>8.5178571428571423E-2</v>
      </c>
      <c r="AG322" s="197">
        <f t="shared" si="230"/>
        <v>0.25553571428571431</v>
      </c>
      <c r="AH322" s="197">
        <f t="shared" si="197"/>
        <v>0.11660930017110901</v>
      </c>
      <c r="AI322" s="197">
        <f t="shared" si="231"/>
        <v>0.11660930017110901</v>
      </c>
      <c r="AJ322" s="218">
        <f t="shared" si="198"/>
        <v>390.00000000000006</v>
      </c>
      <c r="AK322" s="197">
        <f t="shared" si="232"/>
        <v>6.0930617977437734E-2</v>
      </c>
      <c r="AL322" s="197">
        <f t="shared" si="233"/>
        <v>9.6203707235237593E-2</v>
      </c>
      <c r="AM322" s="197">
        <f t="shared" si="234"/>
        <v>4.0790371867740751E-3</v>
      </c>
      <c r="AN322" s="197">
        <f t="shared" si="199"/>
        <v>24.05</v>
      </c>
      <c r="AO322" s="197">
        <f t="shared" si="200"/>
        <v>21.69</v>
      </c>
      <c r="AP322" s="197">
        <f t="shared" si="235"/>
        <v>7.4093290390420161E-2</v>
      </c>
      <c r="AQ322" s="197">
        <f t="shared" si="236"/>
        <v>0.42250439890466829</v>
      </c>
      <c r="AR322" s="197">
        <f t="shared" si="237"/>
        <v>0.30589509873355925</v>
      </c>
      <c r="AS322" s="258">
        <f t="shared" si="238"/>
        <v>0.15228632177729159</v>
      </c>
      <c r="AT322" s="197">
        <f t="shared" si="201"/>
        <v>2.5974058656511614E-4</v>
      </c>
      <c r="AU322" s="194">
        <f t="shared" si="202"/>
        <v>21.19</v>
      </c>
      <c r="AV322" s="197">
        <f t="shared" si="203"/>
        <v>2.7E-2</v>
      </c>
      <c r="AW322" s="197">
        <f t="shared" si="204"/>
        <v>3.4260000000000002E-3</v>
      </c>
      <c r="AX322" s="197">
        <f t="shared" si="239"/>
        <v>6.1668000000000001E-2</v>
      </c>
      <c r="AY322" s="197">
        <f t="shared" si="205"/>
        <v>2.8867476000000005E-3</v>
      </c>
      <c r="AZ322" s="197">
        <f t="shared" si="206"/>
        <v>0</v>
      </c>
      <c r="BA322" s="197">
        <f t="shared" si="240"/>
        <v>7.2596940000000013E-2</v>
      </c>
      <c r="BB322" s="258">
        <f t="shared" si="207"/>
        <v>0.36575210336206115</v>
      </c>
      <c r="BC322" s="197">
        <f t="shared" si="208"/>
        <v>2.2380490766334034E-2</v>
      </c>
      <c r="BD322" s="197">
        <f t="shared" si="241"/>
        <v>4.4760981532668068E-3</v>
      </c>
      <c r="BE322" s="197">
        <f t="shared" si="242"/>
        <v>2.6856588919600841E-2</v>
      </c>
      <c r="BF322" s="197">
        <f t="shared" si="209"/>
        <v>0.20773291256157633</v>
      </c>
      <c r="BG322" s="197">
        <f t="shared" si="210"/>
        <v>5.4608303342508187E-4</v>
      </c>
      <c r="BH322" s="197">
        <f t="shared" si="211"/>
        <v>3.5336687086656722E-2</v>
      </c>
      <c r="BI322" s="197">
        <f t="shared" si="243"/>
        <v>0.44730899017824427</v>
      </c>
      <c r="BJ322" s="197">
        <f t="shared" si="212"/>
        <v>6.769615024661003</v>
      </c>
      <c r="BK322" s="288">
        <f t="shared" si="213"/>
        <v>0.93392401361838984</v>
      </c>
      <c r="BL322" s="197">
        <f t="shared" si="214"/>
        <v>0.37608972359227794</v>
      </c>
      <c r="BM322" s="197">
        <f t="shared" si="215"/>
        <v>7.4353030976985271E-2</v>
      </c>
      <c r="BN322" s="197">
        <f t="shared" si="216"/>
        <v>54.461181858619113</v>
      </c>
      <c r="BO322" s="197">
        <f t="shared" si="244"/>
        <v>0.2082789955950014</v>
      </c>
      <c r="BP322" s="197">
        <f t="shared" si="217"/>
        <v>65.620924669625111</v>
      </c>
      <c r="BQ322" s="197">
        <f t="shared" si="218"/>
        <v>9.9596940000000009E-2</v>
      </c>
      <c r="BR322" s="288">
        <f t="shared" si="219"/>
        <v>0.16008975919012108</v>
      </c>
      <c r="BS322" s="197">
        <f t="shared" si="220"/>
        <v>0.11660930017110901</v>
      </c>
      <c r="BT322" s="197">
        <f t="shared" si="221"/>
        <v>0.36419974881911377</v>
      </c>
      <c r="BU322" s="197">
        <f t="shared" si="222"/>
        <v>0.1713930788771201</v>
      </c>
      <c r="BV322" s="197">
        <f t="shared" si="223"/>
        <v>0.53530306917875781</v>
      </c>
      <c r="BW322" s="194"/>
      <c r="BX322" s="194"/>
      <c r="BY322" s="194"/>
      <c r="BZ322" s="194"/>
      <c r="CA322" s="194"/>
      <c r="CB322" s="194"/>
      <c r="CC322" s="194"/>
      <c r="CD322" s="194"/>
      <c r="CE322" s="194"/>
      <c r="CF322" s="194"/>
      <c r="CG322" s="194"/>
      <c r="CH322" s="194"/>
      <c r="CI322" s="194"/>
      <c r="CJ322" s="194"/>
      <c r="CK322" s="194"/>
      <c r="CL322" s="194"/>
      <c r="CM322" s="194"/>
      <c r="CN322" s="194"/>
      <c r="CO322" s="194"/>
      <c r="CP322" s="194"/>
      <c r="CQ322" s="194"/>
      <c r="CR322" s="194"/>
      <c r="CS322" s="194"/>
      <c r="CT322" s="194"/>
      <c r="CU322" s="194"/>
      <c r="CV322" s="194"/>
      <c r="CW322" s="194"/>
      <c r="CX322" s="194"/>
      <c r="CY322" s="194"/>
      <c r="CZ322" s="194"/>
      <c r="DA322" s="194"/>
      <c r="DB322" s="194"/>
      <c r="DC322" s="194"/>
      <c r="DD322" s="194"/>
      <c r="DE322" s="194"/>
      <c r="DF322" s="194"/>
    </row>
    <row r="323" spans="2:110" s="192" customFormat="1" hidden="1" x14ac:dyDescent="0.35">
      <c r="B323" s="289"/>
      <c r="C323" s="289"/>
      <c r="Q323" s="193"/>
      <c r="R323" s="194">
        <f t="shared" si="224"/>
        <v>18</v>
      </c>
      <c r="S323" s="197">
        <f t="shared" si="190"/>
        <v>0.3888888888888889</v>
      </c>
      <c r="T323" s="194">
        <f t="shared" si="245"/>
        <v>0.69</v>
      </c>
      <c r="U323" s="194">
        <f t="shared" si="246"/>
        <v>1.4999999999999999E-4</v>
      </c>
      <c r="V323" s="197">
        <f t="shared" si="225"/>
        <v>0.3888888888888889</v>
      </c>
      <c r="W323" s="197">
        <f t="shared" si="191"/>
        <v>4.3555555555555561E-3</v>
      </c>
      <c r="X323" s="286">
        <f t="shared" si="192"/>
        <v>1</v>
      </c>
      <c r="Y323" s="286">
        <f t="shared" si="193"/>
        <v>0.17335969315081967</v>
      </c>
      <c r="Z323" s="286">
        <f t="shared" si="194"/>
        <v>0.54964853345132902</v>
      </c>
      <c r="AA323" s="286">
        <f t="shared" si="226"/>
        <v>0.17335969315081967</v>
      </c>
      <c r="AB323" s="197">
        <f t="shared" si="195"/>
        <v>0.36419974881911377</v>
      </c>
      <c r="AC323" s="287">
        <f t="shared" si="196"/>
        <v>4.4451203372005044E-7</v>
      </c>
      <c r="AD323" s="197">
        <f t="shared" si="227"/>
        <v>11.693936048110356</v>
      </c>
      <c r="AE323" s="197">
        <f t="shared" si="228"/>
        <v>35.08180814433107</v>
      </c>
      <c r="AF323" s="197">
        <f t="shared" si="229"/>
        <v>8.5178571428571423E-2</v>
      </c>
      <c r="AG323" s="197">
        <f t="shared" si="230"/>
        <v>0.25553571428571431</v>
      </c>
      <c r="AH323" s="197">
        <f t="shared" si="197"/>
        <v>0.11660930017110901</v>
      </c>
      <c r="AI323" s="197">
        <f t="shared" si="231"/>
        <v>0.11660930017110901</v>
      </c>
      <c r="AJ323" s="218">
        <f t="shared" si="198"/>
        <v>390.00000000000006</v>
      </c>
      <c r="AK323" s="197">
        <f t="shared" si="232"/>
        <v>6.0930617977437734E-2</v>
      </c>
      <c r="AL323" s="197">
        <f t="shared" si="233"/>
        <v>9.6203707235237593E-2</v>
      </c>
      <c r="AM323" s="197">
        <f t="shared" si="234"/>
        <v>4.0790371867740751E-3</v>
      </c>
      <c r="AN323" s="197">
        <f t="shared" si="199"/>
        <v>24.05</v>
      </c>
      <c r="AO323" s="197">
        <f t="shared" si="200"/>
        <v>21.69</v>
      </c>
      <c r="AP323" s="197">
        <f t="shared" si="235"/>
        <v>7.4093290390420161E-2</v>
      </c>
      <c r="AQ323" s="197">
        <f t="shared" si="236"/>
        <v>0.42250439890466829</v>
      </c>
      <c r="AR323" s="197">
        <f t="shared" si="237"/>
        <v>0.30589509873355925</v>
      </c>
      <c r="AS323" s="258">
        <f t="shared" si="238"/>
        <v>0.15228632177729159</v>
      </c>
      <c r="AT323" s="197">
        <f t="shared" si="201"/>
        <v>2.5974058656511614E-4</v>
      </c>
      <c r="AU323" s="194">
        <f t="shared" si="202"/>
        <v>21.19</v>
      </c>
      <c r="AV323" s="197">
        <f t="shared" si="203"/>
        <v>2.7E-2</v>
      </c>
      <c r="AW323" s="197">
        <f t="shared" si="204"/>
        <v>3.4260000000000002E-3</v>
      </c>
      <c r="AX323" s="197">
        <f t="shared" si="239"/>
        <v>6.1668000000000001E-2</v>
      </c>
      <c r="AY323" s="197">
        <f t="shared" si="205"/>
        <v>2.8867476000000005E-3</v>
      </c>
      <c r="AZ323" s="197">
        <f t="shared" si="206"/>
        <v>0</v>
      </c>
      <c r="BA323" s="197">
        <f t="shared" si="240"/>
        <v>7.2596940000000013E-2</v>
      </c>
      <c r="BB323" s="258">
        <f t="shared" si="207"/>
        <v>0.36575210336206115</v>
      </c>
      <c r="BC323" s="197">
        <f t="shared" si="208"/>
        <v>2.2380490766334034E-2</v>
      </c>
      <c r="BD323" s="197">
        <f t="shared" si="241"/>
        <v>4.4760981532668068E-3</v>
      </c>
      <c r="BE323" s="197">
        <f t="shared" si="242"/>
        <v>2.6856588919600841E-2</v>
      </c>
      <c r="BF323" s="197">
        <f t="shared" si="209"/>
        <v>0.20773291256157633</v>
      </c>
      <c r="BG323" s="197">
        <f t="shared" si="210"/>
        <v>5.4608303342508187E-4</v>
      </c>
      <c r="BH323" s="197">
        <f t="shared" si="211"/>
        <v>3.5336687086656722E-2</v>
      </c>
      <c r="BI323" s="197">
        <f t="shared" si="243"/>
        <v>0.44730899017824427</v>
      </c>
      <c r="BJ323" s="197">
        <f t="shared" si="212"/>
        <v>6.769615024661003</v>
      </c>
      <c r="BK323" s="288">
        <f t="shared" si="213"/>
        <v>0.93392401361838984</v>
      </c>
      <c r="BL323" s="197">
        <f t="shared" si="214"/>
        <v>0.37608972359227794</v>
      </c>
      <c r="BM323" s="197">
        <f t="shared" si="215"/>
        <v>7.4353030976985271E-2</v>
      </c>
      <c r="BN323" s="197">
        <f t="shared" si="216"/>
        <v>54.461181858619113</v>
      </c>
      <c r="BO323" s="197">
        <f t="shared" si="244"/>
        <v>0.2082789955950014</v>
      </c>
      <c r="BP323" s="197">
        <f t="shared" si="217"/>
        <v>65.620924669625111</v>
      </c>
      <c r="BQ323" s="197">
        <f t="shared" si="218"/>
        <v>9.9596940000000009E-2</v>
      </c>
      <c r="BR323" s="288">
        <f t="shared" si="219"/>
        <v>0.16008975919012108</v>
      </c>
      <c r="BS323" s="197">
        <f t="shared" si="220"/>
        <v>0.11660930017110901</v>
      </c>
      <c r="BT323" s="197">
        <f t="shared" si="221"/>
        <v>0.36419974881911377</v>
      </c>
      <c r="BU323" s="197">
        <f t="shared" si="222"/>
        <v>0.1713930788771201</v>
      </c>
      <c r="BV323" s="197">
        <f t="shared" si="223"/>
        <v>0.53530306917875781</v>
      </c>
      <c r="BW323" s="194"/>
      <c r="BX323" s="194"/>
      <c r="BY323" s="194"/>
      <c r="BZ323" s="194"/>
      <c r="CA323" s="194"/>
      <c r="CB323" s="194"/>
      <c r="CC323" s="194"/>
      <c r="CD323" s="194"/>
      <c r="CE323" s="194"/>
      <c r="CF323" s="194"/>
      <c r="CG323" s="194"/>
      <c r="CH323" s="194"/>
      <c r="CI323" s="194"/>
      <c r="CJ323" s="194"/>
      <c r="CK323" s="194"/>
      <c r="CL323" s="194"/>
      <c r="CM323" s="194"/>
      <c r="CN323" s="194"/>
      <c r="CO323" s="194"/>
      <c r="CP323" s="194"/>
      <c r="CQ323" s="194"/>
      <c r="CR323" s="194"/>
      <c r="CS323" s="194"/>
      <c r="CT323" s="194"/>
      <c r="CU323" s="194"/>
      <c r="CV323" s="194"/>
      <c r="CW323" s="194"/>
      <c r="CX323" s="194"/>
      <c r="CY323" s="194"/>
      <c r="CZ323" s="194"/>
      <c r="DA323" s="194"/>
      <c r="DB323" s="194"/>
      <c r="DC323" s="194"/>
      <c r="DD323" s="194"/>
      <c r="DE323" s="194"/>
      <c r="DF323" s="194"/>
    </row>
    <row r="324" spans="2:110" s="192" customFormat="1" hidden="1" x14ac:dyDescent="0.35">
      <c r="B324" s="289"/>
      <c r="C324" s="289"/>
      <c r="Q324" s="193"/>
      <c r="R324" s="194">
        <f t="shared" si="224"/>
        <v>18</v>
      </c>
      <c r="S324" s="197">
        <f t="shared" si="190"/>
        <v>0.3888888888888889</v>
      </c>
      <c r="T324" s="194">
        <f t="shared" si="245"/>
        <v>0.69</v>
      </c>
      <c r="U324" s="194">
        <f t="shared" si="246"/>
        <v>1.4999999999999999E-4</v>
      </c>
      <c r="V324" s="197">
        <f t="shared" si="225"/>
        <v>0.3888888888888889</v>
      </c>
      <c r="W324" s="197">
        <f t="shared" si="191"/>
        <v>4.3555555555555561E-3</v>
      </c>
      <c r="X324" s="286">
        <f t="shared" si="192"/>
        <v>1</v>
      </c>
      <c r="Y324" s="286">
        <f t="shared" si="193"/>
        <v>0.17335969315081967</v>
      </c>
      <c r="Z324" s="286">
        <f t="shared" si="194"/>
        <v>0.54964853345132902</v>
      </c>
      <c r="AA324" s="286">
        <f t="shared" si="226"/>
        <v>0.17335969315081967</v>
      </c>
      <c r="AB324" s="197">
        <f t="shared" si="195"/>
        <v>0.36419974881911377</v>
      </c>
      <c r="AC324" s="287">
        <f t="shared" si="196"/>
        <v>4.4451203372005044E-7</v>
      </c>
      <c r="AD324" s="197">
        <f t="shared" si="227"/>
        <v>11.693936048110356</v>
      </c>
      <c r="AE324" s="197">
        <f t="shared" si="228"/>
        <v>35.08180814433107</v>
      </c>
      <c r="AF324" s="197">
        <f t="shared" si="229"/>
        <v>8.5178571428571423E-2</v>
      </c>
      <c r="AG324" s="197">
        <f t="shared" si="230"/>
        <v>0.25553571428571431</v>
      </c>
      <c r="AH324" s="197">
        <f t="shared" si="197"/>
        <v>0.11660930017110901</v>
      </c>
      <c r="AI324" s="197">
        <f t="shared" si="231"/>
        <v>0.11660930017110901</v>
      </c>
      <c r="AJ324" s="218">
        <f t="shared" si="198"/>
        <v>390.00000000000006</v>
      </c>
      <c r="AK324" s="197">
        <f t="shared" si="232"/>
        <v>6.0930617977437734E-2</v>
      </c>
      <c r="AL324" s="197">
        <f t="shared" si="233"/>
        <v>9.6203707235237593E-2</v>
      </c>
      <c r="AM324" s="197">
        <f t="shared" si="234"/>
        <v>4.0790371867740751E-3</v>
      </c>
      <c r="AN324" s="197">
        <f t="shared" si="199"/>
        <v>24.05</v>
      </c>
      <c r="AO324" s="197">
        <f t="shared" si="200"/>
        <v>21.69</v>
      </c>
      <c r="AP324" s="197">
        <f t="shared" si="235"/>
        <v>7.4093290390420161E-2</v>
      </c>
      <c r="AQ324" s="197">
        <f t="shared" si="236"/>
        <v>0.42250439890466829</v>
      </c>
      <c r="AR324" s="197">
        <f t="shared" si="237"/>
        <v>0.30589509873355925</v>
      </c>
      <c r="AS324" s="258">
        <f t="shared" si="238"/>
        <v>0.15228632177729159</v>
      </c>
      <c r="AT324" s="197">
        <f t="shared" si="201"/>
        <v>2.5974058656511614E-4</v>
      </c>
      <c r="AU324" s="194">
        <f t="shared" si="202"/>
        <v>21.19</v>
      </c>
      <c r="AV324" s="197">
        <f t="shared" si="203"/>
        <v>2.7E-2</v>
      </c>
      <c r="AW324" s="197">
        <f t="shared" si="204"/>
        <v>3.4260000000000002E-3</v>
      </c>
      <c r="AX324" s="197">
        <f t="shared" si="239"/>
        <v>6.1668000000000001E-2</v>
      </c>
      <c r="AY324" s="197">
        <f t="shared" si="205"/>
        <v>2.8867476000000005E-3</v>
      </c>
      <c r="AZ324" s="197">
        <f t="shared" si="206"/>
        <v>0</v>
      </c>
      <c r="BA324" s="197">
        <f t="shared" si="240"/>
        <v>7.2596940000000013E-2</v>
      </c>
      <c r="BB324" s="258">
        <f t="shared" si="207"/>
        <v>0.36575210336206115</v>
      </c>
      <c r="BC324" s="197">
        <f t="shared" si="208"/>
        <v>2.2380490766334034E-2</v>
      </c>
      <c r="BD324" s="197">
        <f t="shared" si="241"/>
        <v>4.4760981532668068E-3</v>
      </c>
      <c r="BE324" s="197">
        <f t="shared" si="242"/>
        <v>2.6856588919600841E-2</v>
      </c>
      <c r="BF324" s="197">
        <f t="shared" si="209"/>
        <v>0.20773291256157633</v>
      </c>
      <c r="BG324" s="197">
        <f t="shared" si="210"/>
        <v>5.4608303342508187E-4</v>
      </c>
      <c r="BH324" s="197">
        <f t="shared" si="211"/>
        <v>3.5336687086656722E-2</v>
      </c>
      <c r="BI324" s="197">
        <f t="shared" si="243"/>
        <v>0.44730899017824427</v>
      </c>
      <c r="BJ324" s="197">
        <f t="shared" si="212"/>
        <v>6.769615024661003</v>
      </c>
      <c r="BK324" s="288">
        <f t="shared" si="213"/>
        <v>0.93392401361838984</v>
      </c>
      <c r="BL324" s="197">
        <f t="shared" si="214"/>
        <v>0.37608972359227794</v>
      </c>
      <c r="BM324" s="197">
        <f t="shared" si="215"/>
        <v>7.4353030976985271E-2</v>
      </c>
      <c r="BN324" s="197">
        <f t="shared" si="216"/>
        <v>54.461181858619113</v>
      </c>
      <c r="BO324" s="197">
        <f t="shared" si="244"/>
        <v>0.2082789955950014</v>
      </c>
      <c r="BP324" s="197">
        <f t="shared" si="217"/>
        <v>65.620924669625111</v>
      </c>
      <c r="BQ324" s="197">
        <f t="shared" si="218"/>
        <v>9.9596940000000009E-2</v>
      </c>
      <c r="BR324" s="288">
        <f t="shared" si="219"/>
        <v>0.16008975919012108</v>
      </c>
      <c r="BS324" s="197">
        <f t="shared" si="220"/>
        <v>0.11660930017110901</v>
      </c>
      <c r="BT324" s="197">
        <f t="shared" si="221"/>
        <v>0.36419974881911377</v>
      </c>
      <c r="BU324" s="197">
        <f t="shared" si="222"/>
        <v>0.1713930788771201</v>
      </c>
      <c r="BV324" s="197">
        <f t="shared" si="223"/>
        <v>0.53530306917875781</v>
      </c>
      <c r="BW324" s="194"/>
      <c r="BX324" s="194"/>
      <c r="BY324" s="194"/>
      <c r="BZ324" s="194"/>
      <c r="CA324" s="194"/>
      <c r="CB324" s="194"/>
      <c r="CC324" s="194"/>
      <c r="CD324" s="194"/>
      <c r="CE324" s="194"/>
      <c r="CF324" s="194"/>
      <c r="CG324" s="194"/>
      <c r="CH324" s="194"/>
      <c r="CI324" s="194"/>
      <c r="CJ324" s="194"/>
      <c r="CK324" s="194"/>
      <c r="CL324" s="194"/>
      <c r="CM324" s="194"/>
      <c r="CN324" s="194"/>
      <c r="CO324" s="194"/>
      <c r="CP324" s="194"/>
      <c r="CQ324" s="194"/>
      <c r="CR324" s="194"/>
      <c r="CS324" s="194"/>
      <c r="CT324" s="194"/>
      <c r="CU324" s="194"/>
      <c r="CV324" s="194"/>
      <c r="CW324" s="194"/>
      <c r="CX324" s="194"/>
      <c r="CY324" s="194"/>
      <c r="CZ324" s="194"/>
      <c r="DA324" s="194"/>
      <c r="DB324" s="194"/>
      <c r="DC324" s="194"/>
      <c r="DD324" s="194"/>
      <c r="DE324" s="194"/>
      <c r="DF324" s="194"/>
    </row>
    <row r="325" spans="2:110" s="192" customFormat="1" hidden="1" x14ac:dyDescent="0.35">
      <c r="B325" s="289"/>
      <c r="C325" s="289"/>
      <c r="Q325" s="193"/>
      <c r="R325" s="194">
        <f t="shared" si="224"/>
        <v>18</v>
      </c>
      <c r="S325" s="197">
        <f t="shared" si="190"/>
        <v>0.3888888888888889</v>
      </c>
      <c r="T325" s="194">
        <f t="shared" si="245"/>
        <v>0.69</v>
      </c>
      <c r="U325" s="194">
        <f t="shared" si="246"/>
        <v>1.4999999999999999E-4</v>
      </c>
      <c r="V325" s="197">
        <f t="shared" si="225"/>
        <v>0.3888888888888889</v>
      </c>
      <c r="W325" s="197">
        <f t="shared" si="191"/>
        <v>4.3555555555555561E-3</v>
      </c>
      <c r="X325" s="286">
        <f t="shared" si="192"/>
        <v>1</v>
      </c>
      <c r="Y325" s="286">
        <f t="shared" si="193"/>
        <v>0.17335969315081967</v>
      </c>
      <c r="Z325" s="286">
        <f t="shared" si="194"/>
        <v>0.54964853345132902</v>
      </c>
      <c r="AA325" s="286">
        <f t="shared" si="226"/>
        <v>0.17335969315081967</v>
      </c>
      <c r="AB325" s="197">
        <f t="shared" si="195"/>
        <v>0.36419974881911377</v>
      </c>
      <c r="AC325" s="287">
        <f t="shared" si="196"/>
        <v>4.4451203372005044E-7</v>
      </c>
      <c r="AD325" s="197">
        <f t="shared" si="227"/>
        <v>11.693936048110356</v>
      </c>
      <c r="AE325" s="197">
        <f t="shared" si="228"/>
        <v>35.08180814433107</v>
      </c>
      <c r="AF325" s="197">
        <f t="shared" si="229"/>
        <v>8.5178571428571423E-2</v>
      </c>
      <c r="AG325" s="197">
        <f t="shared" si="230"/>
        <v>0.25553571428571431</v>
      </c>
      <c r="AH325" s="197">
        <f t="shared" si="197"/>
        <v>0.11660930017110901</v>
      </c>
      <c r="AI325" s="197">
        <f t="shared" si="231"/>
        <v>0.11660930017110901</v>
      </c>
      <c r="AJ325" s="218">
        <f t="shared" si="198"/>
        <v>390.00000000000006</v>
      </c>
      <c r="AK325" s="197">
        <f t="shared" si="232"/>
        <v>6.0930617977437734E-2</v>
      </c>
      <c r="AL325" s="197">
        <f t="shared" si="233"/>
        <v>9.6203707235237593E-2</v>
      </c>
      <c r="AM325" s="197">
        <f t="shared" si="234"/>
        <v>4.0790371867740751E-3</v>
      </c>
      <c r="AN325" s="197">
        <f t="shared" si="199"/>
        <v>24.05</v>
      </c>
      <c r="AO325" s="197">
        <f t="shared" si="200"/>
        <v>21.69</v>
      </c>
      <c r="AP325" s="197">
        <f t="shared" si="235"/>
        <v>7.4093290390420161E-2</v>
      </c>
      <c r="AQ325" s="197">
        <f t="shared" si="236"/>
        <v>0.42250439890466829</v>
      </c>
      <c r="AR325" s="197">
        <f t="shared" si="237"/>
        <v>0.30589509873355925</v>
      </c>
      <c r="AS325" s="258">
        <f t="shared" si="238"/>
        <v>0.15228632177729159</v>
      </c>
      <c r="AT325" s="197">
        <f t="shared" si="201"/>
        <v>2.5974058656511614E-4</v>
      </c>
      <c r="AU325" s="194">
        <f t="shared" si="202"/>
        <v>21.19</v>
      </c>
      <c r="AV325" s="197">
        <f t="shared" si="203"/>
        <v>2.7E-2</v>
      </c>
      <c r="AW325" s="197">
        <f t="shared" si="204"/>
        <v>3.4260000000000002E-3</v>
      </c>
      <c r="AX325" s="197">
        <f t="shared" si="239"/>
        <v>6.1668000000000001E-2</v>
      </c>
      <c r="AY325" s="197">
        <f t="shared" si="205"/>
        <v>2.8867476000000005E-3</v>
      </c>
      <c r="AZ325" s="197">
        <f t="shared" si="206"/>
        <v>0</v>
      </c>
      <c r="BA325" s="197">
        <f t="shared" si="240"/>
        <v>7.2596940000000013E-2</v>
      </c>
      <c r="BB325" s="258">
        <f t="shared" si="207"/>
        <v>0.36575210336206115</v>
      </c>
      <c r="BC325" s="197">
        <f t="shared" si="208"/>
        <v>2.2380490766334034E-2</v>
      </c>
      <c r="BD325" s="197">
        <f t="shared" si="241"/>
        <v>4.4760981532668068E-3</v>
      </c>
      <c r="BE325" s="197">
        <f t="shared" si="242"/>
        <v>2.6856588919600841E-2</v>
      </c>
      <c r="BF325" s="197">
        <f t="shared" si="209"/>
        <v>0.20773291256157633</v>
      </c>
      <c r="BG325" s="197">
        <f t="shared" si="210"/>
        <v>5.4608303342508187E-4</v>
      </c>
      <c r="BH325" s="197">
        <f t="shared" si="211"/>
        <v>3.5336687086656722E-2</v>
      </c>
      <c r="BI325" s="197">
        <f t="shared" si="243"/>
        <v>0.44730899017824427</v>
      </c>
      <c r="BJ325" s="197">
        <f t="shared" si="212"/>
        <v>6.769615024661003</v>
      </c>
      <c r="BK325" s="288">
        <f t="shared" si="213"/>
        <v>0.93392401361838984</v>
      </c>
      <c r="BL325" s="197">
        <f t="shared" si="214"/>
        <v>0.37608972359227794</v>
      </c>
      <c r="BM325" s="197">
        <f t="shared" si="215"/>
        <v>7.4353030976985271E-2</v>
      </c>
      <c r="BN325" s="197">
        <f t="shared" si="216"/>
        <v>54.461181858619113</v>
      </c>
      <c r="BO325" s="197">
        <f t="shared" si="244"/>
        <v>0.2082789955950014</v>
      </c>
      <c r="BP325" s="197">
        <f t="shared" si="217"/>
        <v>65.620924669625111</v>
      </c>
      <c r="BQ325" s="197">
        <f t="shared" si="218"/>
        <v>9.9596940000000009E-2</v>
      </c>
      <c r="BR325" s="288">
        <f t="shared" si="219"/>
        <v>0.16008975919012108</v>
      </c>
      <c r="BS325" s="197">
        <f t="shared" si="220"/>
        <v>0.11660930017110901</v>
      </c>
      <c r="BT325" s="197">
        <f t="shared" si="221"/>
        <v>0.36419974881911377</v>
      </c>
      <c r="BU325" s="197">
        <f t="shared" si="222"/>
        <v>0.1713930788771201</v>
      </c>
      <c r="BV325" s="197">
        <f t="shared" si="223"/>
        <v>0.53530306917875781</v>
      </c>
      <c r="BW325" s="194"/>
      <c r="BX325" s="194"/>
      <c r="BY325" s="194"/>
      <c r="BZ325" s="194"/>
      <c r="CA325" s="194"/>
      <c r="CB325" s="194"/>
      <c r="CC325" s="194"/>
      <c r="CD325" s="194"/>
      <c r="CE325" s="194"/>
      <c r="CF325" s="194"/>
      <c r="CG325" s="194"/>
      <c r="CH325" s="194"/>
      <c r="CI325" s="194"/>
      <c r="CJ325" s="194"/>
      <c r="CK325" s="194"/>
      <c r="CL325" s="194"/>
      <c r="CM325" s="194"/>
      <c r="CN325" s="194"/>
      <c r="CO325" s="194"/>
      <c r="CP325" s="194"/>
      <c r="CQ325" s="194"/>
      <c r="CR325" s="194"/>
      <c r="CS325" s="194"/>
      <c r="CT325" s="194"/>
      <c r="CU325" s="194"/>
      <c r="CV325" s="194"/>
      <c r="CW325" s="194"/>
      <c r="CX325" s="194"/>
      <c r="CY325" s="194"/>
      <c r="CZ325" s="194"/>
      <c r="DA325" s="194"/>
      <c r="DB325" s="194"/>
      <c r="DC325" s="194"/>
      <c r="DD325" s="194"/>
      <c r="DE325" s="194"/>
      <c r="DF325" s="194"/>
    </row>
    <row r="326" spans="2:110" s="192" customFormat="1" hidden="1" x14ac:dyDescent="0.35">
      <c r="B326" s="289"/>
      <c r="C326" s="289"/>
      <c r="Q326" s="193"/>
      <c r="R326" s="194">
        <f t="shared" si="224"/>
        <v>18</v>
      </c>
      <c r="S326" s="197">
        <f t="shared" si="190"/>
        <v>0.3888888888888889</v>
      </c>
      <c r="T326" s="194">
        <f t="shared" si="245"/>
        <v>0.69</v>
      </c>
      <c r="U326" s="194">
        <f t="shared" si="246"/>
        <v>1.4999999999999999E-4</v>
      </c>
      <c r="V326" s="197">
        <f t="shared" si="225"/>
        <v>0.3888888888888889</v>
      </c>
      <c r="W326" s="197">
        <f t="shared" si="191"/>
        <v>4.3555555555555561E-3</v>
      </c>
      <c r="X326" s="286">
        <f t="shared" si="192"/>
        <v>1</v>
      </c>
      <c r="Y326" s="286">
        <f t="shared" si="193"/>
        <v>0.17335969315081967</v>
      </c>
      <c r="Z326" s="286">
        <f t="shared" si="194"/>
        <v>0.54964853345132902</v>
      </c>
      <c r="AA326" s="286">
        <f t="shared" si="226"/>
        <v>0.17335969315081967</v>
      </c>
      <c r="AB326" s="197">
        <f t="shared" si="195"/>
        <v>0.36419974881911377</v>
      </c>
      <c r="AC326" s="287">
        <f t="shared" si="196"/>
        <v>4.4451203372005044E-7</v>
      </c>
      <c r="AD326" s="197">
        <f t="shared" si="227"/>
        <v>11.693936048110356</v>
      </c>
      <c r="AE326" s="197">
        <f t="shared" si="228"/>
        <v>35.08180814433107</v>
      </c>
      <c r="AF326" s="197">
        <f t="shared" si="229"/>
        <v>8.5178571428571423E-2</v>
      </c>
      <c r="AG326" s="197">
        <f t="shared" si="230"/>
        <v>0.25553571428571431</v>
      </c>
      <c r="AH326" s="197">
        <f t="shared" si="197"/>
        <v>0.11660930017110901</v>
      </c>
      <c r="AI326" s="197">
        <f t="shared" si="231"/>
        <v>0.11660930017110901</v>
      </c>
      <c r="AJ326" s="218">
        <f t="shared" si="198"/>
        <v>390.00000000000006</v>
      </c>
      <c r="AK326" s="197">
        <f t="shared" si="232"/>
        <v>6.0930617977437734E-2</v>
      </c>
      <c r="AL326" s="197">
        <f t="shared" si="233"/>
        <v>9.6203707235237593E-2</v>
      </c>
      <c r="AM326" s="197">
        <f t="shared" si="234"/>
        <v>4.0790371867740751E-3</v>
      </c>
      <c r="AN326" s="197">
        <f t="shared" si="199"/>
        <v>24.05</v>
      </c>
      <c r="AO326" s="197">
        <f t="shared" si="200"/>
        <v>21.69</v>
      </c>
      <c r="AP326" s="197">
        <f t="shared" si="235"/>
        <v>7.4093290390420161E-2</v>
      </c>
      <c r="AQ326" s="197">
        <f t="shared" si="236"/>
        <v>0.42250439890466829</v>
      </c>
      <c r="AR326" s="197">
        <f t="shared" si="237"/>
        <v>0.30589509873355925</v>
      </c>
      <c r="AS326" s="258">
        <f t="shared" si="238"/>
        <v>0.15228632177729159</v>
      </c>
      <c r="AT326" s="197">
        <f t="shared" si="201"/>
        <v>2.5974058656511614E-4</v>
      </c>
      <c r="AU326" s="194">
        <f t="shared" si="202"/>
        <v>21.19</v>
      </c>
      <c r="AV326" s="197">
        <f t="shared" si="203"/>
        <v>2.7E-2</v>
      </c>
      <c r="AW326" s="197">
        <f t="shared" si="204"/>
        <v>3.4260000000000002E-3</v>
      </c>
      <c r="AX326" s="197">
        <f t="shared" si="239"/>
        <v>6.1668000000000001E-2</v>
      </c>
      <c r="AY326" s="197">
        <f t="shared" si="205"/>
        <v>2.8867476000000005E-3</v>
      </c>
      <c r="AZ326" s="197">
        <f t="shared" si="206"/>
        <v>0</v>
      </c>
      <c r="BA326" s="197">
        <f t="shared" si="240"/>
        <v>7.2596940000000013E-2</v>
      </c>
      <c r="BB326" s="258">
        <f t="shared" si="207"/>
        <v>0.36575210336206115</v>
      </c>
      <c r="BC326" s="197">
        <f t="shared" si="208"/>
        <v>2.2380490766334034E-2</v>
      </c>
      <c r="BD326" s="197">
        <f t="shared" si="241"/>
        <v>4.4760981532668068E-3</v>
      </c>
      <c r="BE326" s="197">
        <f t="shared" si="242"/>
        <v>2.6856588919600841E-2</v>
      </c>
      <c r="BF326" s="197">
        <f t="shared" si="209"/>
        <v>0.20773291256157633</v>
      </c>
      <c r="BG326" s="197">
        <f t="shared" si="210"/>
        <v>5.4608303342508187E-4</v>
      </c>
      <c r="BH326" s="197">
        <f t="shared" si="211"/>
        <v>3.5336687086656722E-2</v>
      </c>
      <c r="BI326" s="197">
        <f t="shared" si="243"/>
        <v>0.44730899017824427</v>
      </c>
      <c r="BJ326" s="197">
        <f t="shared" si="212"/>
        <v>6.769615024661003</v>
      </c>
      <c r="BK326" s="288">
        <f t="shared" si="213"/>
        <v>0.93392401361838984</v>
      </c>
      <c r="BL326" s="197">
        <f t="shared" si="214"/>
        <v>0.37608972359227794</v>
      </c>
      <c r="BM326" s="197">
        <f t="shared" si="215"/>
        <v>7.4353030976985271E-2</v>
      </c>
      <c r="BN326" s="197">
        <f t="shared" si="216"/>
        <v>54.461181858619113</v>
      </c>
      <c r="BO326" s="197">
        <f t="shared" si="244"/>
        <v>0.2082789955950014</v>
      </c>
      <c r="BP326" s="197">
        <f t="shared" si="217"/>
        <v>65.620924669625111</v>
      </c>
      <c r="BQ326" s="197">
        <f t="shared" si="218"/>
        <v>9.9596940000000009E-2</v>
      </c>
      <c r="BR326" s="288">
        <f t="shared" si="219"/>
        <v>0.16008975919012108</v>
      </c>
      <c r="BS326" s="197">
        <f t="shared" si="220"/>
        <v>0.11660930017110901</v>
      </c>
      <c r="BT326" s="197">
        <f t="shared" si="221"/>
        <v>0.36419974881911377</v>
      </c>
      <c r="BU326" s="197">
        <f t="shared" si="222"/>
        <v>0.1713930788771201</v>
      </c>
      <c r="BV326" s="197">
        <f t="shared" si="223"/>
        <v>0.53530306917875781</v>
      </c>
      <c r="BW326" s="194"/>
      <c r="BX326" s="194"/>
      <c r="BY326" s="194"/>
      <c r="BZ326" s="194"/>
      <c r="CA326" s="194"/>
      <c r="CB326" s="194"/>
      <c r="CC326" s="194"/>
      <c r="CD326" s="194"/>
      <c r="CE326" s="194"/>
      <c r="CF326" s="194"/>
      <c r="CG326" s="194"/>
      <c r="CH326" s="194"/>
      <c r="CI326" s="194"/>
      <c r="CJ326" s="194"/>
      <c r="CK326" s="194"/>
      <c r="CL326" s="194"/>
      <c r="CM326" s="194"/>
      <c r="CN326" s="194"/>
      <c r="CO326" s="194"/>
      <c r="CP326" s="194"/>
      <c r="CQ326" s="194"/>
      <c r="CR326" s="194"/>
      <c r="CS326" s="194"/>
      <c r="CT326" s="194"/>
      <c r="CU326" s="194"/>
      <c r="CV326" s="194"/>
      <c r="CW326" s="194"/>
      <c r="CX326" s="194"/>
      <c r="CY326" s="194"/>
      <c r="CZ326" s="194"/>
      <c r="DA326" s="194"/>
      <c r="DB326" s="194"/>
      <c r="DC326" s="194"/>
      <c r="DD326" s="194"/>
      <c r="DE326" s="194"/>
      <c r="DF326" s="194"/>
    </row>
    <row r="327" spans="2:110" s="192" customFormat="1" hidden="1" x14ac:dyDescent="0.35">
      <c r="B327" s="289"/>
      <c r="C327" s="289"/>
      <c r="Q327" s="193"/>
      <c r="R327" s="194">
        <f t="shared" si="224"/>
        <v>18</v>
      </c>
      <c r="S327" s="197">
        <f t="shared" si="190"/>
        <v>0.3888888888888889</v>
      </c>
      <c r="T327" s="194">
        <f t="shared" si="245"/>
        <v>0.69</v>
      </c>
      <c r="U327" s="194">
        <f t="shared" si="246"/>
        <v>1.4999999999999999E-4</v>
      </c>
      <c r="V327" s="197">
        <f t="shared" si="225"/>
        <v>0.3888888888888889</v>
      </c>
      <c r="W327" s="197">
        <f t="shared" si="191"/>
        <v>4.3555555555555561E-3</v>
      </c>
      <c r="X327" s="286">
        <f t="shared" si="192"/>
        <v>1</v>
      </c>
      <c r="Y327" s="286">
        <f t="shared" si="193"/>
        <v>0.17335969315081967</v>
      </c>
      <c r="Z327" s="286">
        <f t="shared" si="194"/>
        <v>0.54964853345132902</v>
      </c>
      <c r="AA327" s="286">
        <f t="shared" si="226"/>
        <v>0.17335969315081967</v>
      </c>
      <c r="AB327" s="197">
        <f t="shared" si="195"/>
        <v>0.36419974881911377</v>
      </c>
      <c r="AC327" s="287">
        <f t="shared" si="196"/>
        <v>4.4451203372005044E-7</v>
      </c>
      <c r="AD327" s="197">
        <f t="shared" si="227"/>
        <v>11.693936048110356</v>
      </c>
      <c r="AE327" s="197">
        <f t="shared" si="228"/>
        <v>35.08180814433107</v>
      </c>
      <c r="AF327" s="197">
        <f t="shared" si="229"/>
        <v>8.5178571428571423E-2</v>
      </c>
      <c r="AG327" s="197">
        <f t="shared" si="230"/>
        <v>0.25553571428571431</v>
      </c>
      <c r="AH327" s="197">
        <f t="shared" si="197"/>
        <v>0.11660930017110901</v>
      </c>
      <c r="AI327" s="197">
        <f t="shared" si="231"/>
        <v>0.11660930017110901</v>
      </c>
      <c r="AJ327" s="218">
        <f t="shared" si="198"/>
        <v>390.00000000000006</v>
      </c>
      <c r="AK327" s="197">
        <f t="shared" si="232"/>
        <v>6.0930617977437734E-2</v>
      </c>
      <c r="AL327" s="197">
        <f t="shared" si="233"/>
        <v>9.6203707235237593E-2</v>
      </c>
      <c r="AM327" s="197">
        <f t="shared" si="234"/>
        <v>4.0790371867740751E-3</v>
      </c>
      <c r="AN327" s="197">
        <f t="shared" si="199"/>
        <v>24.05</v>
      </c>
      <c r="AO327" s="197">
        <f t="shared" si="200"/>
        <v>21.69</v>
      </c>
      <c r="AP327" s="197">
        <f t="shared" si="235"/>
        <v>7.4093290390420161E-2</v>
      </c>
      <c r="AQ327" s="197">
        <f t="shared" si="236"/>
        <v>0.42250439890466829</v>
      </c>
      <c r="AR327" s="197">
        <f t="shared" si="237"/>
        <v>0.30589509873355925</v>
      </c>
      <c r="AS327" s="258">
        <f t="shared" si="238"/>
        <v>0.15228632177729159</v>
      </c>
      <c r="AT327" s="197">
        <f t="shared" si="201"/>
        <v>2.5974058656511614E-4</v>
      </c>
      <c r="AU327" s="194">
        <f t="shared" si="202"/>
        <v>21.19</v>
      </c>
      <c r="AV327" s="197">
        <f t="shared" si="203"/>
        <v>2.7E-2</v>
      </c>
      <c r="AW327" s="197">
        <f t="shared" si="204"/>
        <v>3.4260000000000002E-3</v>
      </c>
      <c r="AX327" s="197">
        <f t="shared" si="239"/>
        <v>6.1668000000000001E-2</v>
      </c>
      <c r="AY327" s="197">
        <f t="shared" si="205"/>
        <v>2.8867476000000005E-3</v>
      </c>
      <c r="AZ327" s="197">
        <f t="shared" si="206"/>
        <v>0</v>
      </c>
      <c r="BA327" s="197">
        <f t="shared" si="240"/>
        <v>7.2596940000000013E-2</v>
      </c>
      <c r="BB327" s="258">
        <f t="shared" si="207"/>
        <v>0.36575210336206115</v>
      </c>
      <c r="BC327" s="197">
        <f t="shared" si="208"/>
        <v>2.2380490766334034E-2</v>
      </c>
      <c r="BD327" s="197">
        <f t="shared" si="241"/>
        <v>4.4760981532668068E-3</v>
      </c>
      <c r="BE327" s="197">
        <f t="shared" si="242"/>
        <v>2.6856588919600841E-2</v>
      </c>
      <c r="BF327" s="197">
        <f t="shared" si="209"/>
        <v>0.20773291256157633</v>
      </c>
      <c r="BG327" s="197">
        <f t="shared" si="210"/>
        <v>5.4608303342508187E-4</v>
      </c>
      <c r="BH327" s="197">
        <f t="shared" si="211"/>
        <v>3.5336687086656722E-2</v>
      </c>
      <c r="BI327" s="197">
        <f t="shared" si="243"/>
        <v>0.44730899017824427</v>
      </c>
      <c r="BJ327" s="197">
        <f t="shared" si="212"/>
        <v>6.769615024661003</v>
      </c>
      <c r="BK327" s="288">
        <f t="shared" si="213"/>
        <v>0.93392401361838984</v>
      </c>
      <c r="BL327" s="197">
        <f t="shared" si="214"/>
        <v>0.37608972359227794</v>
      </c>
      <c r="BM327" s="197">
        <f t="shared" si="215"/>
        <v>7.4353030976985271E-2</v>
      </c>
      <c r="BN327" s="197">
        <f t="shared" si="216"/>
        <v>54.461181858619113</v>
      </c>
      <c r="BO327" s="197">
        <f t="shared" si="244"/>
        <v>0.2082789955950014</v>
      </c>
      <c r="BP327" s="197">
        <f t="shared" si="217"/>
        <v>65.620924669625111</v>
      </c>
      <c r="BQ327" s="197">
        <f t="shared" si="218"/>
        <v>9.9596940000000009E-2</v>
      </c>
      <c r="BR327" s="288">
        <f t="shared" si="219"/>
        <v>0.16008975919012108</v>
      </c>
      <c r="BS327" s="197">
        <f t="shared" si="220"/>
        <v>0.11660930017110901</v>
      </c>
      <c r="BT327" s="197">
        <f t="shared" si="221"/>
        <v>0.36419974881911377</v>
      </c>
      <c r="BU327" s="197">
        <f t="shared" si="222"/>
        <v>0.1713930788771201</v>
      </c>
      <c r="BV327" s="197">
        <f t="shared" si="223"/>
        <v>0.53530306917875781</v>
      </c>
      <c r="BW327" s="194"/>
      <c r="BX327" s="194"/>
      <c r="BY327" s="194"/>
      <c r="BZ327" s="194"/>
      <c r="CA327" s="194"/>
      <c r="CB327" s="194"/>
      <c r="CC327" s="194"/>
      <c r="CD327" s="194"/>
      <c r="CE327" s="194"/>
      <c r="CF327" s="194"/>
      <c r="CG327" s="194"/>
      <c r="CH327" s="194"/>
      <c r="CI327" s="194"/>
      <c r="CJ327" s="194"/>
      <c r="CK327" s="194"/>
      <c r="CL327" s="194"/>
      <c r="CM327" s="194"/>
      <c r="CN327" s="194"/>
      <c r="CO327" s="194"/>
      <c r="CP327" s="194"/>
      <c r="CQ327" s="194"/>
      <c r="CR327" s="194"/>
      <c r="CS327" s="194"/>
      <c r="CT327" s="194"/>
      <c r="CU327" s="194"/>
      <c r="CV327" s="194"/>
      <c r="CW327" s="194"/>
      <c r="CX327" s="194"/>
      <c r="CY327" s="194"/>
      <c r="CZ327" s="194"/>
      <c r="DA327" s="194"/>
      <c r="DB327" s="194"/>
      <c r="DC327" s="194"/>
      <c r="DD327" s="194"/>
      <c r="DE327" s="194"/>
      <c r="DF327" s="194"/>
    </row>
    <row r="328" spans="2:110" s="192" customFormat="1" hidden="1" x14ac:dyDescent="0.35">
      <c r="B328" s="289"/>
      <c r="C328" s="289"/>
      <c r="Q328" s="193"/>
      <c r="R328" s="194">
        <f t="shared" si="224"/>
        <v>18</v>
      </c>
      <c r="S328" s="197">
        <f t="shared" si="190"/>
        <v>0.3888888888888889</v>
      </c>
      <c r="T328" s="194">
        <f t="shared" si="245"/>
        <v>0.69</v>
      </c>
      <c r="U328" s="194">
        <f t="shared" si="246"/>
        <v>1.4999999999999999E-4</v>
      </c>
      <c r="V328" s="197">
        <f t="shared" si="225"/>
        <v>0.3888888888888889</v>
      </c>
      <c r="W328" s="197">
        <f t="shared" si="191"/>
        <v>4.3555555555555561E-3</v>
      </c>
      <c r="X328" s="286">
        <f t="shared" si="192"/>
        <v>1</v>
      </c>
      <c r="Y328" s="286">
        <f t="shared" si="193"/>
        <v>0.17335969315081967</v>
      </c>
      <c r="Z328" s="286">
        <f t="shared" si="194"/>
        <v>0.54964853345132902</v>
      </c>
      <c r="AA328" s="286">
        <f t="shared" si="226"/>
        <v>0.17335969315081967</v>
      </c>
      <c r="AB328" s="197">
        <f t="shared" si="195"/>
        <v>0.36419974881911377</v>
      </c>
      <c r="AC328" s="287">
        <f t="shared" si="196"/>
        <v>4.4451203372005044E-7</v>
      </c>
      <c r="AD328" s="197">
        <f t="shared" si="227"/>
        <v>11.693936048110356</v>
      </c>
      <c r="AE328" s="197">
        <f t="shared" si="228"/>
        <v>35.08180814433107</v>
      </c>
      <c r="AF328" s="197">
        <f t="shared" si="229"/>
        <v>8.5178571428571423E-2</v>
      </c>
      <c r="AG328" s="197">
        <f t="shared" si="230"/>
        <v>0.25553571428571431</v>
      </c>
      <c r="AH328" s="197">
        <f t="shared" si="197"/>
        <v>0.11660930017110901</v>
      </c>
      <c r="AI328" s="197">
        <f t="shared" si="231"/>
        <v>0.11660930017110901</v>
      </c>
      <c r="AJ328" s="218">
        <f t="shared" si="198"/>
        <v>390.00000000000006</v>
      </c>
      <c r="AK328" s="197">
        <f t="shared" si="232"/>
        <v>6.0930617977437734E-2</v>
      </c>
      <c r="AL328" s="197">
        <f t="shared" si="233"/>
        <v>9.6203707235237593E-2</v>
      </c>
      <c r="AM328" s="197">
        <f t="shared" si="234"/>
        <v>4.0790371867740751E-3</v>
      </c>
      <c r="AN328" s="197">
        <f t="shared" si="199"/>
        <v>24.05</v>
      </c>
      <c r="AO328" s="197">
        <f t="shared" si="200"/>
        <v>21.69</v>
      </c>
      <c r="AP328" s="197">
        <f t="shared" si="235"/>
        <v>7.4093290390420161E-2</v>
      </c>
      <c r="AQ328" s="197">
        <f t="shared" si="236"/>
        <v>0.42250439890466829</v>
      </c>
      <c r="AR328" s="197">
        <f t="shared" si="237"/>
        <v>0.30589509873355925</v>
      </c>
      <c r="AS328" s="258">
        <f t="shared" si="238"/>
        <v>0.15228632177729159</v>
      </c>
      <c r="AT328" s="197">
        <f t="shared" si="201"/>
        <v>2.5974058656511614E-4</v>
      </c>
      <c r="AU328" s="194">
        <f t="shared" si="202"/>
        <v>21.19</v>
      </c>
      <c r="AV328" s="197">
        <f t="shared" si="203"/>
        <v>2.7E-2</v>
      </c>
      <c r="AW328" s="197">
        <f t="shared" si="204"/>
        <v>3.4260000000000002E-3</v>
      </c>
      <c r="AX328" s="197">
        <f t="shared" si="239"/>
        <v>6.1668000000000001E-2</v>
      </c>
      <c r="AY328" s="197">
        <f t="shared" si="205"/>
        <v>2.8867476000000005E-3</v>
      </c>
      <c r="AZ328" s="197">
        <f t="shared" si="206"/>
        <v>0</v>
      </c>
      <c r="BA328" s="197">
        <f t="shared" si="240"/>
        <v>7.2596940000000013E-2</v>
      </c>
      <c r="BB328" s="258">
        <f t="shared" si="207"/>
        <v>0.36575210336206115</v>
      </c>
      <c r="BC328" s="197">
        <f t="shared" si="208"/>
        <v>2.2380490766334034E-2</v>
      </c>
      <c r="BD328" s="197">
        <f t="shared" si="241"/>
        <v>4.4760981532668068E-3</v>
      </c>
      <c r="BE328" s="197">
        <f t="shared" si="242"/>
        <v>2.6856588919600841E-2</v>
      </c>
      <c r="BF328" s="197">
        <f t="shared" si="209"/>
        <v>0.20773291256157633</v>
      </c>
      <c r="BG328" s="197">
        <f t="shared" si="210"/>
        <v>5.4608303342508187E-4</v>
      </c>
      <c r="BH328" s="197">
        <f t="shared" si="211"/>
        <v>3.5336687086656722E-2</v>
      </c>
      <c r="BI328" s="197">
        <f t="shared" si="243"/>
        <v>0.44730899017824427</v>
      </c>
      <c r="BJ328" s="197">
        <f t="shared" si="212"/>
        <v>6.769615024661003</v>
      </c>
      <c r="BK328" s="288">
        <f t="shared" si="213"/>
        <v>0.93392401361838984</v>
      </c>
      <c r="BL328" s="197">
        <f t="shared" si="214"/>
        <v>0.37608972359227794</v>
      </c>
      <c r="BM328" s="197">
        <f t="shared" si="215"/>
        <v>7.4353030976985271E-2</v>
      </c>
      <c r="BN328" s="197">
        <f t="shared" si="216"/>
        <v>54.461181858619113</v>
      </c>
      <c r="BO328" s="197">
        <f t="shared" si="244"/>
        <v>0.2082789955950014</v>
      </c>
      <c r="BP328" s="197">
        <f t="shared" si="217"/>
        <v>65.620924669625111</v>
      </c>
      <c r="BQ328" s="197">
        <f t="shared" si="218"/>
        <v>9.9596940000000009E-2</v>
      </c>
      <c r="BR328" s="288">
        <f t="shared" si="219"/>
        <v>0.16008975919012108</v>
      </c>
      <c r="BS328" s="197">
        <f t="shared" si="220"/>
        <v>0.11660930017110901</v>
      </c>
      <c r="BT328" s="197">
        <f t="shared" si="221"/>
        <v>0.36419974881911377</v>
      </c>
      <c r="BU328" s="197">
        <f t="shared" si="222"/>
        <v>0.1713930788771201</v>
      </c>
      <c r="BV328" s="197">
        <f t="shared" si="223"/>
        <v>0.53530306917875781</v>
      </c>
      <c r="BW328" s="194"/>
      <c r="BX328" s="194"/>
      <c r="BY328" s="194"/>
      <c r="BZ328" s="194"/>
      <c r="CA328" s="194"/>
      <c r="CB328" s="194"/>
      <c r="CC328" s="194"/>
      <c r="CD328" s="194"/>
      <c r="CE328" s="194"/>
      <c r="CF328" s="194"/>
      <c r="CG328" s="194"/>
      <c r="CH328" s="194"/>
      <c r="CI328" s="194"/>
      <c r="CJ328" s="194"/>
      <c r="CK328" s="194"/>
      <c r="CL328" s="194"/>
      <c r="CM328" s="194"/>
      <c r="CN328" s="194"/>
      <c r="CO328" s="194"/>
      <c r="CP328" s="194"/>
      <c r="CQ328" s="194"/>
      <c r="CR328" s="194"/>
      <c r="CS328" s="194"/>
      <c r="CT328" s="194"/>
      <c r="CU328" s="194"/>
      <c r="CV328" s="194"/>
      <c r="CW328" s="194"/>
      <c r="CX328" s="194"/>
      <c r="CY328" s="194"/>
      <c r="CZ328" s="194"/>
      <c r="DA328" s="194"/>
      <c r="DB328" s="194"/>
      <c r="DC328" s="194"/>
      <c r="DD328" s="194"/>
      <c r="DE328" s="194"/>
      <c r="DF328" s="194"/>
    </row>
    <row r="329" spans="2:110" s="192" customFormat="1" hidden="1" x14ac:dyDescent="0.35">
      <c r="B329" s="289"/>
      <c r="C329" s="289"/>
      <c r="Q329" s="193"/>
      <c r="R329" s="194">
        <f t="shared" si="224"/>
        <v>18</v>
      </c>
      <c r="S329" s="197">
        <f t="shared" si="190"/>
        <v>0.3888888888888889</v>
      </c>
      <c r="T329" s="194">
        <f t="shared" si="245"/>
        <v>0.69</v>
      </c>
      <c r="U329" s="194">
        <f t="shared" si="246"/>
        <v>1.4999999999999999E-4</v>
      </c>
      <c r="V329" s="197">
        <f t="shared" si="225"/>
        <v>0.3888888888888889</v>
      </c>
      <c r="W329" s="197">
        <f t="shared" si="191"/>
        <v>4.3555555555555561E-3</v>
      </c>
      <c r="X329" s="286">
        <f t="shared" si="192"/>
        <v>1</v>
      </c>
      <c r="Y329" s="286">
        <f t="shared" si="193"/>
        <v>0.17335969315081967</v>
      </c>
      <c r="Z329" s="286">
        <f t="shared" si="194"/>
        <v>0.54964853345132902</v>
      </c>
      <c r="AA329" s="286">
        <f t="shared" si="226"/>
        <v>0.17335969315081967</v>
      </c>
      <c r="AB329" s="197">
        <f t="shared" si="195"/>
        <v>0.36419974881911377</v>
      </c>
      <c r="AC329" s="287">
        <f t="shared" si="196"/>
        <v>4.4451203372005044E-7</v>
      </c>
      <c r="AD329" s="197">
        <f t="shared" si="227"/>
        <v>11.693936048110356</v>
      </c>
      <c r="AE329" s="197">
        <f t="shared" si="228"/>
        <v>35.08180814433107</v>
      </c>
      <c r="AF329" s="197">
        <f t="shared" si="229"/>
        <v>8.5178571428571423E-2</v>
      </c>
      <c r="AG329" s="197">
        <f t="shared" si="230"/>
        <v>0.25553571428571431</v>
      </c>
      <c r="AH329" s="197">
        <f t="shared" si="197"/>
        <v>0.11660930017110901</v>
      </c>
      <c r="AI329" s="197">
        <f t="shared" si="231"/>
        <v>0.11660930017110901</v>
      </c>
      <c r="AJ329" s="218">
        <f t="shared" si="198"/>
        <v>390.00000000000006</v>
      </c>
      <c r="AK329" s="197">
        <f t="shared" si="232"/>
        <v>6.0930617977437734E-2</v>
      </c>
      <c r="AL329" s="197">
        <f t="shared" si="233"/>
        <v>9.6203707235237593E-2</v>
      </c>
      <c r="AM329" s="197">
        <f t="shared" si="234"/>
        <v>4.0790371867740751E-3</v>
      </c>
      <c r="AN329" s="197">
        <f t="shared" si="199"/>
        <v>24.05</v>
      </c>
      <c r="AO329" s="197">
        <f t="shared" si="200"/>
        <v>21.69</v>
      </c>
      <c r="AP329" s="197">
        <f t="shared" si="235"/>
        <v>7.4093290390420161E-2</v>
      </c>
      <c r="AQ329" s="197">
        <f t="shared" si="236"/>
        <v>0.42250439890466829</v>
      </c>
      <c r="AR329" s="197">
        <f t="shared" si="237"/>
        <v>0.30589509873355925</v>
      </c>
      <c r="AS329" s="258">
        <f t="shared" si="238"/>
        <v>0.15228632177729159</v>
      </c>
      <c r="AT329" s="197">
        <f t="shared" si="201"/>
        <v>2.5974058656511614E-4</v>
      </c>
      <c r="AU329" s="194">
        <f t="shared" si="202"/>
        <v>21.19</v>
      </c>
      <c r="AV329" s="197">
        <f t="shared" si="203"/>
        <v>2.7E-2</v>
      </c>
      <c r="AW329" s="197">
        <f t="shared" si="204"/>
        <v>3.4260000000000002E-3</v>
      </c>
      <c r="AX329" s="197">
        <f t="shared" si="239"/>
        <v>6.1668000000000001E-2</v>
      </c>
      <c r="AY329" s="197">
        <f t="shared" si="205"/>
        <v>2.8867476000000005E-3</v>
      </c>
      <c r="AZ329" s="197">
        <f t="shared" si="206"/>
        <v>0</v>
      </c>
      <c r="BA329" s="197">
        <f t="shared" si="240"/>
        <v>7.2596940000000013E-2</v>
      </c>
      <c r="BB329" s="258">
        <f t="shared" si="207"/>
        <v>0.36575210336206115</v>
      </c>
      <c r="BC329" s="197">
        <f t="shared" si="208"/>
        <v>2.2380490766334034E-2</v>
      </c>
      <c r="BD329" s="197">
        <f t="shared" si="241"/>
        <v>4.4760981532668068E-3</v>
      </c>
      <c r="BE329" s="197">
        <f t="shared" si="242"/>
        <v>2.6856588919600841E-2</v>
      </c>
      <c r="BF329" s="197">
        <f t="shared" si="209"/>
        <v>0.20773291256157633</v>
      </c>
      <c r="BG329" s="197">
        <f t="shared" si="210"/>
        <v>5.4608303342508187E-4</v>
      </c>
      <c r="BH329" s="197">
        <f t="shared" si="211"/>
        <v>3.5336687086656722E-2</v>
      </c>
      <c r="BI329" s="197">
        <f t="shared" si="243"/>
        <v>0.44730899017824427</v>
      </c>
      <c r="BJ329" s="197">
        <f t="shared" si="212"/>
        <v>6.769615024661003</v>
      </c>
      <c r="BK329" s="288">
        <f t="shared" si="213"/>
        <v>0.93392401361838984</v>
      </c>
      <c r="BL329" s="197">
        <f t="shared" si="214"/>
        <v>0.37608972359227794</v>
      </c>
      <c r="BM329" s="197">
        <f t="shared" si="215"/>
        <v>7.4353030976985271E-2</v>
      </c>
      <c r="BN329" s="197">
        <f t="shared" si="216"/>
        <v>54.461181858619113</v>
      </c>
      <c r="BO329" s="197">
        <f t="shared" si="244"/>
        <v>0.2082789955950014</v>
      </c>
      <c r="BP329" s="197">
        <f t="shared" si="217"/>
        <v>65.620924669625111</v>
      </c>
      <c r="BQ329" s="197">
        <f t="shared" si="218"/>
        <v>9.9596940000000009E-2</v>
      </c>
      <c r="BR329" s="288">
        <f t="shared" si="219"/>
        <v>0.16008975919012108</v>
      </c>
      <c r="BS329" s="197">
        <f t="shared" si="220"/>
        <v>0.11660930017110901</v>
      </c>
      <c r="BT329" s="197">
        <f t="shared" si="221"/>
        <v>0.36419974881911377</v>
      </c>
      <c r="BU329" s="197">
        <f t="shared" si="222"/>
        <v>0.1713930788771201</v>
      </c>
      <c r="BV329" s="197">
        <f t="shared" si="223"/>
        <v>0.53530306917875781</v>
      </c>
      <c r="BW329" s="194"/>
      <c r="BX329" s="194"/>
      <c r="BY329" s="194"/>
      <c r="BZ329" s="194"/>
      <c r="CA329" s="194"/>
      <c r="CB329" s="194"/>
      <c r="CC329" s="194"/>
      <c r="CD329" s="194"/>
      <c r="CE329" s="194"/>
      <c r="CF329" s="194"/>
      <c r="CG329" s="194"/>
      <c r="CH329" s="194"/>
      <c r="CI329" s="194"/>
      <c r="CJ329" s="194"/>
      <c r="CK329" s="194"/>
      <c r="CL329" s="194"/>
      <c r="CM329" s="194"/>
      <c r="CN329" s="194"/>
      <c r="CO329" s="194"/>
      <c r="CP329" s="194"/>
      <c r="CQ329" s="194"/>
      <c r="CR329" s="194"/>
      <c r="CS329" s="194"/>
      <c r="CT329" s="194"/>
      <c r="CU329" s="194"/>
      <c r="CV329" s="194"/>
      <c r="CW329" s="194"/>
      <c r="CX329" s="194"/>
      <c r="CY329" s="194"/>
      <c r="CZ329" s="194"/>
      <c r="DA329" s="194"/>
      <c r="DB329" s="194"/>
      <c r="DC329" s="194"/>
      <c r="DD329" s="194"/>
      <c r="DE329" s="194"/>
      <c r="DF329" s="194"/>
    </row>
    <row r="330" spans="2:110" s="192" customFormat="1" hidden="1" x14ac:dyDescent="0.35">
      <c r="B330" s="289"/>
      <c r="C330" s="289"/>
      <c r="Q330" s="193"/>
      <c r="R330" s="194">
        <f t="shared" si="224"/>
        <v>18</v>
      </c>
      <c r="S330" s="197">
        <f t="shared" si="190"/>
        <v>0.3888888888888889</v>
      </c>
      <c r="T330" s="194">
        <f t="shared" si="245"/>
        <v>0.69</v>
      </c>
      <c r="U330" s="194">
        <f t="shared" si="246"/>
        <v>1.4999999999999999E-4</v>
      </c>
      <c r="V330" s="197">
        <f t="shared" si="225"/>
        <v>0.3888888888888889</v>
      </c>
      <c r="W330" s="197">
        <f t="shared" si="191"/>
        <v>4.3555555555555561E-3</v>
      </c>
      <c r="X330" s="286">
        <f t="shared" si="192"/>
        <v>1</v>
      </c>
      <c r="Y330" s="286">
        <f t="shared" si="193"/>
        <v>0.17335969315081967</v>
      </c>
      <c r="Z330" s="286">
        <f t="shared" si="194"/>
        <v>0.54964853345132902</v>
      </c>
      <c r="AA330" s="286">
        <f t="shared" si="226"/>
        <v>0.17335969315081967</v>
      </c>
      <c r="AB330" s="197">
        <f t="shared" si="195"/>
        <v>0.36419974881911377</v>
      </c>
      <c r="AC330" s="287">
        <f t="shared" si="196"/>
        <v>4.4451203372005044E-7</v>
      </c>
      <c r="AD330" s="197">
        <f t="shared" si="227"/>
        <v>11.693936048110356</v>
      </c>
      <c r="AE330" s="197">
        <f t="shared" si="228"/>
        <v>35.08180814433107</v>
      </c>
      <c r="AF330" s="197">
        <f t="shared" si="229"/>
        <v>8.5178571428571423E-2</v>
      </c>
      <c r="AG330" s="197">
        <f t="shared" si="230"/>
        <v>0.25553571428571431</v>
      </c>
      <c r="AH330" s="197">
        <f t="shared" si="197"/>
        <v>0.11660930017110901</v>
      </c>
      <c r="AI330" s="197">
        <f t="shared" si="231"/>
        <v>0.11660930017110901</v>
      </c>
      <c r="AJ330" s="218">
        <f t="shared" si="198"/>
        <v>390.00000000000006</v>
      </c>
      <c r="AK330" s="197">
        <f t="shared" si="232"/>
        <v>6.0930617977437734E-2</v>
      </c>
      <c r="AL330" s="197">
        <f t="shared" si="233"/>
        <v>9.6203707235237593E-2</v>
      </c>
      <c r="AM330" s="197">
        <f t="shared" si="234"/>
        <v>4.0790371867740751E-3</v>
      </c>
      <c r="AN330" s="197">
        <f t="shared" si="199"/>
        <v>24.05</v>
      </c>
      <c r="AO330" s="197">
        <f t="shared" si="200"/>
        <v>21.69</v>
      </c>
      <c r="AP330" s="197">
        <f t="shared" si="235"/>
        <v>7.4093290390420161E-2</v>
      </c>
      <c r="AQ330" s="197">
        <f t="shared" si="236"/>
        <v>0.42250439890466829</v>
      </c>
      <c r="AR330" s="197">
        <f t="shared" si="237"/>
        <v>0.30589509873355925</v>
      </c>
      <c r="AS330" s="258">
        <f t="shared" si="238"/>
        <v>0.15228632177729159</v>
      </c>
      <c r="AT330" s="197">
        <f t="shared" si="201"/>
        <v>2.5974058656511614E-4</v>
      </c>
      <c r="AU330" s="194">
        <f t="shared" si="202"/>
        <v>21.19</v>
      </c>
      <c r="AV330" s="197">
        <f t="shared" si="203"/>
        <v>2.7E-2</v>
      </c>
      <c r="AW330" s="197">
        <f t="shared" si="204"/>
        <v>3.4260000000000002E-3</v>
      </c>
      <c r="AX330" s="197">
        <f t="shared" si="239"/>
        <v>6.1668000000000001E-2</v>
      </c>
      <c r="AY330" s="197">
        <f t="shared" si="205"/>
        <v>2.8867476000000005E-3</v>
      </c>
      <c r="AZ330" s="197">
        <f t="shared" si="206"/>
        <v>0</v>
      </c>
      <c r="BA330" s="197">
        <f t="shared" si="240"/>
        <v>7.2596940000000013E-2</v>
      </c>
      <c r="BB330" s="258">
        <f t="shared" si="207"/>
        <v>0.36575210336206115</v>
      </c>
      <c r="BC330" s="197">
        <f t="shared" si="208"/>
        <v>2.2380490766334034E-2</v>
      </c>
      <c r="BD330" s="197">
        <f t="shared" si="241"/>
        <v>4.4760981532668068E-3</v>
      </c>
      <c r="BE330" s="197">
        <f t="shared" si="242"/>
        <v>2.6856588919600841E-2</v>
      </c>
      <c r="BF330" s="197">
        <f t="shared" si="209"/>
        <v>0.20773291256157633</v>
      </c>
      <c r="BG330" s="197">
        <f t="shared" si="210"/>
        <v>5.4608303342508187E-4</v>
      </c>
      <c r="BH330" s="197">
        <f t="shared" si="211"/>
        <v>3.5336687086656722E-2</v>
      </c>
      <c r="BI330" s="197">
        <f t="shared" si="243"/>
        <v>0.44730899017824427</v>
      </c>
      <c r="BJ330" s="197">
        <f t="shared" si="212"/>
        <v>6.769615024661003</v>
      </c>
      <c r="BK330" s="288">
        <f t="shared" si="213"/>
        <v>0.93392401361838984</v>
      </c>
      <c r="BL330" s="197">
        <f t="shared" si="214"/>
        <v>0.37608972359227794</v>
      </c>
      <c r="BM330" s="197">
        <f t="shared" si="215"/>
        <v>7.4353030976985271E-2</v>
      </c>
      <c r="BN330" s="197">
        <f t="shared" si="216"/>
        <v>54.461181858619113</v>
      </c>
      <c r="BO330" s="197">
        <f t="shared" si="244"/>
        <v>0.2082789955950014</v>
      </c>
      <c r="BP330" s="197">
        <f t="shared" si="217"/>
        <v>65.620924669625111</v>
      </c>
      <c r="BQ330" s="197">
        <f t="shared" si="218"/>
        <v>9.9596940000000009E-2</v>
      </c>
      <c r="BR330" s="288">
        <f t="shared" si="219"/>
        <v>0.16008975919012108</v>
      </c>
      <c r="BS330" s="197">
        <f t="shared" si="220"/>
        <v>0.11660930017110901</v>
      </c>
      <c r="BT330" s="197">
        <f t="shared" si="221"/>
        <v>0.36419974881911377</v>
      </c>
      <c r="BU330" s="197">
        <f t="shared" si="222"/>
        <v>0.1713930788771201</v>
      </c>
      <c r="BV330" s="197">
        <f t="shared" si="223"/>
        <v>0.53530306917875781</v>
      </c>
      <c r="BW330" s="194"/>
      <c r="BX330" s="194"/>
      <c r="BY330" s="194"/>
      <c r="BZ330" s="194"/>
      <c r="CA330" s="194"/>
      <c r="CB330" s="194"/>
      <c r="CC330" s="194"/>
      <c r="CD330" s="194"/>
      <c r="CE330" s="194"/>
      <c r="CF330" s="194"/>
      <c r="CG330" s="194"/>
      <c r="CH330" s="194"/>
      <c r="CI330" s="194"/>
      <c r="CJ330" s="194"/>
      <c r="CK330" s="194"/>
      <c r="CL330" s="194"/>
      <c r="CM330" s="194"/>
      <c r="CN330" s="194"/>
      <c r="CO330" s="194"/>
      <c r="CP330" s="194"/>
      <c r="CQ330" s="194"/>
      <c r="CR330" s="194"/>
      <c r="CS330" s="194"/>
      <c r="CT330" s="194"/>
      <c r="CU330" s="194"/>
      <c r="CV330" s="194"/>
      <c r="CW330" s="194"/>
      <c r="CX330" s="194"/>
      <c r="CY330" s="194"/>
      <c r="CZ330" s="194"/>
      <c r="DA330" s="194"/>
      <c r="DB330" s="194"/>
      <c r="DC330" s="194"/>
      <c r="DD330" s="194"/>
      <c r="DE330" s="194"/>
      <c r="DF330" s="194"/>
    </row>
    <row r="331" spans="2:110" s="192" customFormat="1" hidden="1" x14ac:dyDescent="0.35">
      <c r="B331" s="289"/>
      <c r="C331" s="289"/>
      <c r="Q331" s="193"/>
      <c r="R331" s="194">
        <f t="shared" si="224"/>
        <v>18</v>
      </c>
      <c r="S331" s="197">
        <f t="shared" si="190"/>
        <v>0.3888888888888889</v>
      </c>
      <c r="T331" s="194">
        <f t="shared" si="245"/>
        <v>0.69</v>
      </c>
      <c r="U331" s="194">
        <f t="shared" si="246"/>
        <v>1.4999999999999999E-4</v>
      </c>
      <c r="V331" s="197">
        <f t="shared" si="225"/>
        <v>0.3888888888888889</v>
      </c>
      <c r="W331" s="197">
        <f t="shared" si="191"/>
        <v>4.3555555555555561E-3</v>
      </c>
      <c r="X331" s="286">
        <f t="shared" si="192"/>
        <v>1</v>
      </c>
      <c r="Y331" s="286">
        <f t="shared" si="193"/>
        <v>0.17335969315081967</v>
      </c>
      <c r="Z331" s="286">
        <f t="shared" si="194"/>
        <v>0.54964853345132902</v>
      </c>
      <c r="AA331" s="286">
        <f t="shared" si="226"/>
        <v>0.17335969315081967</v>
      </c>
      <c r="AB331" s="197">
        <f t="shared" si="195"/>
        <v>0.36419974881911377</v>
      </c>
      <c r="AC331" s="287">
        <f t="shared" si="196"/>
        <v>4.4451203372005044E-7</v>
      </c>
      <c r="AD331" s="197">
        <f t="shared" si="227"/>
        <v>11.693936048110356</v>
      </c>
      <c r="AE331" s="197">
        <f t="shared" si="228"/>
        <v>35.08180814433107</v>
      </c>
      <c r="AF331" s="197">
        <f t="shared" si="229"/>
        <v>8.5178571428571423E-2</v>
      </c>
      <c r="AG331" s="197">
        <f t="shared" si="230"/>
        <v>0.25553571428571431</v>
      </c>
      <c r="AH331" s="197">
        <f t="shared" si="197"/>
        <v>0.11660930017110901</v>
      </c>
      <c r="AI331" s="197">
        <f t="shared" si="231"/>
        <v>0.11660930017110901</v>
      </c>
      <c r="AJ331" s="218">
        <f t="shared" si="198"/>
        <v>390.00000000000006</v>
      </c>
      <c r="AK331" s="197">
        <f t="shared" si="232"/>
        <v>6.0930617977437734E-2</v>
      </c>
      <c r="AL331" s="197">
        <f t="shared" si="233"/>
        <v>9.6203707235237593E-2</v>
      </c>
      <c r="AM331" s="197">
        <f t="shared" si="234"/>
        <v>4.0790371867740751E-3</v>
      </c>
      <c r="AN331" s="197">
        <f t="shared" si="199"/>
        <v>24.05</v>
      </c>
      <c r="AO331" s="197">
        <f t="shared" si="200"/>
        <v>21.69</v>
      </c>
      <c r="AP331" s="197">
        <f t="shared" si="235"/>
        <v>7.4093290390420161E-2</v>
      </c>
      <c r="AQ331" s="197">
        <f t="shared" si="236"/>
        <v>0.42250439890466829</v>
      </c>
      <c r="AR331" s="197">
        <f t="shared" si="237"/>
        <v>0.30589509873355925</v>
      </c>
      <c r="AS331" s="258">
        <f t="shared" si="238"/>
        <v>0.15228632177729159</v>
      </c>
      <c r="AT331" s="197">
        <f t="shared" si="201"/>
        <v>2.5974058656511614E-4</v>
      </c>
      <c r="AU331" s="194">
        <f t="shared" si="202"/>
        <v>21.19</v>
      </c>
      <c r="AV331" s="197">
        <f t="shared" si="203"/>
        <v>2.7E-2</v>
      </c>
      <c r="AW331" s="197">
        <f t="shared" si="204"/>
        <v>3.4260000000000002E-3</v>
      </c>
      <c r="AX331" s="197">
        <f t="shared" si="239"/>
        <v>6.1668000000000001E-2</v>
      </c>
      <c r="AY331" s="197">
        <f t="shared" si="205"/>
        <v>2.8867476000000005E-3</v>
      </c>
      <c r="AZ331" s="197">
        <f t="shared" si="206"/>
        <v>0</v>
      </c>
      <c r="BA331" s="197">
        <f t="shared" si="240"/>
        <v>7.2596940000000013E-2</v>
      </c>
      <c r="BB331" s="258">
        <f t="shared" si="207"/>
        <v>0.36575210336206115</v>
      </c>
      <c r="BC331" s="197">
        <f t="shared" si="208"/>
        <v>2.2380490766334034E-2</v>
      </c>
      <c r="BD331" s="197">
        <f t="shared" si="241"/>
        <v>4.4760981532668068E-3</v>
      </c>
      <c r="BE331" s="197">
        <f t="shared" si="242"/>
        <v>2.6856588919600841E-2</v>
      </c>
      <c r="BF331" s="197">
        <f t="shared" si="209"/>
        <v>0.20773291256157633</v>
      </c>
      <c r="BG331" s="197">
        <f t="shared" si="210"/>
        <v>5.4608303342508187E-4</v>
      </c>
      <c r="BH331" s="197">
        <f t="shared" si="211"/>
        <v>3.5336687086656722E-2</v>
      </c>
      <c r="BI331" s="197">
        <f t="shared" si="243"/>
        <v>0.44730899017824427</v>
      </c>
      <c r="BJ331" s="197">
        <f t="shared" si="212"/>
        <v>6.769615024661003</v>
      </c>
      <c r="BK331" s="288">
        <f t="shared" si="213"/>
        <v>0.93392401361838984</v>
      </c>
      <c r="BL331" s="197">
        <f t="shared" si="214"/>
        <v>0.37608972359227794</v>
      </c>
      <c r="BM331" s="197">
        <f t="shared" si="215"/>
        <v>7.4353030976985271E-2</v>
      </c>
      <c r="BN331" s="197">
        <f t="shared" si="216"/>
        <v>54.461181858619113</v>
      </c>
      <c r="BO331" s="197">
        <f t="shared" si="244"/>
        <v>0.2082789955950014</v>
      </c>
      <c r="BP331" s="197">
        <f t="shared" si="217"/>
        <v>65.620924669625111</v>
      </c>
      <c r="BQ331" s="197">
        <f t="shared" si="218"/>
        <v>9.9596940000000009E-2</v>
      </c>
      <c r="BR331" s="288">
        <f t="shared" si="219"/>
        <v>0.16008975919012108</v>
      </c>
      <c r="BS331" s="197">
        <f t="shared" si="220"/>
        <v>0.11660930017110901</v>
      </c>
      <c r="BT331" s="197">
        <f t="shared" si="221"/>
        <v>0.36419974881911377</v>
      </c>
      <c r="BU331" s="197">
        <f t="shared" si="222"/>
        <v>0.1713930788771201</v>
      </c>
      <c r="BV331" s="197">
        <f t="shared" si="223"/>
        <v>0.53530306917875781</v>
      </c>
      <c r="BW331" s="194"/>
      <c r="BX331" s="194"/>
      <c r="BY331" s="194"/>
      <c r="BZ331" s="194"/>
      <c r="CA331" s="194"/>
      <c r="CB331" s="194"/>
      <c r="CC331" s="194"/>
      <c r="CD331" s="194"/>
      <c r="CE331" s="194"/>
      <c r="CF331" s="194"/>
      <c r="CG331" s="194"/>
      <c r="CH331" s="194"/>
      <c r="CI331" s="194"/>
      <c r="CJ331" s="194"/>
      <c r="CK331" s="194"/>
      <c r="CL331" s="194"/>
      <c r="CM331" s="194"/>
      <c r="CN331" s="194"/>
      <c r="CO331" s="194"/>
      <c r="CP331" s="194"/>
      <c r="CQ331" s="194"/>
      <c r="CR331" s="194"/>
      <c r="CS331" s="194"/>
      <c r="CT331" s="194"/>
      <c r="CU331" s="194"/>
      <c r="CV331" s="194"/>
      <c r="CW331" s="194"/>
      <c r="CX331" s="194"/>
      <c r="CY331" s="194"/>
      <c r="CZ331" s="194"/>
      <c r="DA331" s="194"/>
      <c r="DB331" s="194"/>
      <c r="DC331" s="194"/>
      <c r="DD331" s="194"/>
      <c r="DE331" s="194"/>
      <c r="DF331" s="194"/>
    </row>
    <row r="332" spans="2:110" s="192" customFormat="1" hidden="1" x14ac:dyDescent="0.35">
      <c r="B332" s="289"/>
      <c r="C332" s="289"/>
      <c r="Q332" s="193"/>
      <c r="R332" s="194">
        <f t="shared" si="224"/>
        <v>18</v>
      </c>
      <c r="S332" s="197">
        <f t="shared" si="190"/>
        <v>0.3888888888888889</v>
      </c>
      <c r="T332" s="194">
        <f t="shared" si="245"/>
        <v>0.69</v>
      </c>
      <c r="U332" s="194">
        <f t="shared" si="246"/>
        <v>1.4999999999999999E-4</v>
      </c>
      <c r="V332" s="197">
        <f t="shared" si="225"/>
        <v>0.3888888888888889</v>
      </c>
      <c r="W332" s="197">
        <f t="shared" si="191"/>
        <v>4.3555555555555561E-3</v>
      </c>
      <c r="X332" s="286">
        <f t="shared" si="192"/>
        <v>1</v>
      </c>
      <c r="Y332" s="286">
        <f t="shared" si="193"/>
        <v>0.17335969315081967</v>
      </c>
      <c r="Z332" s="286">
        <f t="shared" si="194"/>
        <v>0.54964853345132902</v>
      </c>
      <c r="AA332" s="286">
        <f t="shared" si="226"/>
        <v>0.17335969315081967</v>
      </c>
      <c r="AB332" s="197">
        <f t="shared" si="195"/>
        <v>0.36419974881911377</v>
      </c>
      <c r="AC332" s="287">
        <f t="shared" si="196"/>
        <v>4.4451203372005044E-7</v>
      </c>
      <c r="AD332" s="197">
        <f t="shared" si="227"/>
        <v>11.693936048110356</v>
      </c>
      <c r="AE332" s="197">
        <f t="shared" si="228"/>
        <v>35.08180814433107</v>
      </c>
      <c r="AF332" s="197">
        <f t="shared" si="229"/>
        <v>8.5178571428571423E-2</v>
      </c>
      <c r="AG332" s="197">
        <f t="shared" si="230"/>
        <v>0.25553571428571431</v>
      </c>
      <c r="AH332" s="197">
        <f t="shared" si="197"/>
        <v>0.11660930017110901</v>
      </c>
      <c r="AI332" s="197">
        <f t="shared" si="231"/>
        <v>0.11660930017110901</v>
      </c>
      <c r="AJ332" s="218">
        <f t="shared" si="198"/>
        <v>390.00000000000006</v>
      </c>
      <c r="AK332" s="197">
        <f t="shared" si="232"/>
        <v>6.0930617977437734E-2</v>
      </c>
      <c r="AL332" s="197">
        <f t="shared" si="233"/>
        <v>9.6203707235237593E-2</v>
      </c>
      <c r="AM332" s="197">
        <f t="shared" si="234"/>
        <v>4.0790371867740751E-3</v>
      </c>
      <c r="AN332" s="197">
        <f t="shared" si="199"/>
        <v>24.05</v>
      </c>
      <c r="AO332" s="197">
        <f t="shared" si="200"/>
        <v>21.69</v>
      </c>
      <c r="AP332" s="197">
        <f t="shared" si="235"/>
        <v>7.4093290390420161E-2</v>
      </c>
      <c r="AQ332" s="197">
        <f t="shared" si="236"/>
        <v>0.42250439890466829</v>
      </c>
      <c r="AR332" s="197">
        <f t="shared" si="237"/>
        <v>0.30589509873355925</v>
      </c>
      <c r="AS332" s="258">
        <f t="shared" si="238"/>
        <v>0.15228632177729159</v>
      </c>
      <c r="AT332" s="197">
        <f t="shared" si="201"/>
        <v>2.5974058656511614E-4</v>
      </c>
      <c r="AU332" s="194">
        <f t="shared" si="202"/>
        <v>21.19</v>
      </c>
      <c r="AV332" s="197">
        <f t="shared" si="203"/>
        <v>2.7E-2</v>
      </c>
      <c r="AW332" s="197">
        <f t="shared" si="204"/>
        <v>3.4260000000000002E-3</v>
      </c>
      <c r="AX332" s="197">
        <f t="shared" si="239"/>
        <v>6.1668000000000001E-2</v>
      </c>
      <c r="AY332" s="197">
        <f t="shared" si="205"/>
        <v>2.8867476000000005E-3</v>
      </c>
      <c r="AZ332" s="197">
        <f t="shared" si="206"/>
        <v>0</v>
      </c>
      <c r="BA332" s="197">
        <f t="shared" si="240"/>
        <v>7.2596940000000013E-2</v>
      </c>
      <c r="BB332" s="258">
        <f t="shared" si="207"/>
        <v>0.36575210336206115</v>
      </c>
      <c r="BC332" s="197">
        <f t="shared" si="208"/>
        <v>2.2380490766334034E-2</v>
      </c>
      <c r="BD332" s="197">
        <f t="shared" si="241"/>
        <v>4.4760981532668068E-3</v>
      </c>
      <c r="BE332" s="197">
        <f t="shared" si="242"/>
        <v>2.6856588919600841E-2</v>
      </c>
      <c r="BF332" s="197">
        <f t="shared" si="209"/>
        <v>0.20773291256157633</v>
      </c>
      <c r="BG332" s="197">
        <f t="shared" si="210"/>
        <v>5.4608303342508187E-4</v>
      </c>
      <c r="BH332" s="197">
        <f t="shared" si="211"/>
        <v>3.5336687086656722E-2</v>
      </c>
      <c r="BI332" s="197">
        <f t="shared" si="243"/>
        <v>0.44730899017824427</v>
      </c>
      <c r="BJ332" s="197">
        <f t="shared" si="212"/>
        <v>6.769615024661003</v>
      </c>
      <c r="BK332" s="288">
        <f t="shared" si="213"/>
        <v>0.93392401361838984</v>
      </c>
      <c r="BL332" s="197">
        <f t="shared" si="214"/>
        <v>0.37608972359227794</v>
      </c>
      <c r="BM332" s="197">
        <f t="shared" si="215"/>
        <v>7.4353030976985271E-2</v>
      </c>
      <c r="BN332" s="197">
        <f t="shared" si="216"/>
        <v>54.461181858619113</v>
      </c>
      <c r="BO332" s="197">
        <f t="shared" si="244"/>
        <v>0.2082789955950014</v>
      </c>
      <c r="BP332" s="197">
        <f t="shared" si="217"/>
        <v>65.620924669625111</v>
      </c>
      <c r="BQ332" s="197">
        <f t="shared" si="218"/>
        <v>9.9596940000000009E-2</v>
      </c>
      <c r="BR332" s="288">
        <f t="shared" si="219"/>
        <v>0.16008975919012108</v>
      </c>
      <c r="BS332" s="197">
        <f t="shared" si="220"/>
        <v>0.11660930017110901</v>
      </c>
      <c r="BT332" s="197">
        <f t="shared" si="221"/>
        <v>0.36419974881911377</v>
      </c>
      <c r="BU332" s="197">
        <f t="shared" si="222"/>
        <v>0.1713930788771201</v>
      </c>
      <c r="BV332" s="197">
        <f t="shared" si="223"/>
        <v>0.53530306917875781</v>
      </c>
      <c r="BW332" s="194"/>
      <c r="BX332" s="194"/>
      <c r="BY332" s="194"/>
      <c r="BZ332" s="194"/>
      <c r="CA332" s="194"/>
      <c r="CB332" s="194"/>
      <c r="CC332" s="194"/>
      <c r="CD332" s="194"/>
      <c r="CE332" s="194"/>
      <c r="CF332" s="194"/>
      <c r="CG332" s="194"/>
      <c r="CH332" s="194"/>
      <c r="CI332" s="194"/>
      <c r="CJ332" s="194"/>
      <c r="CK332" s="194"/>
      <c r="CL332" s="194"/>
      <c r="CM332" s="194"/>
      <c r="CN332" s="194"/>
      <c r="CO332" s="194"/>
      <c r="CP332" s="194"/>
      <c r="CQ332" s="194"/>
      <c r="CR332" s="194"/>
      <c r="CS332" s="194"/>
      <c r="CT332" s="194"/>
      <c r="CU332" s="194"/>
      <c r="CV332" s="194"/>
      <c r="CW332" s="194"/>
      <c r="CX332" s="194"/>
      <c r="CY332" s="194"/>
      <c r="CZ332" s="194"/>
      <c r="DA332" s="194"/>
      <c r="DB332" s="194"/>
      <c r="DC332" s="194"/>
      <c r="DD332" s="194"/>
      <c r="DE332" s="194"/>
      <c r="DF332" s="194"/>
    </row>
    <row r="333" spans="2:110" s="192" customFormat="1" hidden="1" x14ac:dyDescent="0.35">
      <c r="B333" s="289"/>
      <c r="C333" s="289"/>
      <c r="Q333" s="193"/>
      <c r="R333" s="194">
        <f t="shared" si="224"/>
        <v>18</v>
      </c>
      <c r="S333" s="197">
        <f t="shared" si="190"/>
        <v>0.3888888888888889</v>
      </c>
      <c r="T333" s="194">
        <f t="shared" si="245"/>
        <v>0.69</v>
      </c>
      <c r="U333" s="194">
        <f t="shared" si="246"/>
        <v>1.4999999999999999E-4</v>
      </c>
      <c r="V333" s="197">
        <f t="shared" si="225"/>
        <v>0.3888888888888889</v>
      </c>
      <c r="W333" s="197">
        <f t="shared" si="191"/>
        <v>4.3555555555555561E-3</v>
      </c>
      <c r="X333" s="286">
        <f t="shared" si="192"/>
        <v>1</v>
      </c>
      <c r="Y333" s="286">
        <f t="shared" si="193"/>
        <v>0.17335969315081967</v>
      </c>
      <c r="Z333" s="286">
        <f t="shared" si="194"/>
        <v>0.54964853345132902</v>
      </c>
      <c r="AA333" s="286">
        <f t="shared" si="226"/>
        <v>0.17335969315081967</v>
      </c>
      <c r="AB333" s="197">
        <f t="shared" si="195"/>
        <v>0.36419974881911377</v>
      </c>
      <c r="AC333" s="287">
        <f t="shared" si="196"/>
        <v>4.4451203372005044E-7</v>
      </c>
      <c r="AD333" s="197">
        <f t="shared" si="227"/>
        <v>11.693936048110356</v>
      </c>
      <c r="AE333" s="197">
        <f t="shared" si="228"/>
        <v>35.08180814433107</v>
      </c>
      <c r="AF333" s="197">
        <f t="shared" si="229"/>
        <v>8.5178571428571423E-2</v>
      </c>
      <c r="AG333" s="197">
        <f t="shared" si="230"/>
        <v>0.25553571428571431</v>
      </c>
      <c r="AH333" s="197">
        <f t="shared" si="197"/>
        <v>0.11660930017110901</v>
      </c>
      <c r="AI333" s="197">
        <f t="shared" si="231"/>
        <v>0.11660930017110901</v>
      </c>
      <c r="AJ333" s="218">
        <f t="shared" si="198"/>
        <v>390.00000000000006</v>
      </c>
      <c r="AK333" s="197">
        <f t="shared" si="232"/>
        <v>6.0930617977437734E-2</v>
      </c>
      <c r="AL333" s="197">
        <f t="shared" si="233"/>
        <v>9.6203707235237593E-2</v>
      </c>
      <c r="AM333" s="197">
        <f t="shared" si="234"/>
        <v>4.0790371867740751E-3</v>
      </c>
      <c r="AN333" s="197">
        <f t="shared" si="199"/>
        <v>24.05</v>
      </c>
      <c r="AO333" s="197">
        <f t="shared" si="200"/>
        <v>21.69</v>
      </c>
      <c r="AP333" s="197">
        <f t="shared" si="235"/>
        <v>7.4093290390420161E-2</v>
      </c>
      <c r="AQ333" s="197">
        <f t="shared" si="236"/>
        <v>0.42250439890466829</v>
      </c>
      <c r="AR333" s="197">
        <f t="shared" si="237"/>
        <v>0.30589509873355925</v>
      </c>
      <c r="AS333" s="258">
        <f t="shared" si="238"/>
        <v>0.15228632177729159</v>
      </c>
      <c r="AT333" s="197">
        <f t="shared" si="201"/>
        <v>2.5974058656511614E-4</v>
      </c>
      <c r="AU333" s="194">
        <f t="shared" si="202"/>
        <v>21.19</v>
      </c>
      <c r="AV333" s="197">
        <f t="shared" si="203"/>
        <v>2.7E-2</v>
      </c>
      <c r="AW333" s="197">
        <f t="shared" si="204"/>
        <v>3.4260000000000002E-3</v>
      </c>
      <c r="AX333" s="197">
        <f t="shared" si="239"/>
        <v>6.1668000000000001E-2</v>
      </c>
      <c r="AY333" s="197">
        <f t="shared" si="205"/>
        <v>2.8867476000000005E-3</v>
      </c>
      <c r="AZ333" s="197">
        <f t="shared" si="206"/>
        <v>0</v>
      </c>
      <c r="BA333" s="197">
        <f t="shared" si="240"/>
        <v>7.2596940000000013E-2</v>
      </c>
      <c r="BB333" s="258">
        <f t="shared" si="207"/>
        <v>0.36575210336206115</v>
      </c>
      <c r="BC333" s="197">
        <f t="shared" si="208"/>
        <v>2.2380490766334034E-2</v>
      </c>
      <c r="BD333" s="197">
        <f t="shared" si="241"/>
        <v>4.4760981532668068E-3</v>
      </c>
      <c r="BE333" s="197">
        <f t="shared" si="242"/>
        <v>2.6856588919600841E-2</v>
      </c>
      <c r="BF333" s="197">
        <f t="shared" si="209"/>
        <v>0.20773291256157633</v>
      </c>
      <c r="BG333" s="197">
        <f t="shared" si="210"/>
        <v>5.4608303342508187E-4</v>
      </c>
      <c r="BH333" s="197">
        <f t="shared" si="211"/>
        <v>3.5336687086656722E-2</v>
      </c>
      <c r="BI333" s="197">
        <f t="shared" si="243"/>
        <v>0.44730899017824427</v>
      </c>
      <c r="BJ333" s="197">
        <f t="shared" si="212"/>
        <v>6.769615024661003</v>
      </c>
      <c r="BK333" s="288">
        <f t="shared" si="213"/>
        <v>0.93392401361838984</v>
      </c>
      <c r="BL333" s="197">
        <f t="shared" si="214"/>
        <v>0.37608972359227794</v>
      </c>
      <c r="BM333" s="197">
        <f t="shared" si="215"/>
        <v>7.4353030976985271E-2</v>
      </c>
      <c r="BN333" s="197">
        <f t="shared" si="216"/>
        <v>54.461181858619113</v>
      </c>
      <c r="BO333" s="197">
        <f t="shared" si="244"/>
        <v>0.2082789955950014</v>
      </c>
      <c r="BP333" s="197">
        <f t="shared" si="217"/>
        <v>65.620924669625111</v>
      </c>
      <c r="BQ333" s="197">
        <f t="shared" si="218"/>
        <v>9.9596940000000009E-2</v>
      </c>
      <c r="BR333" s="288">
        <f t="shared" si="219"/>
        <v>0.16008975919012108</v>
      </c>
      <c r="BS333" s="197">
        <f t="shared" si="220"/>
        <v>0.11660930017110901</v>
      </c>
      <c r="BT333" s="197">
        <f t="shared" si="221"/>
        <v>0.36419974881911377</v>
      </c>
      <c r="BU333" s="197">
        <f t="shared" si="222"/>
        <v>0.1713930788771201</v>
      </c>
      <c r="BV333" s="197">
        <f t="shared" si="223"/>
        <v>0.53530306917875781</v>
      </c>
      <c r="BW333" s="194"/>
      <c r="BX333" s="194"/>
      <c r="BY333" s="194"/>
      <c r="BZ333" s="194"/>
      <c r="CA333" s="194"/>
      <c r="CB333" s="194"/>
      <c r="CC333" s="194"/>
      <c r="CD333" s="194"/>
      <c r="CE333" s="194"/>
      <c r="CF333" s="194"/>
      <c r="CG333" s="194"/>
      <c r="CH333" s="194"/>
      <c r="CI333" s="194"/>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row>
    <row r="334" spans="2:110" s="192" customFormat="1" hidden="1" x14ac:dyDescent="0.35">
      <c r="B334" s="289"/>
      <c r="C334" s="289"/>
      <c r="Q334" s="193"/>
      <c r="R334" s="194">
        <f t="shared" si="224"/>
        <v>18</v>
      </c>
      <c r="S334" s="197">
        <f t="shared" si="190"/>
        <v>0.3888888888888889</v>
      </c>
      <c r="T334" s="194">
        <f t="shared" si="245"/>
        <v>0.69</v>
      </c>
      <c r="U334" s="194">
        <f t="shared" si="246"/>
        <v>1.4999999999999999E-4</v>
      </c>
      <c r="V334" s="197">
        <f t="shared" si="225"/>
        <v>0.3888888888888889</v>
      </c>
      <c r="W334" s="197">
        <f t="shared" si="191"/>
        <v>4.3555555555555561E-3</v>
      </c>
      <c r="X334" s="286">
        <f t="shared" si="192"/>
        <v>1</v>
      </c>
      <c r="Y334" s="286">
        <f t="shared" si="193"/>
        <v>0.17335969315081967</v>
      </c>
      <c r="Z334" s="286">
        <f t="shared" si="194"/>
        <v>0.54964853345132902</v>
      </c>
      <c r="AA334" s="286">
        <f t="shared" si="226"/>
        <v>0.17335969315081967</v>
      </c>
      <c r="AB334" s="197">
        <f t="shared" si="195"/>
        <v>0.36419974881911377</v>
      </c>
      <c r="AC334" s="287">
        <f t="shared" si="196"/>
        <v>4.4451203372005044E-7</v>
      </c>
      <c r="AD334" s="197">
        <f t="shared" si="227"/>
        <v>11.693936048110356</v>
      </c>
      <c r="AE334" s="197">
        <f t="shared" si="228"/>
        <v>35.08180814433107</v>
      </c>
      <c r="AF334" s="197">
        <f t="shared" si="229"/>
        <v>8.5178571428571423E-2</v>
      </c>
      <c r="AG334" s="197">
        <f t="shared" si="230"/>
        <v>0.25553571428571431</v>
      </c>
      <c r="AH334" s="197">
        <f t="shared" si="197"/>
        <v>0.11660930017110901</v>
      </c>
      <c r="AI334" s="197">
        <f t="shared" si="231"/>
        <v>0.11660930017110901</v>
      </c>
      <c r="AJ334" s="218">
        <f t="shared" si="198"/>
        <v>390.00000000000006</v>
      </c>
      <c r="AK334" s="197">
        <f t="shared" si="232"/>
        <v>6.0930617977437734E-2</v>
      </c>
      <c r="AL334" s="197">
        <f t="shared" si="233"/>
        <v>9.6203707235237593E-2</v>
      </c>
      <c r="AM334" s="197">
        <f t="shared" si="234"/>
        <v>4.0790371867740751E-3</v>
      </c>
      <c r="AN334" s="197">
        <f t="shared" si="199"/>
        <v>24.05</v>
      </c>
      <c r="AO334" s="197">
        <f t="shared" si="200"/>
        <v>21.69</v>
      </c>
      <c r="AP334" s="197">
        <f t="shared" si="235"/>
        <v>7.4093290390420161E-2</v>
      </c>
      <c r="AQ334" s="197">
        <f t="shared" si="236"/>
        <v>0.42250439890466829</v>
      </c>
      <c r="AR334" s="197">
        <f t="shared" si="237"/>
        <v>0.30589509873355925</v>
      </c>
      <c r="AS334" s="258">
        <f t="shared" si="238"/>
        <v>0.15228632177729159</v>
      </c>
      <c r="AT334" s="197">
        <f t="shared" si="201"/>
        <v>2.5974058656511614E-4</v>
      </c>
      <c r="AU334" s="194">
        <f t="shared" si="202"/>
        <v>21.19</v>
      </c>
      <c r="AV334" s="197">
        <f t="shared" si="203"/>
        <v>2.7E-2</v>
      </c>
      <c r="AW334" s="197">
        <f t="shared" si="204"/>
        <v>3.4260000000000002E-3</v>
      </c>
      <c r="AX334" s="197">
        <f t="shared" si="239"/>
        <v>6.1668000000000001E-2</v>
      </c>
      <c r="AY334" s="197">
        <f t="shared" si="205"/>
        <v>2.8867476000000005E-3</v>
      </c>
      <c r="AZ334" s="197">
        <f t="shared" si="206"/>
        <v>0</v>
      </c>
      <c r="BA334" s="197">
        <f t="shared" si="240"/>
        <v>7.2596940000000013E-2</v>
      </c>
      <c r="BB334" s="258">
        <f t="shared" si="207"/>
        <v>0.36575210336206115</v>
      </c>
      <c r="BC334" s="197">
        <f t="shared" si="208"/>
        <v>2.2380490766334034E-2</v>
      </c>
      <c r="BD334" s="197">
        <f t="shared" si="241"/>
        <v>4.4760981532668068E-3</v>
      </c>
      <c r="BE334" s="197">
        <f t="shared" si="242"/>
        <v>2.6856588919600841E-2</v>
      </c>
      <c r="BF334" s="197">
        <f t="shared" si="209"/>
        <v>0.20773291256157633</v>
      </c>
      <c r="BG334" s="197">
        <f t="shared" si="210"/>
        <v>5.4608303342508187E-4</v>
      </c>
      <c r="BH334" s="197">
        <f t="shared" si="211"/>
        <v>3.5336687086656722E-2</v>
      </c>
      <c r="BI334" s="197">
        <f t="shared" si="243"/>
        <v>0.44730899017824427</v>
      </c>
      <c r="BJ334" s="197">
        <f t="shared" si="212"/>
        <v>6.769615024661003</v>
      </c>
      <c r="BK334" s="288">
        <f t="shared" si="213"/>
        <v>0.93392401361838984</v>
      </c>
      <c r="BL334" s="197">
        <f t="shared" si="214"/>
        <v>0.37608972359227794</v>
      </c>
      <c r="BM334" s="197">
        <f t="shared" si="215"/>
        <v>7.4353030976985271E-2</v>
      </c>
      <c r="BN334" s="197">
        <f t="shared" si="216"/>
        <v>54.461181858619113</v>
      </c>
      <c r="BO334" s="197">
        <f t="shared" si="244"/>
        <v>0.2082789955950014</v>
      </c>
      <c r="BP334" s="197">
        <f t="shared" si="217"/>
        <v>65.620924669625111</v>
      </c>
      <c r="BQ334" s="197">
        <f t="shared" si="218"/>
        <v>9.9596940000000009E-2</v>
      </c>
      <c r="BR334" s="288">
        <f t="shared" si="219"/>
        <v>0.16008975919012108</v>
      </c>
      <c r="BS334" s="197">
        <f t="shared" si="220"/>
        <v>0.11660930017110901</v>
      </c>
      <c r="BT334" s="197">
        <f t="shared" si="221"/>
        <v>0.36419974881911377</v>
      </c>
      <c r="BU334" s="197">
        <f t="shared" si="222"/>
        <v>0.1713930788771201</v>
      </c>
      <c r="BV334" s="197">
        <f t="shared" si="223"/>
        <v>0.53530306917875781</v>
      </c>
      <c r="BW334" s="194"/>
      <c r="BX334" s="194"/>
      <c r="BY334" s="194"/>
      <c r="BZ334" s="194"/>
      <c r="CA334" s="194"/>
      <c r="CB334" s="194"/>
      <c r="CC334" s="194"/>
      <c r="CD334" s="194"/>
      <c r="CE334" s="194"/>
      <c r="CF334" s="194"/>
      <c r="CG334" s="194"/>
      <c r="CH334" s="194"/>
      <c r="CI334" s="194"/>
      <c r="CJ334" s="194"/>
      <c r="CK334" s="194"/>
      <c r="CL334" s="194"/>
      <c r="CM334" s="194"/>
      <c r="CN334" s="194"/>
      <c r="CO334" s="194"/>
      <c r="CP334" s="194"/>
      <c r="CQ334" s="194"/>
      <c r="CR334" s="194"/>
      <c r="CS334" s="194"/>
      <c r="CT334" s="194"/>
      <c r="CU334" s="194"/>
      <c r="CV334" s="194"/>
      <c r="CW334" s="194"/>
      <c r="CX334" s="194"/>
      <c r="CY334" s="194"/>
      <c r="CZ334" s="194"/>
      <c r="DA334" s="194"/>
      <c r="DB334" s="194"/>
      <c r="DC334" s="194"/>
      <c r="DD334" s="194"/>
      <c r="DE334" s="194"/>
      <c r="DF334" s="194"/>
    </row>
    <row r="335" spans="2:110" s="192" customFormat="1" hidden="1" x14ac:dyDescent="0.35">
      <c r="B335" s="289"/>
      <c r="C335" s="289"/>
      <c r="Q335" s="193"/>
      <c r="R335" s="194">
        <f t="shared" si="224"/>
        <v>18</v>
      </c>
      <c r="S335" s="197">
        <f t="shared" si="190"/>
        <v>0.3888888888888889</v>
      </c>
      <c r="T335" s="194">
        <f t="shared" si="245"/>
        <v>0.69</v>
      </c>
      <c r="U335" s="194">
        <f t="shared" si="246"/>
        <v>1.4999999999999999E-4</v>
      </c>
      <c r="V335" s="197">
        <f t="shared" si="225"/>
        <v>0.3888888888888889</v>
      </c>
      <c r="W335" s="197">
        <f t="shared" si="191"/>
        <v>4.3555555555555561E-3</v>
      </c>
      <c r="X335" s="286">
        <f t="shared" si="192"/>
        <v>1</v>
      </c>
      <c r="Y335" s="286">
        <f t="shared" si="193"/>
        <v>0.17335969315081967</v>
      </c>
      <c r="Z335" s="286">
        <f t="shared" si="194"/>
        <v>0.54964853345132902</v>
      </c>
      <c r="AA335" s="286">
        <f t="shared" si="226"/>
        <v>0.17335969315081967</v>
      </c>
      <c r="AB335" s="197">
        <f t="shared" si="195"/>
        <v>0.36419974881911377</v>
      </c>
      <c r="AC335" s="287">
        <f t="shared" si="196"/>
        <v>4.4451203372005044E-7</v>
      </c>
      <c r="AD335" s="197">
        <f t="shared" si="227"/>
        <v>11.693936048110356</v>
      </c>
      <c r="AE335" s="197">
        <f t="shared" si="228"/>
        <v>35.08180814433107</v>
      </c>
      <c r="AF335" s="197">
        <f t="shared" si="229"/>
        <v>8.5178571428571423E-2</v>
      </c>
      <c r="AG335" s="197">
        <f t="shared" si="230"/>
        <v>0.25553571428571431</v>
      </c>
      <c r="AH335" s="197">
        <f t="shared" si="197"/>
        <v>0.11660930017110901</v>
      </c>
      <c r="AI335" s="197">
        <f t="shared" si="231"/>
        <v>0.11660930017110901</v>
      </c>
      <c r="AJ335" s="218">
        <f t="shared" si="198"/>
        <v>390.00000000000006</v>
      </c>
      <c r="AK335" s="197">
        <f t="shared" si="232"/>
        <v>6.0930617977437734E-2</v>
      </c>
      <c r="AL335" s="197">
        <f t="shared" si="233"/>
        <v>9.6203707235237593E-2</v>
      </c>
      <c r="AM335" s="197">
        <f t="shared" si="234"/>
        <v>4.0790371867740751E-3</v>
      </c>
      <c r="AN335" s="197">
        <f t="shared" si="199"/>
        <v>24.05</v>
      </c>
      <c r="AO335" s="197">
        <f t="shared" si="200"/>
        <v>21.69</v>
      </c>
      <c r="AP335" s="197">
        <f t="shared" si="235"/>
        <v>7.4093290390420161E-2</v>
      </c>
      <c r="AQ335" s="197">
        <f t="shared" si="236"/>
        <v>0.42250439890466829</v>
      </c>
      <c r="AR335" s="197">
        <f t="shared" si="237"/>
        <v>0.30589509873355925</v>
      </c>
      <c r="AS335" s="258">
        <f t="shared" si="238"/>
        <v>0.15228632177729159</v>
      </c>
      <c r="AT335" s="197">
        <f t="shared" si="201"/>
        <v>2.5974058656511614E-4</v>
      </c>
      <c r="AU335" s="194">
        <f t="shared" si="202"/>
        <v>21.19</v>
      </c>
      <c r="AV335" s="197">
        <f t="shared" si="203"/>
        <v>2.7E-2</v>
      </c>
      <c r="AW335" s="197">
        <f t="shared" si="204"/>
        <v>3.4260000000000002E-3</v>
      </c>
      <c r="AX335" s="197">
        <f t="shared" si="239"/>
        <v>6.1668000000000001E-2</v>
      </c>
      <c r="AY335" s="197">
        <f t="shared" si="205"/>
        <v>2.8867476000000005E-3</v>
      </c>
      <c r="AZ335" s="197">
        <f t="shared" si="206"/>
        <v>0</v>
      </c>
      <c r="BA335" s="197">
        <f t="shared" si="240"/>
        <v>7.2596940000000013E-2</v>
      </c>
      <c r="BB335" s="258">
        <f t="shared" si="207"/>
        <v>0.36575210336206115</v>
      </c>
      <c r="BC335" s="197">
        <f t="shared" si="208"/>
        <v>2.2380490766334034E-2</v>
      </c>
      <c r="BD335" s="197">
        <f t="shared" si="241"/>
        <v>4.4760981532668068E-3</v>
      </c>
      <c r="BE335" s="197">
        <f t="shared" si="242"/>
        <v>2.6856588919600841E-2</v>
      </c>
      <c r="BF335" s="197">
        <f t="shared" si="209"/>
        <v>0.20773291256157633</v>
      </c>
      <c r="BG335" s="197">
        <f t="shared" si="210"/>
        <v>5.4608303342508187E-4</v>
      </c>
      <c r="BH335" s="197">
        <f t="shared" si="211"/>
        <v>3.5336687086656722E-2</v>
      </c>
      <c r="BI335" s="197">
        <f t="shared" si="243"/>
        <v>0.44730899017824427</v>
      </c>
      <c r="BJ335" s="197">
        <f t="shared" si="212"/>
        <v>6.769615024661003</v>
      </c>
      <c r="BK335" s="288">
        <f t="shared" si="213"/>
        <v>0.93392401361838984</v>
      </c>
      <c r="BL335" s="197">
        <f t="shared" si="214"/>
        <v>0.37608972359227794</v>
      </c>
      <c r="BM335" s="197">
        <f t="shared" si="215"/>
        <v>7.4353030976985271E-2</v>
      </c>
      <c r="BN335" s="197">
        <f t="shared" si="216"/>
        <v>54.461181858619113</v>
      </c>
      <c r="BO335" s="197">
        <f t="shared" si="244"/>
        <v>0.2082789955950014</v>
      </c>
      <c r="BP335" s="197">
        <f t="shared" si="217"/>
        <v>65.620924669625111</v>
      </c>
      <c r="BQ335" s="197">
        <f t="shared" si="218"/>
        <v>9.9596940000000009E-2</v>
      </c>
      <c r="BR335" s="288">
        <f t="shared" si="219"/>
        <v>0.16008975919012108</v>
      </c>
      <c r="BS335" s="197">
        <f t="shared" si="220"/>
        <v>0.11660930017110901</v>
      </c>
      <c r="BT335" s="197">
        <f t="shared" si="221"/>
        <v>0.36419974881911377</v>
      </c>
      <c r="BU335" s="197">
        <f t="shared" si="222"/>
        <v>0.1713930788771201</v>
      </c>
      <c r="BV335" s="197">
        <f t="shared" si="223"/>
        <v>0.53530306917875781</v>
      </c>
      <c r="BW335" s="194"/>
      <c r="BX335" s="194"/>
      <c r="BY335" s="194"/>
      <c r="BZ335" s="194"/>
      <c r="CA335" s="194"/>
      <c r="CB335" s="194"/>
      <c r="CC335" s="194"/>
      <c r="CD335" s="194"/>
      <c r="CE335" s="194"/>
      <c r="CF335" s="194"/>
      <c r="CG335" s="194"/>
      <c r="CH335" s="194"/>
      <c r="CI335" s="194"/>
      <c r="CJ335" s="194"/>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row>
    <row r="336" spans="2:110" s="192" customFormat="1" hidden="1" x14ac:dyDescent="0.35">
      <c r="B336" s="289"/>
      <c r="C336" s="289"/>
      <c r="Q336" s="193"/>
      <c r="R336" s="194">
        <f t="shared" si="224"/>
        <v>18</v>
      </c>
      <c r="S336" s="197">
        <f t="shared" si="190"/>
        <v>0.3888888888888889</v>
      </c>
      <c r="T336" s="194">
        <f t="shared" si="245"/>
        <v>0.69</v>
      </c>
      <c r="U336" s="194">
        <f t="shared" si="246"/>
        <v>1.4999999999999999E-4</v>
      </c>
      <c r="V336" s="197">
        <f t="shared" si="225"/>
        <v>0.3888888888888889</v>
      </c>
      <c r="W336" s="197">
        <f t="shared" si="191"/>
        <v>4.3555555555555561E-3</v>
      </c>
      <c r="X336" s="286">
        <f t="shared" si="192"/>
        <v>1</v>
      </c>
      <c r="Y336" s="286">
        <f t="shared" si="193"/>
        <v>0.17335969315081967</v>
      </c>
      <c r="Z336" s="286">
        <f t="shared" si="194"/>
        <v>0.54964853345132902</v>
      </c>
      <c r="AA336" s="286">
        <f t="shared" si="226"/>
        <v>0.17335969315081967</v>
      </c>
      <c r="AB336" s="197">
        <f t="shared" si="195"/>
        <v>0.36419974881911377</v>
      </c>
      <c r="AC336" s="287">
        <f t="shared" si="196"/>
        <v>4.4451203372005044E-7</v>
      </c>
      <c r="AD336" s="197">
        <f t="shared" si="227"/>
        <v>11.693936048110356</v>
      </c>
      <c r="AE336" s="197">
        <f t="shared" si="228"/>
        <v>35.08180814433107</v>
      </c>
      <c r="AF336" s="197">
        <f t="shared" si="229"/>
        <v>8.5178571428571423E-2</v>
      </c>
      <c r="AG336" s="197">
        <f t="shared" si="230"/>
        <v>0.25553571428571431</v>
      </c>
      <c r="AH336" s="197">
        <f t="shared" si="197"/>
        <v>0.11660930017110901</v>
      </c>
      <c r="AI336" s="197">
        <f t="shared" si="231"/>
        <v>0.11660930017110901</v>
      </c>
      <c r="AJ336" s="218">
        <f t="shared" si="198"/>
        <v>390.00000000000006</v>
      </c>
      <c r="AK336" s="197">
        <f t="shared" si="232"/>
        <v>6.0930617977437734E-2</v>
      </c>
      <c r="AL336" s="197">
        <f t="shared" si="233"/>
        <v>9.6203707235237593E-2</v>
      </c>
      <c r="AM336" s="197">
        <f t="shared" si="234"/>
        <v>4.0790371867740751E-3</v>
      </c>
      <c r="AN336" s="197">
        <f t="shared" si="199"/>
        <v>24.05</v>
      </c>
      <c r="AO336" s="197">
        <f t="shared" si="200"/>
        <v>21.69</v>
      </c>
      <c r="AP336" s="197">
        <f t="shared" si="235"/>
        <v>7.4093290390420161E-2</v>
      </c>
      <c r="AQ336" s="197">
        <f t="shared" si="236"/>
        <v>0.42250439890466829</v>
      </c>
      <c r="AR336" s="197">
        <f t="shared" si="237"/>
        <v>0.30589509873355925</v>
      </c>
      <c r="AS336" s="258">
        <f t="shared" si="238"/>
        <v>0.15228632177729159</v>
      </c>
      <c r="AT336" s="197">
        <f t="shared" si="201"/>
        <v>2.5974058656511614E-4</v>
      </c>
      <c r="AU336" s="194">
        <f t="shared" si="202"/>
        <v>21.19</v>
      </c>
      <c r="AV336" s="197">
        <f t="shared" si="203"/>
        <v>2.7E-2</v>
      </c>
      <c r="AW336" s="197">
        <f t="shared" si="204"/>
        <v>3.4260000000000002E-3</v>
      </c>
      <c r="AX336" s="197">
        <f t="shared" si="239"/>
        <v>6.1668000000000001E-2</v>
      </c>
      <c r="AY336" s="197">
        <f t="shared" si="205"/>
        <v>2.8867476000000005E-3</v>
      </c>
      <c r="AZ336" s="197">
        <f t="shared" si="206"/>
        <v>0</v>
      </c>
      <c r="BA336" s="197">
        <f t="shared" si="240"/>
        <v>7.2596940000000013E-2</v>
      </c>
      <c r="BB336" s="258">
        <f t="shared" si="207"/>
        <v>0.36575210336206115</v>
      </c>
      <c r="BC336" s="197">
        <f t="shared" si="208"/>
        <v>2.2380490766334034E-2</v>
      </c>
      <c r="BD336" s="197">
        <f t="shared" si="241"/>
        <v>4.4760981532668068E-3</v>
      </c>
      <c r="BE336" s="197">
        <f t="shared" si="242"/>
        <v>2.6856588919600841E-2</v>
      </c>
      <c r="BF336" s="197">
        <f t="shared" si="209"/>
        <v>0.20773291256157633</v>
      </c>
      <c r="BG336" s="197">
        <f t="shared" si="210"/>
        <v>5.4608303342508187E-4</v>
      </c>
      <c r="BH336" s="197">
        <f t="shared" si="211"/>
        <v>3.5336687086656722E-2</v>
      </c>
      <c r="BI336" s="197">
        <f t="shared" si="243"/>
        <v>0.44730899017824427</v>
      </c>
      <c r="BJ336" s="197">
        <f t="shared" si="212"/>
        <v>6.769615024661003</v>
      </c>
      <c r="BK336" s="288">
        <f t="shared" si="213"/>
        <v>0.93392401361838984</v>
      </c>
      <c r="BL336" s="197">
        <f t="shared" si="214"/>
        <v>0.37608972359227794</v>
      </c>
      <c r="BM336" s="197">
        <f t="shared" si="215"/>
        <v>7.4353030976985271E-2</v>
      </c>
      <c r="BN336" s="197">
        <f t="shared" si="216"/>
        <v>54.461181858619113</v>
      </c>
      <c r="BO336" s="197">
        <f t="shared" si="244"/>
        <v>0.2082789955950014</v>
      </c>
      <c r="BP336" s="197">
        <f t="shared" si="217"/>
        <v>65.620924669625111</v>
      </c>
      <c r="BQ336" s="197">
        <f t="shared" si="218"/>
        <v>9.9596940000000009E-2</v>
      </c>
      <c r="BR336" s="288">
        <f t="shared" si="219"/>
        <v>0.16008975919012108</v>
      </c>
      <c r="BS336" s="197">
        <f t="shared" si="220"/>
        <v>0.11660930017110901</v>
      </c>
      <c r="BT336" s="197">
        <f t="shared" si="221"/>
        <v>0.36419974881911377</v>
      </c>
      <c r="BU336" s="197">
        <f t="shared" si="222"/>
        <v>0.1713930788771201</v>
      </c>
      <c r="BV336" s="197">
        <f t="shared" si="223"/>
        <v>0.53530306917875781</v>
      </c>
      <c r="BW336" s="194"/>
      <c r="BX336" s="194"/>
      <c r="BY336" s="194"/>
      <c r="BZ336" s="194"/>
      <c r="CA336" s="194"/>
      <c r="CB336" s="194"/>
      <c r="CC336" s="194"/>
      <c r="CD336" s="194"/>
      <c r="CE336" s="194"/>
      <c r="CF336" s="194"/>
      <c r="CG336" s="194"/>
      <c r="CH336" s="194"/>
      <c r="CI336" s="194"/>
      <c r="CJ336" s="194"/>
      <c r="CK336" s="194"/>
      <c r="CL336" s="194"/>
      <c r="CM336" s="194"/>
      <c r="CN336" s="194"/>
      <c r="CO336" s="194"/>
      <c r="CP336" s="194"/>
      <c r="CQ336" s="194"/>
      <c r="CR336" s="194"/>
      <c r="CS336" s="194"/>
      <c r="CT336" s="194"/>
      <c r="CU336" s="194"/>
      <c r="CV336" s="194"/>
      <c r="CW336" s="194"/>
      <c r="CX336" s="194"/>
      <c r="CY336" s="194"/>
      <c r="CZ336" s="194"/>
      <c r="DA336" s="194"/>
      <c r="DB336" s="194"/>
      <c r="DC336" s="194"/>
      <c r="DD336" s="194"/>
      <c r="DE336" s="194"/>
      <c r="DF336" s="194"/>
    </row>
    <row r="337" spans="2:110" s="192" customFormat="1" hidden="1" x14ac:dyDescent="0.35">
      <c r="B337" s="289"/>
      <c r="C337" s="289"/>
      <c r="Q337" s="193"/>
      <c r="R337" s="194">
        <f t="shared" si="224"/>
        <v>18</v>
      </c>
      <c r="S337" s="197">
        <f t="shared" si="190"/>
        <v>0.3888888888888889</v>
      </c>
      <c r="T337" s="194">
        <f t="shared" si="245"/>
        <v>0.69</v>
      </c>
      <c r="U337" s="194">
        <f t="shared" si="246"/>
        <v>1.4999999999999999E-4</v>
      </c>
      <c r="V337" s="197">
        <f t="shared" si="225"/>
        <v>0.3888888888888889</v>
      </c>
      <c r="W337" s="197">
        <f t="shared" si="191"/>
        <v>4.3555555555555561E-3</v>
      </c>
      <c r="X337" s="286">
        <f t="shared" si="192"/>
        <v>1</v>
      </c>
      <c r="Y337" s="286">
        <f t="shared" si="193"/>
        <v>0.17335969315081967</v>
      </c>
      <c r="Z337" s="286">
        <f t="shared" si="194"/>
        <v>0.54964853345132902</v>
      </c>
      <c r="AA337" s="286">
        <f t="shared" si="226"/>
        <v>0.17335969315081967</v>
      </c>
      <c r="AB337" s="197">
        <f t="shared" si="195"/>
        <v>0.36419974881911377</v>
      </c>
      <c r="AC337" s="287">
        <f t="shared" si="196"/>
        <v>4.4451203372005044E-7</v>
      </c>
      <c r="AD337" s="197">
        <f t="shared" si="227"/>
        <v>11.693936048110356</v>
      </c>
      <c r="AE337" s="197">
        <f t="shared" si="228"/>
        <v>35.08180814433107</v>
      </c>
      <c r="AF337" s="197">
        <f t="shared" si="229"/>
        <v>8.5178571428571423E-2</v>
      </c>
      <c r="AG337" s="197">
        <f t="shared" si="230"/>
        <v>0.25553571428571431</v>
      </c>
      <c r="AH337" s="197">
        <f t="shared" si="197"/>
        <v>0.11660930017110901</v>
      </c>
      <c r="AI337" s="197">
        <f t="shared" si="231"/>
        <v>0.11660930017110901</v>
      </c>
      <c r="AJ337" s="218">
        <f t="shared" si="198"/>
        <v>390.00000000000006</v>
      </c>
      <c r="AK337" s="197">
        <f t="shared" si="232"/>
        <v>6.0930617977437734E-2</v>
      </c>
      <c r="AL337" s="197">
        <f t="shared" si="233"/>
        <v>9.6203707235237593E-2</v>
      </c>
      <c r="AM337" s="197">
        <f t="shared" si="234"/>
        <v>4.0790371867740751E-3</v>
      </c>
      <c r="AN337" s="197">
        <f t="shared" si="199"/>
        <v>24.05</v>
      </c>
      <c r="AO337" s="197">
        <f t="shared" si="200"/>
        <v>21.69</v>
      </c>
      <c r="AP337" s="197">
        <f t="shared" si="235"/>
        <v>7.4093290390420161E-2</v>
      </c>
      <c r="AQ337" s="197">
        <f t="shared" si="236"/>
        <v>0.42250439890466829</v>
      </c>
      <c r="AR337" s="197">
        <f t="shared" si="237"/>
        <v>0.30589509873355925</v>
      </c>
      <c r="AS337" s="258">
        <f t="shared" si="238"/>
        <v>0.15228632177729159</v>
      </c>
      <c r="AT337" s="197">
        <f t="shared" si="201"/>
        <v>2.5974058656511614E-4</v>
      </c>
      <c r="AU337" s="194">
        <f t="shared" si="202"/>
        <v>21.19</v>
      </c>
      <c r="AV337" s="197">
        <f t="shared" si="203"/>
        <v>2.7E-2</v>
      </c>
      <c r="AW337" s="197">
        <f t="shared" si="204"/>
        <v>3.4260000000000002E-3</v>
      </c>
      <c r="AX337" s="197">
        <f t="shared" si="239"/>
        <v>6.1668000000000001E-2</v>
      </c>
      <c r="AY337" s="197">
        <f t="shared" si="205"/>
        <v>2.8867476000000005E-3</v>
      </c>
      <c r="AZ337" s="197">
        <f t="shared" si="206"/>
        <v>0</v>
      </c>
      <c r="BA337" s="197">
        <f t="shared" si="240"/>
        <v>7.2596940000000013E-2</v>
      </c>
      <c r="BB337" s="258">
        <f t="shared" si="207"/>
        <v>0.36575210336206115</v>
      </c>
      <c r="BC337" s="197">
        <f t="shared" si="208"/>
        <v>2.2380490766334034E-2</v>
      </c>
      <c r="BD337" s="197">
        <f t="shared" si="241"/>
        <v>4.4760981532668068E-3</v>
      </c>
      <c r="BE337" s="197">
        <f t="shared" si="242"/>
        <v>2.6856588919600841E-2</v>
      </c>
      <c r="BF337" s="197">
        <f t="shared" si="209"/>
        <v>0.20773291256157633</v>
      </c>
      <c r="BG337" s="197">
        <f t="shared" si="210"/>
        <v>5.4608303342508187E-4</v>
      </c>
      <c r="BH337" s="197">
        <f t="shared" si="211"/>
        <v>3.5336687086656722E-2</v>
      </c>
      <c r="BI337" s="197">
        <f t="shared" si="243"/>
        <v>0.44730899017824427</v>
      </c>
      <c r="BJ337" s="197">
        <f t="shared" si="212"/>
        <v>6.769615024661003</v>
      </c>
      <c r="BK337" s="288">
        <f t="shared" si="213"/>
        <v>0.93392401361838984</v>
      </c>
      <c r="BL337" s="197">
        <f t="shared" si="214"/>
        <v>0.37608972359227794</v>
      </c>
      <c r="BM337" s="197">
        <f t="shared" si="215"/>
        <v>7.4353030976985271E-2</v>
      </c>
      <c r="BN337" s="197">
        <f t="shared" si="216"/>
        <v>54.461181858619113</v>
      </c>
      <c r="BO337" s="197">
        <f t="shared" si="244"/>
        <v>0.2082789955950014</v>
      </c>
      <c r="BP337" s="197">
        <f t="shared" si="217"/>
        <v>65.620924669625111</v>
      </c>
      <c r="BQ337" s="197">
        <f t="shared" si="218"/>
        <v>9.9596940000000009E-2</v>
      </c>
      <c r="BR337" s="288">
        <f t="shared" si="219"/>
        <v>0.16008975919012108</v>
      </c>
      <c r="BS337" s="197">
        <f t="shared" si="220"/>
        <v>0.11660930017110901</v>
      </c>
      <c r="BT337" s="197">
        <f t="shared" si="221"/>
        <v>0.36419974881911377</v>
      </c>
      <c r="BU337" s="197">
        <f t="shared" si="222"/>
        <v>0.1713930788771201</v>
      </c>
      <c r="BV337" s="197">
        <f t="shared" si="223"/>
        <v>0.53530306917875781</v>
      </c>
      <c r="BW337" s="194"/>
      <c r="BX337" s="194"/>
      <c r="BY337" s="194"/>
      <c r="BZ337" s="194"/>
      <c r="CA337" s="194"/>
      <c r="CB337" s="194"/>
      <c r="CC337" s="194"/>
      <c r="CD337" s="194"/>
      <c r="CE337" s="194"/>
      <c r="CF337" s="194"/>
      <c r="CG337" s="194"/>
      <c r="CH337" s="194"/>
      <c r="CI337" s="194"/>
      <c r="CJ337" s="194"/>
      <c r="CK337" s="194"/>
      <c r="CL337" s="194"/>
      <c r="CM337" s="194"/>
      <c r="CN337" s="194"/>
      <c r="CO337" s="194"/>
      <c r="CP337" s="194"/>
      <c r="CQ337" s="194"/>
      <c r="CR337" s="194"/>
      <c r="CS337" s="194"/>
      <c r="CT337" s="194"/>
      <c r="CU337" s="194"/>
      <c r="CV337" s="194"/>
      <c r="CW337" s="194"/>
      <c r="CX337" s="194"/>
      <c r="CY337" s="194"/>
      <c r="CZ337" s="194"/>
      <c r="DA337" s="194"/>
      <c r="DB337" s="194"/>
      <c r="DC337" s="194"/>
      <c r="DD337" s="194"/>
      <c r="DE337" s="194"/>
      <c r="DF337" s="194"/>
    </row>
    <row r="338" spans="2:110" s="192" customFormat="1" hidden="1" x14ac:dyDescent="0.35">
      <c r="B338" s="289"/>
      <c r="C338" s="289"/>
      <c r="Q338" s="193"/>
      <c r="R338" s="194">
        <f t="shared" si="224"/>
        <v>18</v>
      </c>
      <c r="S338" s="197">
        <f t="shared" si="190"/>
        <v>0.3888888888888889</v>
      </c>
      <c r="T338" s="194">
        <f t="shared" si="245"/>
        <v>0.69</v>
      </c>
      <c r="U338" s="194">
        <f t="shared" si="246"/>
        <v>1.4999999999999999E-4</v>
      </c>
      <c r="V338" s="197">
        <f t="shared" si="225"/>
        <v>0.3888888888888889</v>
      </c>
      <c r="W338" s="197">
        <f t="shared" si="191"/>
        <v>4.3555555555555561E-3</v>
      </c>
      <c r="X338" s="286">
        <f t="shared" si="192"/>
        <v>1</v>
      </c>
      <c r="Y338" s="286">
        <f t="shared" si="193"/>
        <v>0.17335969315081967</v>
      </c>
      <c r="Z338" s="286">
        <f t="shared" si="194"/>
        <v>0.54964853345132902</v>
      </c>
      <c r="AA338" s="286">
        <f t="shared" si="226"/>
        <v>0.17335969315081967</v>
      </c>
      <c r="AB338" s="197">
        <f t="shared" si="195"/>
        <v>0.36419974881911377</v>
      </c>
      <c r="AC338" s="287">
        <f t="shared" si="196"/>
        <v>4.4451203372005044E-7</v>
      </c>
      <c r="AD338" s="197">
        <f t="shared" si="227"/>
        <v>11.693936048110356</v>
      </c>
      <c r="AE338" s="197">
        <f t="shared" si="228"/>
        <v>35.08180814433107</v>
      </c>
      <c r="AF338" s="197">
        <f t="shared" si="229"/>
        <v>8.5178571428571423E-2</v>
      </c>
      <c r="AG338" s="197">
        <f t="shared" si="230"/>
        <v>0.25553571428571431</v>
      </c>
      <c r="AH338" s="197">
        <f t="shared" si="197"/>
        <v>0.11660930017110901</v>
      </c>
      <c r="AI338" s="197">
        <f t="shared" si="231"/>
        <v>0.11660930017110901</v>
      </c>
      <c r="AJ338" s="218">
        <f t="shared" si="198"/>
        <v>390.00000000000006</v>
      </c>
      <c r="AK338" s="197">
        <f t="shared" si="232"/>
        <v>6.0930617977437734E-2</v>
      </c>
      <c r="AL338" s="197">
        <f t="shared" si="233"/>
        <v>9.6203707235237593E-2</v>
      </c>
      <c r="AM338" s="197">
        <f t="shared" si="234"/>
        <v>4.0790371867740751E-3</v>
      </c>
      <c r="AN338" s="197">
        <f t="shared" si="199"/>
        <v>24.05</v>
      </c>
      <c r="AO338" s="197">
        <f t="shared" si="200"/>
        <v>21.69</v>
      </c>
      <c r="AP338" s="197">
        <f t="shared" si="235"/>
        <v>7.4093290390420161E-2</v>
      </c>
      <c r="AQ338" s="197">
        <f t="shared" si="236"/>
        <v>0.42250439890466829</v>
      </c>
      <c r="AR338" s="197">
        <f t="shared" si="237"/>
        <v>0.30589509873355925</v>
      </c>
      <c r="AS338" s="258">
        <f t="shared" si="238"/>
        <v>0.15228632177729159</v>
      </c>
      <c r="AT338" s="197">
        <f t="shared" si="201"/>
        <v>2.5974058656511614E-4</v>
      </c>
      <c r="AU338" s="194">
        <f t="shared" si="202"/>
        <v>21.19</v>
      </c>
      <c r="AV338" s="197">
        <f t="shared" si="203"/>
        <v>2.7E-2</v>
      </c>
      <c r="AW338" s="197">
        <f t="shared" si="204"/>
        <v>3.4260000000000002E-3</v>
      </c>
      <c r="AX338" s="197">
        <f t="shared" si="239"/>
        <v>6.1668000000000001E-2</v>
      </c>
      <c r="AY338" s="197">
        <f t="shared" si="205"/>
        <v>2.8867476000000005E-3</v>
      </c>
      <c r="AZ338" s="197">
        <f t="shared" si="206"/>
        <v>0</v>
      </c>
      <c r="BA338" s="197">
        <f t="shared" si="240"/>
        <v>7.2596940000000013E-2</v>
      </c>
      <c r="BB338" s="258">
        <f t="shared" si="207"/>
        <v>0.36575210336206115</v>
      </c>
      <c r="BC338" s="197">
        <f t="shared" si="208"/>
        <v>2.2380490766334034E-2</v>
      </c>
      <c r="BD338" s="197">
        <f t="shared" si="241"/>
        <v>4.4760981532668068E-3</v>
      </c>
      <c r="BE338" s="197">
        <f t="shared" si="242"/>
        <v>2.6856588919600841E-2</v>
      </c>
      <c r="BF338" s="197">
        <f t="shared" si="209"/>
        <v>0.20773291256157633</v>
      </c>
      <c r="BG338" s="197">
        <f t="shared" si="210"/>
        <v>5.4608303342508187E-4</v>
      </c>
      <c r="BH338" s="197">
        <f t="shared" si="211"/>
        <v>3.5336687086656722E-2</v>
      </c>
      <c r="BI338" s="197">
        <f t="shared" si="243"/>
        <v>0.44730899017824427</v>
      </c>
      <c r="BJ338" s="197">
        <f t="shared" si="212"/>
        <v>6.769615024661003</v>
      </c>
      <c r="BK338" s="288">
        <f t="shared" si="213"/>
        <v>0.93392401361838984</v>
      </c>
      <c r="BL338" s="197">
        <f t="shared" si="214"/>
        <v>0.37608972359227794</v>
      </c>
      <c r="BM338" s="197">
        <f t="shared" si="215"/>
        <v>7.4353030976985271E-2</v>
      </c>
      <c r="BN338" s="197">
        <f t="shared" si="216"/>
        <v>54.461181858619113</v>
      </c>
      <c r="BO338" s="197">
        <f t="shared" si="244"/>
        <v>0.2082789955950014</v>
      </c>
      <c r="BP338" s="197">
        <f t="shared" si="217"/>
        <v>65.620924669625111</v>
      </c>
      <c r="BQ338" s="197">
        <f t="shared" si="218"/>
        <v>9.9596940000000009E-2</v>
      </c>
      <c r="BR338" s="288">
        <f t="shared" si="219"/>
        <v>0.16008975919012108</v>
      </c>
      <c r="BS338" s="197">
        <f t="shared" si="220"/>
        <v>0.11660930017110901</v>
      </c>
      <c r="BT338" s="197">
        <f t="shared" si="221"/>
        <v>0.36419974881911377</v>
      </c>
      <c r="BU338" s="197">
        <f t="shared" si="222"/>
        <v>0.1713930788771201</v>
      </c>
      <c r="BV338" s="197">
        <f t="shared" si="223"/>
        <v>0.53530306917875781</v>
      </c>
      <c r="BW338" s="194"/>
      <c r="BX338" s="194"/>
      <c r="BY338" s="194"/>
      <c r="BZ338" s="194"/>
      <c r="CA338" s="194"/>
      <c r="CB338" s="194"/>
      <c r="CC338" s="194"/>
      <c r="CD338" s="194"/>
      <c r="CE338" s="194"/>
      <c r="CF338" s="194"/>
      <c r="CG338" s="194"/>
      <c r="CH338" s="194"/>
      <c r="CI338" s="194"/>
      <c r="CJ338" s="194"/>
      <c r="CK338" s="194"/>
      <c r="CL338" s="194"/>
      <c r="CM338" s="194"/>
      <c r="CN338" s="194"/>
      <c r="CO338" s="194"/>
      <c r="CP338" s="194"/>
      <c r="CQ338" s="194"/>
      <c r="CR338" s="194"/>
      <c r="CS338" s="194"/>
      <c r="CT338" s="194"/>
      <c r="CU338" s="194"/>
      <c r="CV338" s="194"/>
      <c r="CW338" s="194"/>
      <c r="CX338" s="194"/>
      <c r="CY338" s="194"/>
      <c r="CZ338" s="194"/>
      <c r="DA338" s="194"/>
      <c r="DB338" s="194"/>
      <c r="DC338" s="194"/>
      <c r="DD338" s="194"/>
      <c r="DE338" s="194"/>
      <c r="DF338" s="194"/>
    </row>
    <row r="339" spans="2:110" s="192" customFormat="1" hidden="1" x14ac:dyDescent="0.35">
      <c r="B339" s="289"/>
      <c r="C339" s="289"/>
      <c r="Q339" s="193"/>
      <c r="R339" s="194">
        <f t="shared" si="224"/>
        <v>18</v>
      </c>
      <c r="S339" s="197">
        <f t="shared" si="190"/>
        <v>0.3888888888888889</v>
      </c>
      <c r="T339" s="194">
        <f t="shared" si="245"/>
        <v>0.69</v>
      </c>
      <c r="U339" s="194">
        <f t="shared" si="246"/>
        <v>1.4999999999999999E-4</v>
      </c>
      <c r="V339" s="197">
        <f t="shared" si="225"/>
        <v>0.3888888888888889</v>
      </c>
      <c r="W339" s="197">
        <f t="shared" si="191"/>
        <v>4.3555555555555561E-3</v>
      </c>
      <c r="X339" s="286">
        <f t="shared" si="192"/>
        <v>1</v>
      </c>
      <c r="Y339" s="286">
        <f t="shared" si="193"/>
        <v>0.17335969315081967</v>
      </c>
      <c r="Z339" s="286">
        <f t="shared" si="194"/>
        <v>0.54964853345132902</v>
      </c>
      <c r="AA339" s="286">
        <f t="shared" si="226"/>
        <v>0.17335969315081967</v>
      </c>
      <c r="AB339" s="197">
        <f t="shared" si="195"/>
        <v>0.36419974881911377</v>
      </c>
      <c r="AC339" s="287">
        <f t="shared" si="196"/>
        <v>4.4451203372005044E-7</v>
      </c>
      <c r="AD339" s="197">
        <f t="shared" si="227"/>
        <v>11.693936048110356</v>
      </c>
      <c r="AE339" s="197">
        <f t="shared" si="228"/>
        <v>35.08180814433107</v>
      </c>
      <c r="AF339" s="197">
        <f t="shared" si="229"/>
        <v>8.5178571428571423E-2</v>
      </c>
      <c r="AG339" s="197">
        <f t="shared" si="230"/>
        <v>0.25553571428571431</v>
      </c>
      <c r="AH339" s="197">
        <f t="shared" si="197"/>
        <v>0.11660930017110901</v>
      </c>
      <c r="AI339" s="197">
        <f t="shared" si="231"/>
        <v>0.11660930017110901</v>
      </c>
      <c r="AJ339" s="218">
        <f t="shared" si="198"/>
        <v>390.00000000000006</v>
      </c>
      <c r="AK339" s="197">
        <f t="shared" si="232"/>
        <v>6.0930617977437734E-2</v>
      </c>
      <c r="AL339" s="197">
        <f t="shared" si="233"/>
        <v>9.6203707235237593E-2</v>
      </c>
      <c r="AM339" s="197">
        <f t="shared" si="234"/>
        <v>4.0790371867740751E-3</v>
      </c>
      <c r="AN339" s="197">
        <f t="shared" si="199"/>
        <v>24.05</v>
      </c>
      <c r="AO339" s="197">
        <f t="shared" si="200"/>
        <v>21.69</v>
      </c>
      <c r="AP339" s="197">
        <f t="shared" si="235"/>
        <v>7.4093290390420161E-2</v>
      </c>
      <c r="AQ339" s="197">
        <f t="shared" si="236"/>
        <v>0.42250439890466829</v>
      </c>
      <c r="AR339" s="197">
        <f t="shared" si="237"/>
        <v>0.30589509873355925</v>
      </c>
      <c r="AS339" s="258">
        <f t="shared" si="238"/>
        <v>0.15228632177729159</v>
      </c>
      <c r="AT339" s="197">
        <f t="shared" si="201"/>
        <v>2.5974058656511614E-4</v>
      </c>
      <c r="AU339" s="194">
        <f t="shared" si="202"/>
        <v>21.19</v>
      </c>
      <c r="AV339" s="197">
        <f t="shared" si="203"/>
        <v>2.7E-2</v>
      </c>
      <c r="AW339" s="197">
        <f t="shared" si="204"/>
        <v>3.4260000000000002E-3</v>
      </c>
      <c r="AX339" s="197">
        <f t="shared" si="239"/>
        <v>6.1668000000000001E-2</v>
      </c>
      <c r="AY339" s="197">
        <f t="shared" si="205"/>
        <v>2.8867476000000005E-3</v>
      </c>
      <c r="AZ339" s="197">
        <f t="shared" si="206"/>
        <v>0</v>
      </c>
      <c r="BA339" s="197">
        <f t="shared" si="240"/>
        <v>7.2596940000000013E-2</v>
      </c>
      <c r="BB339" s="258">
        <f t="shared" si="207"/>
        <v>0.36575210336206115</v>
      </c>
      <c r="BC339" s="197">
        <f t="shared" si="208"/>
        <v>2.2380490766334034E-2</v>
      </c>
      <c r="BD339" s="197">
        <f t="shared" si="241"/>
        <v>4.4760981532668068E-3</v>
      </c>
      <c r="BE339" s="197">
        <f t="shared" si="242"/>
        <v>2.6856588919600841E-2</v>
      </c>
      <c r="BF339" s="197">
        <f t="shared" si="209"/>
        <v>0.20773291256157633</v>
      </c>
      <c r="BG339" s="197">
        <f t="shared" si="210"/>
        <v>5.4608303342508187E-4</v>
      </c>
      <c r="BH339" s="197">
        <f t="shared" si="211"/>
        <v>3.5336687086656722E-2</v>
      </c>
      <c r="BI339" s="197">
        <f t="shared" si="243"/>
        <v>0.44730899017824427</v>
      </c>
      <c r="BJ339" s="197">
        <f t="shared" si="212"/>
        <v>6.769615024661003</v>
      </c>
      <c r="BK339" s="288">
        <f t="shared" si="213"/>
        <v>0.93392401361838984</v>
      </c>
      <c r="BL339" s="197">
        <f t="shared" si="214"/>
        <v>0.37608972359227794</v>
      </c>
      <c r="BM339" s="197">
        <f t="shared" si="215"/>
        <v>7.4353030976985271E-2</v>
      </c>
      <c r="BN339" s="197">
        <f t="shared" si="216"/>
        <v>54.461181858619113</v>
      </c>
      <c r="BO339" s="197">
        <f t="shared" si="244"/>
        <v>0.2082789955950014</v>
      </c>
      <c r="BP339" s="197">
        <f t="shared" si="217"/>
        <v>65.620924669625111</v>
      </c>
      <c r="BQ339" s="197">
        <f t="shared" si="218"/>
        <v>9.9596940000000009E-2</v>
      </c>
      <c r="BR339" s="288">
        <f t="shared" si="219"/>
        <v>0.16008975919012108</v>
      </c>
      <c r="BS339" s="197">
        <f t="shared" si="220"/>
        <v>0.11660930017110901</v>
      </c>
      <c r="BT339" s="197">
        <f t="shared" si="221"/>
        <v>0.36419974881911377</v>
      </c>
      <c r="BU339" s="197">
        <f t="shared" si="222"/>
        <v>0.1713930788771201</v>
      </c>
      <c r="BV339" s="197">
        <f t="shared" si="223"/>
        <v>0.53530306917875781</v>
      </c>
      <c r="BW339" s="194"/>
      <c r="BX339" s="194"/>
      <c r="BY339" s="194"/>
      <c r="BZ339" s="194"/>
      <c r="CA339" s="194"/>
      <c r="CB339" s="194"/>
      <c r="CC339" s="194"/>
      <c r="CD339" s="194"/>
      <c r="CE339" s="194"/>
      <c r="CF339" s="194"/>
      <c r="CG339" s="194"/>
      <c r="CH339" s="194"/>
      <c r="CI339" s="194"/>
      <c r="CJ339" s="194"/>
      <c r="CK339" s="194"/>
      <c r="CL339" s="194"/>
      <c r="CM339" s="194"/>
      <c r="CN339" s="194"/>
      <c r="CO339" s="194"/>
      <c r="CP339" s="194"/>
      <c r="CQ339" s="194"/>
      <c r="CR339" s="194"/>
      <c r="CS339" s="194"/>
      <c r="CT339" s="194"/>
      <c r="CU339" s="194"/>
      <c r="CV339" s="194"/>
      <c r="CW339" s="194"/>
      <c r="CX339" s="194"/>
      <c r="CY339" s="194"/>
      <c r="CZ339" s="194"/>
      <c r="DA339" s="194"/>
      <c r="DB339" s="194"/>
      <c r="DC339" s="194"/>
      <c r="DD339" s="194"/>
      <c r="DE339" s="194"/>
      <c r="DF339" s="194"/>
    </row>
    <row r="340" spans="2:110" s="192" customFormat="1" hidden="1" x14ac:dyDescent="0.35">
      <c r="B340" s="289"/>
      <c r="C340" s="289"/>
      <c r="Q340" s="193"/>
      <c r="R340" s="194">
        <f t="shared" si="224"/>
        <v>18</v>
      </c>
      <c r="S340" s="197">
        <f t="shared" si="190"/>
        <v>0.3888888888888889</v>
      </c>
      <c r="T340" s="194">
        <f t="shared" si="245"/>
        <v>0.69</v>
      </c>
      <c r="U340" s="194">
        <f t="shared" si="246"/>
        <v>1.4999999999999999E-4</v>
      </c>
      <c r="V340" s="197">
        <f t="shared" si="225"/>
        <v>0.3888888888888889</v>
      </c>
      <c r="W340" s="197">
        <f t="shared" si="191"/>
        <v>4.3555555555555561E-3</v>
      </c>
      <c r="X340" s="286">
        <f t="shared" si="192"/>
        <v>1</v>
      </c>
      <c r="Y340" s="286">
        <f t="shared" si="193"/>
        <v>0.17335969315081967</v>
      </c>
      <c r="Z340" s="286">
        <f t="shared" si="194"/>
        <v>0.54964853345132902</v>
      </c>
      <c r="AA340" s="286">
        <f t="shared" si="226"/>
        <v>0.17335969315081967</v>
      </c>
      <c r="AB340" s="197">
        <f t="shared" si="195"/>
        <v>0.36419974881911377</v>
      </c>
      <c r="AC340" s="287">
        <f t="shared" si="196"/>
        <v>4.4451203372005044E-7</v>
      </c>
      <c r="AD340" s="197">
        <f t="shared" si="227"/>
        <v>11.693936048110356</v>
      </c>
      <c r="AE340" s="197">
        <f t="shared" si="228"/>
        <v>35.08180814433107</v>
      </c>
      <c r="AF340" s="197">
        <f t="shared" si="229"/>
        <v>8.5178571428571423E-2</v>
      </c>
      <c r="AG340" s="197">
        <f t="shared" si="230"/>
        <v>0.25553571428571431</v>
      </c>
      <c r="AH340" s="197">
        <f t="shared" si="197"/>
        <v>0.11660930017110901</v>
      </c>
      <c r="AI340" s="197">
        <f t="shared" si="231"/>
        <v>0.11660930017110901</v>
      </c>
      <c r="AJ340" s="218">
        <f t="shared" si="198"/>
        <v>390.00000000000006</v>
      </c>
      <c r="AK340" s="197">
        <f t="shared" si="232"/>
        <v>6.0930617977437734E-2</v>
      </c>
      <c r="AL340" s="197">
        <f t="shared" si="233"/>
        <v>9.6203707235237593E-2</v>
      </c>
      <c r="AM340" s="197">
        <f t="shared" si="234"/>
        <v>4.0790371867740751E-3</v>
      </c>
      <c r="AN340" s="197">
        <f t="shared" si="199"/>
        <v>24.05</v>
      </c>
      <c r="AO340" s="197">
        <f t="shared" si="200"/>
        <v>21.69</v>
      </c>
      <c r="AP340" s="197">
        <f t="shared" si="235"/>
        <v>7.4093290390420161E-2</v>
      </c>
      <c r="AQ340" s="197">
        <f t="shared" si="236"/>
        <v>0.42250439890466829</v>
      </c>
      <c r="AR340" s="197">
        <f t="shared" si="237"/>
        <v>0.30589509873355925</v>
      </c>
      <c r="AS340" s="258">
        <f t="shared" si="238"/>
        <v>0.15228632177729159</v>
      </c>
      <c r="AT340" s="197">
        <f t="shared" si="201"/>
        <v>2.5974058656511614E-4</v>
      </c>
      <c r="AU340" s="194">
        <f t="shared" si="202"/>
        <v>21.19</v>
      </c>
      <c r="AV340" s="197">
        <f t="shared" si="203"/>
        <v>2.7E-2</v>
      </c>
      <c r="AW340" s="197">
        <f t="shared" si="204"/>
        <v>3.4260000000000002E-3</v>
      </c>
      <c r="AX340" s="197">
        <f t="shared" si="239"/>
        <v>6.1668000000000001E-2</v>
      </c>
      <c r="AY340" s="197">
        <f t="shared" si="205"/>
        <v>2.8867476000000005E-3</v>
      </c>
      <c r="AZ340" s="197">
        <f t="shared" si="206"/>
        <v>0</v>
      </c>
      <c r="BA340" s="197">
        <f t="shared" si="240"/>
        <v>7.2596940000000013E-2</v>
      </c>
      <c r="BB340" s="258">
        <f t="shared" si="207"/>
        <v>0.36575210336206115</v>
      </c>
      <c r="BC340" s="197">
        <f t="shared" si="208"/>
        <v>2.2380490766334034E-2</v>
      </c>
      <c r="BD340" s="197">
        <f t="shared" si="241"/>
        <v>4.4760981532668068E-3</v>
      </c>
      <c r="BE340" s="197">
        <f t="shared" si="242"/>
        <v>2.6856588919600841E-2</v>
      </c>
      <c r="BF340" s="197">
        <f t="shared" si="209"/>
        <v>0.20773291256157633</v>
      </c>
      <c r="BG340" s="197">
        <f t="shared" si="210"/>
        <v>5.4608303342508187E-4</v>
      </c>
      <c r="BH340" s="197">
        <f t="shared" si="211"/>
        <v>3.5336687086656722E-2</v>
      </c>
      <c r="BI340" s="197">
        <f t="shared" si="243"/>
        <v>0.44730899017824427</v>
      </c>
      <c r="BJ340" s="197">
        <f t="shared" si="212"/>
        <v>6.769615024661003</v>
      </c>
      <c r="BK340" s="288">
        <f t="shared" si="213"/>
        <v>0.93392401361838984</v>
      </c>
      <c r="BL340" s="197">
        <f t="shared" si="214"/>
        <v>0.37608972359227794</v>
      </c>
      <c r="BM340" s="197">
        <f t="shared" si="215"/>
        <v>7.4353030976985271E-2</v>
      </c>
      <c r="BN340" s="197">
        <f t="shared" si="216"/>
        <v>54.461181858619113</v>
      </c>
      <c r="BO340" s="197">
        <f t="shared" si="244"/>
        <v>0.2082789955950014</v>
      </c>
      <c r="BP340" s="197">
        <f t="shared" si="217"/>
        <v>65.620924669625111</v>
      </c>
      <c r="BQ340" s="197">
        <f t="shared" si="218"/>
        <v>9.9596940000000009E-2</v>
      </c>
      <c r="BR340" s="288">
        <f t="shared" si="219"/>
        <v>0.16008975919012108</v>
      </c>
      <c r="BS340" s="197">
        <f t="shared" si="220"/>
        <v>0.11660930017110901</v>
      </c>
      <c r="BT340" s="197">
        <f t="shared" si="221"/>
        <v>0.36419974881911377</v>
      </c>
      <c r="BU340" s="197">
        <f t="shared" si="222"/>
        <v>0.1713930788771201</v>
      </c>
      <c r="BV340" s="197">
        <f t="shared" si="223"/>
        <v>0.53530306917875781</v>
      </c>
      <c r="BW340" s="194"/>
      <c r="BX340" s="194"/>
      <c r="BY340" s="194"/>
      <c r="BZ340" s="194"/>
      <c r="CA340" s="194"/>
      <c r="CB340" s="194"/>
      <c r="CC340" s="194"/>
      <c r="CD340" s="194"/>
      <c r="CE340" s="194"/>
      <c r="CF340" s="194"/>
      <c r="CG340" s="194"/>
      <c r="CH340" s="194"/>
      <c r="CI340" s="194"/>
      <c r="CJ340" s="194"/>
      <c r="CK340" s="194"/>
      <c r="CL340" s="194"/>
      <c r="CM340" s="194"/>
      <c r="CN340" s="194"/>
      <c r="CO340" s="194"/>
      <c r="CP340" s="194"/>
      <c r="CQ340" s="194"/>
      <c r="CR340" s="194"/>
      <c r="CS340" s="194"/>
      <c r="CT340" s="194"/>
      <c r="CU340" s="194"/>
      <c r="CV340" s="194"/>
      <c r="CW340" s="194"/>
      <c r="CX340" s="194"/>
      <c r="CY340" s="194"/>
      <c r="CZ340" s="194"/>
      <c r="DA340" s="194"/>
      <c r="DB340" s="194"/>
      <c r="DC340" s="194"/>
      <c r="DD340" s="194"/>
      <c r="DE340" s="194"/>
      <c r="DF340" s="194"/>
    </row>
    <row r="341" spans="2:110" s="192" customFormat="1" hidden="1" x14ac:dyDescent="0.35">
      <c r="B341" s="289"/>
      <c r="C341" s="289"/>
      <c r="Q341" s="193"/>
      <c r="R341" s="194">
        <f t="shared" si="224"/>
        <v>18</v>
      </c>
      <c r="S341" s="197">
        <f t="shared" si="190"/>
        <v>0.3888888888888889</v>
      </c>
      <c r="T341" s="194">
        <f t="shared" si="245"/>
        <v>0.69</v>
      </c>
      <c r="U341" s="194">
        <f t="shared" si="246"/>
        <v>1.4999999999999999E-4</v>
      </c>
      <c r="V341" s="197">
        <f t="shared" si="225"/>
        <v>0.3888888888888889</v>
      </c>
      <c r="W341" s="197">
        <f t="shared" si="191"/>
        <v>4.3555555555555561E-3</v>
      </c>
      <c r="X341" s="286">
        <f t="shared" si="192"/>
        <v>1</v>
      </c>
      <c r="Y341" s="286">
        <f t="shared" si="193"/>
        <v>0.17335969315081967</v>
      </c>
      <c r="Z341" s="286">
        <f t="shared" si="194"/>
        <v>0.54964853345132902</v>
      </c>
      <c r="AA341" s="286">
        <f t="shared" si="226"/>
        <v>0.17335969315081967</v>
      </c>
      <c r="AB341" s="197">
        <f t="shared" si="195"/>
        <v>0.36419974881911377</v>
      </c>
      <c r="AC341" s="287">
        <f t="shared" si="196"/>
        <v>4.4451203372005044E-7</v>
      </c>
      <c r="AD341" s="197">
        <f t="shared" si="227"/>
        <v>11.693936048110356</v>
      </c>
      <c r="AE341" s="197">
        <f t="shared" si="228"/>
        <v>35.08180814433107</v>
      </c>
      <c r="AF341" s="197">
        <f t="shared" si="229"/>
        <v>8.5178571428571423E-2</v>
      </c>
      <c r="AG341" s="197">
        <f t="shared" si="230"/>
        <v>0.25553571428571431</v>
      </c>
      <c r="AH341" s="197">
        <f t="shared" si="197"/>
        <v>0.11660930017110901</v>
      </c>
      <c r="AI341" s="197">
        <f t="shared" si="231"/>
        <v>0.11660930017110901</v>
      </c>
      <c r="AJ341" s="218">
        <f t="shared" si="198"/>
        <v>390.00000000000006</v>
      </c>
      <c r="AK341" s="197">
        <f t="shared" si="232"/>
        <v>6.0930617977437734E-2</v>
      </c>
      <c r="AL341" s="197">
        <f t="shared" si="233"/>
        <v>9.6203707235237593E-2</v>
      </c>
      <c r="AM341" s="197">
        <f t="shared" si="234"/>
        <v>4.0790371867740751E-3</v>
      </c>
      <c r="AN341" s="197">
        <f t="shared" si="199"/>
        <v>24.05</v>
      </c>
      <c r="AO341" s="197">
        <f t="shared" si="200"/>
        <v>21.69</v>
      </c>
      <c r="AP341" s="197">
        <f t="shared" si="235"/>
        <v>7.4093290390420161E-2</v>
      </c>
      <c r="AQ341" s="197">
        <f t="shared" si="236"/>
        <v>0.42250439890466829</v>
      </c>
      <c r="AR341" s="197">
        <f t="shared" si="237"/>
        <v>0.30589509873355925</v>
      </c>
      <c r="AS341" s="258">
        <f t="shared" si="238"/>
        <v>0.15228632177729159</v>
      </c>
      <c r="AT341" s="197">
        <f t="shared" si="201"/>
        <v>2.5974058656511614E-4</v>
      </c>
      <c r="AU341" s="194">
        <f t="shared" si="202"/>
        <v>21.19</v>
      </c>
      <c r="AV341" s="197">
        <f t="shared" si="203"/>
        <v>2.7E-2</v>
      </c>
      <c r="AW341" s="197">
        <f t="shared" si="204"/>
        <v>3.4260000000000002E-3</v>
      </c>
      <c r="AX341" s="197">
        <f t="shared" si="239"/>
        <v>6.1668000000000001E-2</v>
      </c>
      <c r="AY341" s="197">
        <f t="shared" si="205"/>
        <v>2.8867476000000005E-3</v>
      </c>
      <c r="AZ341" s="197">
        <f t="shared" si="206"/>
        <v>0</v>
      </c>
      <c r="BA341" s="197">
        <f t="shared" si="240"/>
        <v>7.2596940000000013E-2</v>
      </c>
      <c r="BB341" s="258">
        <f t="shared" si="207"/>
        <v>0.36575210336206115</v>
      </c>
      <c r="BC341" s="197">
        <f t="shared" si="208"/>
        <v>2.2380490766334034E-2</v>
      </c>
      <c r="BD341" s="197">
        <f t="shared" si="241"/>
        <v>4.4760981532668068E-3</v>
      </c>
      <c r="BE341" s="197">
        <f t="shared" si="242"/>
        <v>2.6856588919600841E-2</v>
      </c>
      <c r="BF341" s="197">
        <f t="shared" si="209"/>
        <v>0.20773291256157633</v>
      </c>
      <c r="BG341" s="197">
        <f t="shared" si="210"/>
        <v>5.4608303342508187E-4</v>
      </c>
      <c r="BH341" s="197">
        <f t="shared" si="211"/>
        <v>3.5336687086656722E-2</v>
      </c>
      <c r="BI341" s="197">
        <f t="shared" si="243"/>
        <v>0.44730899017824427</v>
      </c>
      <c r="BJ341" s="197">
        <f t="shared" si="212"/>
        <v>6.769615024661003</v>
      </c>
      <c r="BK341" s="288">
        <f t="shared" si="213"/>
        <v>0.93392401361838984</v>
      </c>
      <c r="BL341" s="197">
        <f t="shared" si="214"/>
        <v>0.37608972359227794</v>
      </c>
      <c r="BM341" s="197">
        <f t="shared" si="215"/>
        <v>7.4353030976985271E-2</v>
      </c>
      <c r="BN341" s="197">
        <f t="shared" si="216"/>
        <v>54.461181858619113</v>
      </c>
      <c r="BO341" s="197">
        <f t="shared" si="244"/>
        <v>0.2082789955950014</v>
      </c>
      <c r="BP341" s="197">
        <f t="shared" si="217"/>
        <v>65.620924669625111</v>
      </c>
      <c r="BQ341" s="197">
        <f t="shared" si="218"/>
        <v>9.9596940000000009E-2</v>
      </c>
      <c r="BR341" s="288">
        <f t="shared" si="219"/>
        <v>0.16008975919012108</v>
      </c>
      <c r="BS341" s="197">
        <f t="shared" si="220"/>
        <v>0.11660930017110901</v>
      </c>
      <c r="BT341" s="197">
        <f t="shared" si="221"/>
        <v>0.36419974881911377</v>
      </c>
      <c r="BU341" s="197">
        <f t="shared" si="222"/>
        <v>0.1713930788771201</v>
      </c>
      <c r="BV341" s="197">
        <f t="shared" si="223"/>
        <v>0.53530306917875781</v>
      </c>
      <c r="BW341" s="194"/>
      <c r="BX341" s="194"/>
      <c r="BY341" s="194"/>
      <c r="BZ341" s="194"/>
      <c r="CA341" s="194"/>
      <c r="CB341" s="194"/>
      <c r="CC341" s="194"/>
      <c r="CD341" s="194"/>
      <c r="CE341" s="194"/>
      <c r="CF341" s="194"/>
      <c r="CG341" s="194"/>
      <c r="CH341" s="194"/>
      <c r="CI341" s="194"/>
      <c r="CJ341" s="194"/>
      <c r="CK341" s="194"/>
      <c r="CL341" s="194"/>
      <c r="CM341" s="194"/>
      <c r="CN341" s="194"/>
      <c r="CO341" s="194"/>
      <c r="CP341" s="194"/>
      <c r="CQ341" s="194"/>
      <c r="CR341" s="194"/>
      <c r="CS341" s="194"/>
      <c r="CT341" s="194"/>
      <c r="CU341" s="194"/>
      <c r="CV341" s="194"/>
      <c r="CW341" s="194"/>
      <c r="CX341" s="194"/>
      <c r="CY341" s="194"/>
      <c r="CZ341" s="194"/>
      <c r="DA341" s="194"/>
      <c r="DB341" s="194"/>
      <c r="DC341" s="194"/>
      <c r="DD341" s="194"/>
      <c r="DE341" s="194"/>
      <c r="DF341" s="194"/>
    </row>
    <row r="342" spans="2:110" s="192" customFormat="1" hidden="1" x14ac:dyDescent="0.35">
      <c r="B342" s="289"/>
      <c r="C342" s="289"/>
      <c r="Q342" s="193"/>
      <c r="R342" s="194">
        <f t="shared" si="224"/>
        <v>18</v>
      </c>
      <c r="S342" s="197">
        <f t="shared" si="190"/>
        <v>0.3888888888888889</v>
      </c>
      <c r="T342" s="194">
        <f t="shared" si="245"/>
        <v>0.69</v>
      </c>
      <c r="U342" s="194">
        <f t="shared" si="246"/>
        <v>1.4999999999999999E-4</v>
      </c>
      <c r="V342" s="197">
        <f t="shared" si="225"/>
        <v>0.3888888888888889</v>
      </c>
      <c r="W342" s="197">
        <f t="shared" si="191"/>
        <v>4.3555555555555561E-3</v>
      </c>
      <c r="X342" s="286">
        <f t="shared" si="192"/>
        <v>1</v>
      </c>
      <c r="Y342" s="286">
        <f t="shared" si="193"/>
        <v>0.17335969315081967</v>
      </c>
      <c r="Z342" s="286">
        <f t="shared" si="194"/>
        <v>0.54964853345132902</v>
      </c>
      <c r="AA342" s="286">
        <f t="shared" si="226"/>
        <v>0.17335969315081967</v>
      </c>
      <c r="AB342" s="197">
        <f t="shared" si="195"/>
        <v>0.36419974881911377</v>
      </c>
      <c r="AC342" s="287">
        <f t="shared" si="196"/>
        <v>4.4451203372005044E-7</v>
      </c>
      <c r="AD342" s="197">
        <f t="shared" si="227"/>
        <v>11.693936048110356</v>
      </c>
      <c r="AE342" s="197">
        <f t="shared" si="228"/>
        <v>35.08180814433107</v>
      </c>
      <c r="AF342" s="197">
        <f t="shared" si="229"/>
        <v>8.5178571428571423E-2</v>
      </c>
      <c r="AG342" s="197">
        <f t="shared" si="230"/>
        <v>0.25553571428571431</v>
      </c>
      <c r="AH342" s="197">
        <f t="shared" si="197"/>
        <v>0.11660930017110901</v>
      </c>
      <c r="AI342" s="197">
        <f t="shared" si="231"/>
        <v>0.11660930017110901</v>
      </c>
      <c r="AJ342" s="218">
        <f t="shared" si="198"/>
        <v>390.00000000000006</v>
      </c>
      <c r="AK342" s="197">
        <f t="shared" si="232"/>
        <v>6.0930617977437734E-2</v>
      </c>
      <c r="AL342" s="197">
        <f t="shared" si="233"/>
        <v>9.6203707235237593E-2</v>
      </c>
      <c r="AM342" s="197">
        <f t="shared" si="234"/>
        <v>4.0790371867740751E-3</v>
      </c>
      <c r="AN342" s="197">
        <f t="shared" si="199"/>
        <v>24.05</v>
      </c>
      <c r="AO342" s="197">
        <f t="shared" si="200"/>
        <v>21.69</v>
      </c>
      <c r="AP342" s="197">
        <f t="shared" si="235"/>
        <v>7.4093290390420161E-2</v>
      </c>
      <c r="AQ342" s="197">
        <f t="shared" si="236"/>
        <v>0.42250439890466829</v>
      </c>
      <c r="AR342" s="197">
        <f t="shared" si="237"/>
        <v>0.30589509873355925</v>
      </c>
      <c r="AS342" s="258">
        <f t="shared" si="238"/>
        <v>0.15228632177729159</v>
      </c>
      <c r="AT342" s="197">
        <f t="shared" si="201"/>
        <v>2.5974058656511614E-4</v>
      </c>
      <c r="AU342" s="194">
        <f t="shared" si="202"/>
        <v>21.19</v>
      </c>
      <c r="AV342" s="197">
        <f t="shared" si="203"/>
        <v>2.7E-2</v>
      </c>
      <c r="AW342" s="197">
        <f t="shared" si="204"/>
        <v>3.4260000000000002E-3</v>
      </c>
      <c r="AX342" s="197">
        <f t="shared" si="239"/>
        <v>6.1668000000000001E-2</v>
      </c>
      <c r="AY342" s="197">
        <f t="shared" si="205"/>
        <v>2.8867476000000005E-3</v>
      </c>
      <c r="AZ342" s="197">
        <f t="shared" si="206"/>
        <v>0</v>
      </c>
      <c r="BA342" s="197">
        <f t="shared" si="240"/>
        <v>7.2596940000000013E-2</v>
      </c>
      <c r="BB342" s="258">
        <f t="shared" si="207"/>
        <v>0.36575210336206115</v>
      </c>
      <c r="BC342" s="197">
        <f t="shared" si="208"/>
        <v>2.2380490766334034E-2</v>
      </c>
      <c r="BD342" s="197">
        <f t="shared" si="241"/>
        <v>4.4760981532668068E-3</v>
      </c>
      <c r="BE342" s="197">
        <f t="shared" si="242"/>
        <v>2.6856588919600841E-2</v>
      </c>
      <c r="BF342" s="197">
        <f t="shared" si="209"/>
        <v>0.20773291256157633</v>
      </c>
      <c r="BG342" s="197">
        <f t="shared" si="210"/>
        <v>5.4608303342508187E-4</v>
      </c>
      <c r="BH342" s="197">
        <f t="shared" si="211"/>
        <v>3.5336687086656722E-2</v>
      </c>
      <c r="BI342" s="197">
        <f t="shared" si="243"/>
        <v>0.44730899017824427</v>
      </c>
      <c r="BJ342" s="197">
        <f t="shared" si="212"/>
        <v>6.769615024661003</v>
      </c>
      <c r="BK342" s="288">
        <f t="shared" si="213"/>
        <v>0.93392401361838984</v>
      </c>
      <c r="BL342" s="197">
        <f t="shared" si="214"/>
        <v>0.37608972359227794</v>
      </c>
      <c r="BM342" s="197">
        <f t="shared" si="215"/>
        <v>7.4353030976985271E-2</v>
      </c>
      <c r="BN342" s="197">
        <f t="shared" si="216"/>
        <v>54.461181858619113</v>
      </c>
      <c r="BO342" s="197">
        <f t="shared" si="244"/>
        <v>0.2082789955950014</v>
      </c>
      <c r="BP342" s="197">
        <f t="shared" si="217"/>
        <v>65.620924669625111</v>
      </c>
      <c r="BQ342" s="197">
        <f t="shared" si="218"/>
        <v>9.9596940000000009E-2</v>
      </c>
      <c r="BR342" s="288">
        <f t="shared" si="219"/>
        <v>0.16008975919012108</v>
      </c>
      <c r="BS342" s="197">
        <f t="shared" si="220"/>
        <v>0.11660930017110901</v>
      </c>
      <c r="BT342" s="197">
        <f t="shared" si="221"/>
        <v>0.36419974881911377</v>
      </c>
      <c r="BU342" s="197">
        <f t="shared" si="222"/>
        <v>0.1713930788771201</v>
      </c>
      <c r="BV342" s="197">
        <f t="shared" si="223"/>
        <v>0.53530306917875781</v>
      </c>
      <c r="BW342" s="194"/>
      <c r="BX342" s="194"/>
      <c r="BY342" s="194"/>
      <c r="BZ342" s="194"/>
      <c r="CA342" s="194"/>
      <c r="CB342" s="194"/>
      <c r="CC342" s="194"/>
      <c r="CD342" s="194"/>
      <c r="CE342" s="194"/>
      <c r="CF342" s="194"/>
      <c r="CG342" s="194"/>
      <c r="CH342" s="194"/>
      <c r="CI342" s="194"/>
      <c r="CJ342" s="194"/>
      <c r="CK342" s="194"/>
      <c r="CL342" s="194"/>
      <c r="CM342" s="194"/>
      <c r="CN342" s="194"/>
      <c r="CO342" s="194"/>
      <c r="CP342" s="194"/>
      <c r="CQ342" s="194"/>
      <c r="CR342" s="194"/>
      <c r="CS342" s="194"/>
      <c r="CT342" s="194"/>
      <c r="CU342" s="194"/>
      <c r="CV342" s="194"/>
      <c r="CW342" s="194"/>
      <c r="CX342" s="194"/>
      <c r="CY342" s="194"/>
      <c r="CZ342" s="194"/>
      <c r="DA342" s="194"/>
      <c r="DB342" s="194"/>
      <c r="DC342" s="194"/>
      <c r="DD342" s="194"/>
      <c r="DE342" s="194"/>
      <c r="DF342" s="194"/>
    </row>
    <row r="343" spans="2:110" s="192" customFormat="1" hidden="1" x14ac:dyDescent="0.35">
      <c r="B343" s="289"/>
      <c r="C343" s="289"/>
      <c r="Q343" s="193"/>
      <c r="R343" s="194">
        <f t="shared" si="224"/>
        <v>18</v>
      </c>
      <c r="S343" s="197">
        <f t="shared" si="190"/>
        <v>0.3888888888888889</v>
      </c>
      <c r="T343" s="194">
        <f t="shared" si="245"/>
        <v>0.69</v>
      </c>
      <c r="U343" s="194">
        <f t="shared" si="246"/>
        <v>1.4999999999999999E-4</v>
      </c>
      <c r="V343" s="197">
        <f t="shared" si="225"/>
        <v>0.3888888888888889</v>
      </c>
      <c r="W343" s="197">
        <f t="shared" si="191"/>
        <v>4.3555555555555561E-3</v>
      </c>
      <c r="X343" s="286">
        <f t="shared" si="192"/>
        <v>1</v>
      </c>
      <c r="Y343" s="286">
        <f t="shared" si="193"/>
        <v>0.17335969315081967</v>
      </c>
      <c r="Z343" s="286">
        <f t="shared" si="194"/>
        <v>0.54964853345132902</v>
      </c>
      <c r="AA343" s="286">
        <f t="shared" si="226"/>
        <v>0.17335969315081967</v>
      </c>
      <c r="AB343" s="197">
        <f t="shared" si="195"/>
        <v>0.36419974881911377</v>
      </c>
      <c r="AC343" s="287">
        <f t="shared" si="196"/>
        <v>4.4451203372005044E-7</v>
      </c>
      <c r="AD343" s="197">
        <f t="shared" si="227"/>
        <v>11.693936048110356</v>
      </c>
      <c r="AE343" s="197">
        <f t="shared" si="228"/>
        <v>35.08180814433107</v>
      </c>
      <c r="AF343" s="197">
        <f t="shared" si="229"/>
        <v>8.5178571428571423E-2</v>
      </c>
      <c r="AG343" s="197">
        <f t="shared" si="230"/>
        <v>0.25553571428571431</v>
      </c>
      <c r="AH343" s="197">
        <f t="shared" si="197"/>
        <v>0.11660930017110901</v>
      </c>
      <c r="AI343" s="197">
        <f t="shared" si="231"/>
        <v>0.11660930017110901</v>
      </c>
      <c r="AJ343" s="218">
        <f t="shared" si="198"/>
        <v>390.00000000000006</v>
      </c>
      <c r="AK343" s="197">
        <f t="shared" si="232"/>
        <v>6.0930617977437734E-2</v>
      </c>
      <c r="AL343" s="197">
        <f t="shared" si="233"/>
        <v>9.6203707235237593E-2</v>
      </c>
      <c r="AM343" s="197">
        <f t="shared" si="234"/>
        <v>4.0790371867740751E-3</v>
      </c>
      <c r="AN343" s="197">
        <f t="shared" si="199"/>
        <v>24.05</v>
      </c>
      <c r="AO343" s="197">
        <f t="shared" si="200"/>
        <v>21.69</v>
      </c>
      <c r="AP343" s="197">
        <f t="shared" si="235"/>
        <v>7.4093290390420161E-2</v>
      </c>
      <c r="AQ343" s="197">
        <f t="shared" si="236"/>
        <v>0.42250439890466829</v>
      </c>
      <c r="AR343" s="197">
        <f t="shared" si="237"/>
        <v>0.30589509873355925</v>
      </c>
      <c r="AS343" s="258">
        <f t="shared" si="238"/>
        <v>0.15228632177729159</v>
      </c>
      <c r="AT343" s="197">
        <f t="shared" si="201"/>
        <v>2.5974058656511614E-4</v>
      </c>
      <c r="AU343" s="194">
        <f t="shared" si="202"/>
        <v>21.19</v>
      </c>
      <c r="AV343" s="197">
        <f t="shared" si="203"/>
        <v>2.7E-2</v>
      </c>
      <c r="AW343" s="197">
        <f t="shared" si="204"/>
        <v>3.4260000000000002E-3</v>
      </c>
      <c r="AX343" s="197">
        <f t="shared" si="239"/>
        <v>6.1668000000000001E-2</v>
      </c>
      <c r="AY343" s="197">
        <f t="shared" si="205"/>
        <v>2.8867476000000005E-3</v>
      </c>
      <c r="AZ343" s="197">
        <f t="shared" si="206"/>
        <v>0</v>
      </c>
      <c r="BA343" s="197">
        <f t="shared" si="240"/>
        <v>7.2596940000000013E-2</v>
      </c>
      <c r="BB343" s="258">
        <f t="shared" si="207"/>
        <v>0.36575210336206115</v>
      </c>
      <c r="BC343" s="197">
        <f t="shared" si="208"/>
        <v>2.2380490766334034E-2</v>
      </c>
      <c r="BD343" s="197">
        <f t="shared" si="241"/>
        <v>4.4760981532668068E-3</v>
      </c>
      <c r="BE343" s="197">
        <f t="shared" si="242"/>
        <v>2.6856588919600841E-2</v>
      </c>
      <c r="BF343" s="197">
        <f t="shared" si="209"/>
        <v>0.20773291256157633</v>
      </c>
      <c r="BG343" s="197">
        <f t="shared" si="210"/>
        <v>5.4608303342508187E-4</v>
      </c>
      <c r="BH343" s="197">
        <f t="shared" si="211"/>
        <v>3.5336687086656722E-2</v>
      </c>
      <c r="BI343" s="197">
        <f t="shared" si="243"/>
        <v>0.44730899017824427</v>
      </c>
      <c r="BJ343" s="197">
        <f t="shared" si="212"/>
        <v>6.769615024661003</v>
      </c>
      <c r="BK343" s="288">
        <f t="shared" si="213"/>
        <v>0.93392401361838984</v>
      </c>
      <c r="BL343" s="197">
        <f t="shared" si="214"/>
        <v>0.37608972359227794</v>
      </c>
      <c r="BM343" s="197">
        <f t="shared" si="215"/>
        <v>7.4353030976985271E-2</v>
      </c>
      <c r="BN343" s="197">
        <f t="shared" si="216"/>
        <v>54.461181858619113</v>
      </c>
      <c r="BO343" s="197">
        <f t="shared" si="244"/>
        <v>0.2082789955950014</v>
      </c>
      <c r="BP343" s="197">
        <f t="shared" si="217"/>
        <v>65.620924669625111</v>
      </c>
      <c r="BQ343" s="197">
        <f t="shared" si="218"/>
        <v>9.9596940000000009E-2</v>
      </c>
      <c r="BR343" s="288">
        <f t="shared" si="219"/>
        <v>0.16008975919012108</v>
      </c>
      <c r="BS343" s="197">
        <f t="shared" si="220"/>
        <v>0.11660930017110901</v>
      </c>
      <c r="BT343" s="197">
        <f t="shared" si="221"/>
        <v>0.36419974881911377</v>
      </c>
      <c r="BU343" s="197">
        <f t="shared" si="222"/>
        <v>0.1713930788771201</v>
      </c>
      <c r="BV343" s="197">
        <f t="shared" si="223"/>
        <v>0.53530306917875781</v>
      </c>
      <c r="BW343" s="194"/>
      <c r="BX343" s="194"/>
      <c r="BY343" s="194"/>
      <c r="BZ343" s="194"/>
      <c r="CA343" s="194"/>
      <c r="CB343" s="194"/>
      <c r="CC343" s="194"/>
      <c r="CD343" s="194"/>
      <c r="CE343" s="194"/>
      <c r="CF343" s="194"/>
      <c r="CG343" s="194"/>
      <c r="CH343" s="194"/>
      <c r="CI343" s="194"/>
      <c r="CJ343" s="194"/>
      <c r="CK343" s="194"/>
      <c r="CL343" s="194"/>
      <c r="CM343" s="194"/>
      <c r="CN343" s="194"/>
      <c r="CO343" s="194"/>
      <c r="CP343" s="194"/>
      <c r="CQ343" s="194"/>
      <c r="CR343" s="194"/>
      <c r="CS343" s="194"/>
      <c r="CT343" s="194"/>
      <c r="CU343" s="194"/>
      <c r="CV343" s="194"/>
      <c r="CW343" s="194"/>
      <c r="CX343" s="194"/>
      <c r="CY343" s="194"/>
      <c r="CZ343" s="194"/>
      <c r="DA343" s="194"/>
      <c r="DB343" s="194"/>
      <c r="DC343" s="194"/>
      <c r="DD343" s="194"/>
      <c r="DE343" s="194"/>
      <c r="DF343" s="194"/>
    </row>
    <row r="344" spans="2:110" s="192" customFormat="1" hidden="1" x14ac:dyDescent="0.35">
      <c r="B344" s="289"/>
      <c r="C344" s="289"/>
      <c r="Q344" s="193"/>
      <c r="R344" s="194">
        <f t="shared" si="224"/>
        <v>18</v>
      </c>
      <c r="S344" s="197">
        <f t="shared" si="190"/>
        <v>0.3888888888888889</v>
      </c>
      <c r="T344" s="194">
        <f t="shared" si="245"/>
        <v>0.69</v>
      </c>
      <c r="U344" s="194">
        <f t="shared" si="246"/>
        <v>1.4999999999999999E-4</v>
      </c>
      <c r="V344" s="197">
        <f t="shared" si="225"/>
        <v>0.3888888888888889</v>
      </c>
      <c r="W344" s="197">
        <f t="shared" si="191"/>
        <v>4.3555555555555561E-3</v>
      </c>
      <c r="X344" s="286">
        <f t="shared" si="192"/>
        <v>1</v>
      </c>
      <c r="Y344" s="286">
        <f t="shared" si="193"/>
        <v>0.17335969315081967</v>
      </c>
      <c r="Z344" s="286">
        <f t="shared" si="194"/>
        <v>0.54964853345132902</v>
      </c>
      <c r="AA344" s="286">
        <f t="shared" si="226"/>
        <v>0.17335969315081967</v>
      </c>
      <c r="AB344" s="197">
        <f t="shared" si="195"/>
        <v>0.36419974881911377</v>
      </c>
      <c r="AC344" s="287">
        <f t="shared" si="196"/>
        <v>4.4451203372005044E-7</v>
      </c>
      <c r="AD344" s="197">
        <f t="shared" si="227"/>
        <v>11.693936048110356</v>
      </c>
      <c r="AE344" s="197">
        <f t="shared" si="228"/>
        <v>35.08180814433107</v>
      </c>
      <c r="AF344" s="197">
        <f t="shared" si="229"/>
        <v>8.5178571428571423E-2</v>
      </c>
      <c r="AG344" s="197">
        <f t="shared" si="230"/>
        <v>0.25553571428571431</v>
      </c>
      <c r="AH344" s="197">
        <f t="shared" si="197"/>
        <v>0.11660930017110901</v>
      </c>
      <c r="AI344" s="197">
        <f t="shared" si="231"/>
        <v>0.11660930017110901</v>
      </c>
      <c r="AJ344" s="218">
        <f t="shared" si="198"/>
        <v>390.00000000000006</v>
      </c>
      <c r="AK344" s="197">
        <f t="shared" si="232"/>
        <v>6.0930617977437734E-2</v>
      </c>
      <c r="AL344" s="197">
        <f t="shared" si="233"/>
        <v>9.6203707235237593E-2</v>
      </c>
      <c r="AM344" s="197">
        <f t="shared" si="234"/>
        <v>4.0790371867740751E-3</v>
      </c>
      <c r="AN344" s="197">
        <f t="shared" si="199"/>
        <v>24.05</v>
      </c>
      <c r="AO344" s="197">
        <f t="shared" si="200"/>
        <v>21.69</v>
      </c>
      <c r="AP344" s="197">
        <f t="shared" si="235"/>
        <v>7.4093290390420161E-2</v>
      </c>
      <c r="AQ344" s="197">
        <f t="shared" si="236"/>
        <v>0.42250439890466829</v>
      </c>
      <c r="AR344" s="197">
        <f t="shared" si="237"/>
        <v>0.30589509873355925</v>
      </c>
      <c r="AS344" s="258">
        <f t="shared" si="238"/>
        <v>0.15228632177729159</v>
      </c>
      <c r="AT344" s="197">
        <f t="shared" si="201"/>
        <v>2.5974058656511614E-4</v>
      </c>
      <c r="AU344" s="194">
        <f t="shared" si="202"/>
        <v>21.19</v>
      </c>
      <c r="AV344" s="197">
        <f t="shared" si="203"/>
        <v>2.7E-2</v>
      </c>
      <c r="AW344" s="197">
        <f t="shared" si="204"/>
        <v>3.4260000000000002E-3</v>
      </c>
      <c r="AX344" s="197">
        <f t="shared" si="239"/>
        <v>6.1668000000000001E-2</v>
      </c>
      <c r="AY344" s="197">
        <f t="shared" si="205"/>
        <v>2.8867476000000005E-3</v>
      </c>
      <c r="AZ344" s="197">
        <f t="shared" si="206"/>
        <v>0</v>
      </c>
      <c r="BA344" s="197">
        <f t="shared" si="240"/>
        <v>7.2596940000000013E-2</v>
      </c>
      <c r="BB344" s="258">
        <f t="shared" si="207"/>
        <v>0.36575210336206115</v>
      </c>
      <c r="BC344" s="197">
        <f t="shared" si="208"/>
        <v>2.2380490766334034E-2</v>
      </c>
      <c r="BD344" s="197">
        <f t="shared" si="241"/>
        <v>4.4760981532668068E-3</v>
      </c>
      <c r="BE344" s="197">
        <f t="shared" si="242"/>
        <v>2.6856588919600841E-2</v>
      </c>
      <c r="BF344" s="197">
        <f t="shared" si="209"/>
        <v>0.20773291256157633</v>
      </c>
      <c r="BG344" s="197">
        <f t="shared" si="210"/>
        <v>5.4608303342508187E-4</v>
      </c>
      <c r="BH344" s="197">
        <f t="shared" si="211"/>
        <v>3.5336687086656722E-2</v>
      </c>
      <c r="BI344" s="197">
        <f t="shared" si="243"/>
        <v>0.44730899017824427</v>
      </c>
      <c r="BJ344" s="197">
        <f t="shared" si="212"/>
        <v>6.769615024661003</v>
      </c>
      <c r="BK344" s="288">
        <f t="shared" si="213"/>
        <v>0.93392401361838984</v>
      </c>
      <c r="BL344" s="197">
        <f t="shared" si="214"/>
        <v>0.37608972359227794</v>
      </c>
      <c r="BM344" s="197">
        <f t="shared" si="215"/>
        <v>7.4353030976985271E-2</v>
      </c>
      <c r="BN344" s="197">
        <f t="shared" si="216"/>
        <v>54.461181858619113</v>
      </c>
      <c r="BO344" s="197">
        <f t="shared" si="244"/>
        <v>0.2082789955950014</v>
      </c>
      <c r="BP344" s="197">
        <f t="shared" si="217"/>
        <v>65.620924669625111</v>
      </c>
      <c r="BQ344" s="197">
        <f t="shared" si="218"/>
        <v>9.9596940000000009E-2</v>
      </c>
      <c r="BR344" s="288">
        <f t="shared" si="219"/>
        <v>0.16008975919012108</v>
      </c>
      <c r="BS344" s="197">
        <f t="shared" si="220"/>
        <v>0.11660930017110901</v>
      </c>
      <c r="BT344" s="197">
        <f t="shared" si="221"/>
        <v>0.36419974881911377</v>
      </c>
      <c r="BU344" s="197">
        <f t="shared" si="222"/>
        <v>0.1713930788771201</v>
      </c>
      <c r="BV344" s="197">
        <f t="shared" si="223"/>
        <v>0.53530306917875781</v>
      </c>
      <c r="BW344" s="194"/>
      <c r="BX344" s="194"/>
      <c r="BY344" s="194"/>
      <c r="BZ344" s="194"/>
      <c r="CA344" s="194"/>
      <c r="CB344" s="194"/>
      <c r="CC344" s="194"/>
      <c r="CD344" s="194"/>
      <c r="CE344" s="194"/>
      <c r="CF344" s="194"/>
      <c r="CG344" s="194"/>
      <c r="CH344" s="194"/>
      <c r="CI344" s="194"/>
      <c r="CJ344" s="194"/>
      <c r="CK344" s="194"/>
      <c r="CL344" s="194"/>
      <c r="CM344" s="194"/>
      <c r="CN344" s="194"/>
      <c r="CO344" s="194"/>
      <c r="CP344" s="194"/>
      <c r="CQ344" s="194"/>
      <c r="CR344" s="194"/>
      <c r="CS344" s="194"/>
      <c r="CT344" s="194"/>
      <c r="CU344" s="194"/>
      <c r="CV344" s="194"/>
      <c r="CW344" s="194"/>
      <c r="CX344" s="194"/>
      <c r="CY344" s="194"/>
      <c r="CZ344" s="194"/>
      <c r="DA344" s="194"/>
      <c r="DB344" s="194"/>
      <c r="DC344" s="194"/>
      <c r="DD344" s="194"/>
      <c r="DE344" s="194"/>
      <c r="DF344" s="194"/>
    </row>
    <row r="345" spans="2:110" s="192" customFormat="1" hidden="1" x14ac:dyDescent="0.35">
      <c r="B345" s="289"/>
      <c r="C345" s="289"/>
      <c r="Q345" s="193"/>
      <c r="R345" s="194">
        <f t="shared" si="224"/>
        <v>18</v>
      </c>
      <c r="S345" s="197">
        <f t="shared" si="190"/>
        <v>0.3888888888888889</v>
      </c>
      <c r="T345" s="194">
        <f t="shared" si="245"/>
        <v>0.69</v>
      </c>
      <c r="U345" s="194">
        <f t="shared" si="246"/>
        <v>1.4999999999999999E-4</v>
      </c>
      <c r="V345" s="197">
        <f t="shared" si="225"/>
        <v>0.3888888888888889</v>
      </c>
      <c r="W345" s="197">
        <f t="shared" si="191"/>
        <v>4.3555555555555561E-3</v>
      </c>
      <c r="X345" s="286">
        <f t="shared" si="192"/>
        <v>1</v>
      </c>
      <c r="Y345" s="286">
        <f t="shared" si="193"/>
        <v>0.17335969315081967</v>
      </c>
      <c r="Z345" s="286">
        <f t="shared" si="194"/>
        <v>0.54964853345132902</v>
      </c>
      <c r="AA345" s="286">
        <f t="shared" si="226"/>
        <v>0.17335969315081967</v>
      </c>
      <c r="AB345" s="197">
        <f t="shared" si="195"/>
        <v>0.36419974881911377</v>
      </c>
      <c r="AC345" s="287">
        <f t="shared" si="196"/>
        <v>4.4451203372005044E-7</v>
      </c>
      <c r="AD345" s="197">
        <f t="shared" si="227"/>
        <v>11.693936048110356</v>
      </c>
      <c r="AE345" s="197">
        <f t="shared" si="228"/>
        <v>35.08180814433107</v>
      </c>
      <c r="AF345" s="197">
        <f t="shared" si="229"/>
        <v>8.5178571428571423E-2</v>
      </c>
      <c r="AG345" s="197">
        <f t="shared" si="230"/>
        <v>0.25553571428571431</v>
      </c>
      <c r="AH345" s="197">
        <f t="shared" si="197"/>
        <v>0.11660930017110901</v>
      </c>
      <c r="AI345" s="197">
        <f t="shared" si="231"/>
        <v>0.11660930017110901</v>
      </c>
      <c r="AJ345" s="218">
        <f t="shared" si="198"/>
        <v>390.00000000000006</v>
      </c>
      <c r="AK345" s="197">
        <f t="shared" si="232"/>
        <v>6.0930617977437734E-2</v>
      </c>
      <c r="AL345" s="197">
        <f t="shared" si="233"/>
        <v>9.6203707235237593E-2</v>
      </c>
      <c r="AM345" s="197">
        <f t="shared" si="234"/>
        <v>4.0790371867740751E-3</v>
      </c>
      <c r="AN345" s="197">
        <f t="shared" si="199"/>
        <v>24.05</v>
      </c>
      <c r="AO345" s="197">
        <f t="shared" si="200"/>
        <v>21.69</v>
      </c>
      <c r="AP345" s="197">
        <f t="shared" si="235"/>
        <v>7.4093290390420161E-2</v>
      </c>
      <c r="AQ345" s="197">
        <f t="shared" si="236"/>
        <v>0.42250439890466829</v>
      </c>
      <c r="AR345" s="197">
        <f t="shared" si="237"/>
        <v>0.30589509873355925</v>
      </c>
      <c r="AS345" s="258">
        <f t="shared" si="238"/>
        <v>0.15228632177729159</v>
      </c>
      <c r="AT345" s="197">
        <f t="shared" si="201"/>
        <v>2.5974058656511614E-4</v>
      </c>
      <c r="AU345" s="194">
        <f t="shared" si="202"/>
        <v>21.19</v>
      </c>
      <c r="AV345" s="197">
        <f t="shared" si="203"/>
        <v>2.7E-2</v>
      </c>
      <c r="AW345" s="197">
        <f t="shared" si="204"/>
        <v>3.4260000000000002E-3</v>
      </c>
      <c r="AX345" s="197">
        <f t="shared" si="239"/>
        <v>6.1668000000000001E-2</v>
      </c>
      <c r="AY345" s="197">
        <f t="shared" si="205"/>
        <v>2.8867476000000005E-3</v>
      </c>
      <c r="AZ345" s="197">
        <f t="shared" si="206"/>
        <v>0</v>
      </c>
      <c r="BA345" s="197">
        <f t="shared" si="240"/>
        <v>7.2596940000000013E-2</v>
      </c>
      <c r="BB345" s="258">
        <f t="shared" si="207"/>
        <v>0.36575210336206115</v>
      </c>
      <c r="BC345" s="197">
        <f t="shared" si="208"/>
        <v>2.2380490766334034E-2</v>
      </c>
      <c r="BD345" s="197">
        <f t="shared" si="241"/>
        <v>4.4760981532668068E-3</v>
      </c>
      <c r="BE345" s="197">
        <f t="shared" si="242"/>
        <v>2.6856588919600841E-2</v>
      </c>
      <c r="BF345" s="197">
        <f t="shared" si="209"/>
        <v>0.20773291256157633</v>
      </c>
      <c r="BG345" s="197">
        <f t="shared" si="210"/>
        <v>5.4608303342508187E-4</v>
      </c>
      <c r="BH345" s="197">
        <f t="shared" si="211"/>
        <v>3.5336687086656722E-2</v>
      </c>
      <c r="BI345" s="197">
        <f t="shared" si="243"/>
        <v>0.44730899017824427</v>
      </c>
      <c r="BJ345" s="197">
        <f t="shared" si="212"/>
        <v>6.769615024661003</v>
      </c>
      <c r="BK345" s="288">
        <f t="shared" si="213"/>
        <v>0.93392401361838984</v>
      </c>
      <c r="BL345" s="197">
        <f t="shared" si="214"/>
        <v>0.37608972359227794</v>
      </c>
      <c r="BM345" s="197">
        <f t="shared" si="215"/>
        <v>7.4353030976985271E-2</v>
      </c>
      <c r="BN345" s="197">
        <f t="shared" si="216"/>
        <v>54.461181858619113</v>
      </c>
      <c r="BO345" s="197">
        <f t="shared" si="244"/>
        <v>0.2082789955950014</v>
      </c>
      <c r="BP345" s="197">
        <f t="shared" si="217"/>
        <v>65.620924669625111</v>
      </c>
      <c r="BQ345" s="197">
        <f t="shared" si="218"/>
        <v>9.9596940000000009E-2</v>
      </c>
      <c r="BR345" s="288">
        <f t="shared" si="219"/>
        <v>0.16008975919012108</v>
      </c>
      <c r="BS345" s="197">
        <f t="shared" si="220"/>
        <v>0.11660930017110901</v>
      </c>
      <c r="BT345" s="197">
        <f t="shared" si="221"/>
        <v>0.36419974881911377</v>
      </c>
      <c r="BU345" s="197">
        <f t="shared" si="222"/>
        <v>0.1713930788771201</v>
      </c>
      <c r="BV345" s="197">
        <f t="shared" si="223"/>
        <v>0.53530306917875781</v>
      </c>
      <c r="BW345" s="194"/>
      <c r="BX345" s="194"/>
      <c r="BY345" s="194"/>
      <c r="BZ345" s="194"/>
      <c r="CA345" s="194"/>
      <c r="CB345" s="194"/>
      <c r="CC345" s="194"/>
      <c r="CD345" s="194"/>
      <c r="CE345" s="194"/>
      <c r="CF345" s="194"/>
      <c r="CG345" s="194"/>
      <c r="CH345" s="194"/>
      <c r="CI345" s="194"/>
      <c r="CJ345" s="194"/>
      <c r="CK345" s="194"/>
      <c r="CL345" s="194"/>
      <c r="CM345" s="194"/>
      <c r="CN345" s="194"/>
      <c r="CO345" s="194"/>
      <c r="CP345" s="194"/>
      <c r="CQ345" s="194"/>
      <c r="CR345" s="194"/>
      <c r="CS345" s="194"/>
      <c r="CT345" s="194"/>
      <c r="CU345" s="194"/>
      <c r="CV345" s="194"/>
      <c r="CW345" s="194"/>
      <c r="CX345" s="194"/>
      <c r="CY345" s="194"/>
      <c r="CZ345" s="194"/>
      <c r="DA345" s="194"/>
      <c r="DB345" s="194"/>
      <c r="DC345" s="194"/>
      <c r="DD345" s="194"/>
      <c r="DE345" s="194"/>
      <c r="DF345" s="194"/>
    </row>
    <row r="346" spans="2:110" s="192" customFormat="1" hidden="1" x14ac:dyDescent="0.35">
      <c r="B346" s="289"/>
      <c r="C346" s="289"/>
      <c r="Q346" s="193"/>
      <c r="R346" s="194">
        <f t="shared" si="224"/>
        <v>18</v>
      </c>
      <c r="S346" s="197">
        <f t="shared" si="190"/>
        <v>0.3888888888888889</v>
      </c>
      <c r="T346" s="194">
        <f t="shared" si="245"/>
        <v>0.69</v>
      </c>
      <c r="U346" s="194">
        <f t="shared" si="246"/>
        <v>1.4999999999999999E-4</v>
      </c>
      <c r="V346" s="197">
        <f t="shared" si="225"/>
        <v>0.3888888888888889</v>
      </c>
      <c r="W346" s="197">
        <f t="shared" si="191"/>
        <v>4.3555555555555561E-3</v>
      </c>
      <c r="X346" s="286">
        <f t="shared" si="192"/>
        <v>1</v>
      </c>
      <c r="Y346" s="286">
        <f t="shared" si="193"/>
        <v>0.17335969315081967</v>
      </c>
      <c r="Z346" s="286">
        <f t="shared" si="194"/>
        <v>0.54964853345132902</v>
      </c>
      <c r="AA346" s="286">
        <f t="shared" si="226"/>
        <v>0.17335969315081967</v>
      </c>
      <c r="AB346" s="197">
        <f t="shared" si="195"/>
        <v>0.36419974881911377</v>
      </c>
      <c r="AC346" s="287">
        <f t="shared" si="196"/>
        <v>4.4451203372005044E-7</v>
      </c>
      <c r="AD346" s="197">
        <f t="shared" si="227"/>
        <v>11.693936048110356</v>
      </c>
      <c r="AE346" s="197">
        <f t="shared" si="228"/>
        <v>35.08180814433107</v>
      </c>
      <c r="AF346" s="197">
        <f t="shared" si="229"/>
        <v>8.5178571428571423E-2</v>
      </c>
      <c r="AG346" s="197">
        <f t="shared" si="230"/>
        <v>0.25553571428571431</v>
      </c>
      <c r="AH346" s="197">
        <f t="shared" si="197"/>
        <v>0.11660930017110901</v>
      </c>
      <c r="AI346" s="197">
        <f t="shared" si="231"/>
        <v>0.11660930017110901</v>
      </c>
      <c r="AJ346" s="218">
        <f t="shared" si="198"/>
        <v>390.00000000000006</v>
      </c>
      <c r="AK346" s="197">
        <f t="shared" si="232"/>
        <v>6.0930617977437734E-2</v>
      </c>
      <c r="AL346" s="197">
        <f t="shared" si="233"/>
        <v>9.6203707235237593E-2</v>
      </c>
      <c r="AM346" s="197">
        <f t="shared" si="234"/>
        <v>4.0790371867740751E-3</v>
      </c>
      <c r="AN346" s="197">
        <f t="shared" si="199"/>
        <v>24.05</v>
      </c>
      <c r="AO346" s="197">
        <f t="shared" si="200"/>
        <v>21.69</v>
      </c>
      <c r="AP346" s="197">
        <f t="shared" si="235"/>
        <v>7.4093290390420161E-2</v>
      </c>
      <c r="AQ346" s="197">
        <f t="shared" si="236"/>
        <v>0.42250439890466829</v>
      </c>
      <c r="AR346" s="197">
        <f t="shared" si="237"/>
        <v>0.30589509873355925</v>
      </c>
      <c r="AS346" s="258">
        <f t="shared" si="238"/>
        <v>0.15228632177729159</v>
      </c>
      <c r="AT346" s="197">
        <f t="shared" si="201"/>
        <v>2.5974058656511614E-4</v>
      </c>
      <c r="AU346" s="194">
        <f t="shared" si="202"/>
        <v>21.19</v>
      </c>
      <c r="AV346" s="197">
        <f t="shared" si="203"/>
        <v>2.7E-2</v>
      </c>
      <c r="AW346" s="197">
        <f t="shared" si="204"/>
        <v>3.4260000000000002E-3</v>
      </c>
      <c r="AX346" s="197">
        <f t="shared" si="239"/>
        <v>6.1668000000000001E-2</v>
      </c>
      <c r="AY346" s="197">
        <f t="shared" si="205"/>
        <v>2.8867476000000005E-3</v>
      </c>
      <c r="AZ346" s="197">
        <f t="shared" si="206"/>
        <v>0</v>
      </c>
      <c r="BA346" s="197">
        <f t="shared" si="240"/>
        <v>7.2596940000000013E-2</v>
      </c>
      <c r="BB346" s="258">
        <f t="shared" si="207"/>
        <v>0.36575210336206115</v>
      </c>
      <c r="BC346" s="197">
        <f t="shared" si="208"/>
        <v>2.2380490766334034E-2</v>
      </c>
      <c r="BD346" s="197">
        <f t="shared" si="241"/>
        <v>4.4760981532668068E-3</v>
      </c>
      <c r="BE346" s="197">
        <f t="shared" si="242"/>
        <v>2.6856588919600841E-2</v>
      </c>
      <c r="BF346" s="197">
        <f t="shared" si="209"/>
        <v>0.20773291256157633</v>
      </c>
      <c r="BG346" s="197">
        <f t="shared" si="210"/>
        <v>5.4608303342508187E-4</v>
      </c>
      <c r="BH346" s="197">
        <f t="shared" si="211"/>
        <v>3.5336687086656722E-2</v>
      </c>
      <c r="BI346" s="197">
        <f t="shared" si="243"/>
        <v>0.44730899017824427</v>
      </c>
      <c r="BJ346" s="197">
        <f t="shared" si="212"/>
        <v>6.769615024661003</v>
      </c>
      <c r="BK346" s="288">
        <f t="shared" si="213"/>
        <v>0.93392401361838984</v>
      </c>
      <c r="BL346" s="197">
        <f t="shared" si="214"/>
        <v>0.37608972359227794</v>
      </c>
      <c r="BM346" s="197">
        <f t="shared" si="215"/>
        <v>7.4353030976985271E-2</v>
      </c>
      <c r="BN346" s="197">
        <f t="shared" si="216"/>
        <v>54.461181858619113</v>
      </c>
      <c r="BO346" s="197">
        <f t="shared" si="244"/>
        <v>0.2082789955950014</v>
      </c>
      <c r="BP346" s="197">
        <f t="shared" si="217"/>
        <v>65.620924669625111</v>
      </c>
      <c r="BQ346" s="197">
        <f t="shared" si="218"/>
        <v>9.9596940000000009E-2</v>
      </c>
      <c r="BR346" s="288">
        <f t="shared" si="219"/>
        <v>0.16008975919012108</v>
      </c>
      <c r="BS346" s="197">
        <f t="shared" si="220"/>
        <v>0.11660930017110901</v>
      </c>
      <c r="BT346" s="197">
        <f t="shared" si="221"/>
        <v>0.36419974881911377</v>
      </c>
      <c r="BU346" s="197">
        <f t="shared" si="222"/>
        <v>0.1713930788771201</v>
      </c>
      <c r="BV346" s="197">
        <f t="shared" si="223"/>
        <v>0.53530306917875781</v>
      </c>
      <c r="BW346" s="194"/>
      <c r="BX346" s="194"/>
      <c r="BY346" s="194"/>
      <c r="BZ346" s="194"/>
      <c r="CA346" s="194"/>
      <c r="CB346" s="194"/>
      <c r="CC346" s="194"/>
      <c r="CD346" s="194"/>
      <c r="CE346" s="194"/>
      <c r="CF346" s="194"/>
      <c r="CG346" s="194"/>
      <c r="CH346" s="194"/>
      <c r="CI346" s="194"/>
      <c r="CJ346" s="194"/>
      <c r="CK346" s="194"/>
      <c r="CL346" s="194"/>
      <c r="CM346" s="194"/>
      <c r="CN346" s="194"/>
      <c r="CO346" s="194"/>
      <c r="CP346" s="194"/>
      <c r="CQ346" s="194"/>
      <c r="CR346" s="194"/>
      <c r="CS346" s="194"/>
      <c r="CT346" s="194"/>
      <c r="CU346" s="194"/>
      <c r="CV346" s="194"/>
      <c r="CW346" s="194"/>
      <c r="CX346" s="194"/>
      <c r="CY346" s="194"/>
      <c r="CZ346" s="194"/>
      <c r="DA346" s="194"/>
      <c r="DB346" s="194"/>
      <c r="DC346" s="194"/>
      <c r="DD346" s="194"/>
      <c r="DE346" s="194"/>
      <c r="DF346" s="194"/>
    </row>
    <row r="347" spans="2:110" s="192" customFormat="1" hidden="1" x14ac:dyDescent="0.35">
      <c r="B347" s="289"/>
      <c r="C347" s="289"/>
      <c r="Q347" s="193"/>
      <c r="R347" s="194">
        <f t="shared" si="224"/>
        <v>18</v>
      </c>
      <c r="S347" s="197">
        <f t="shared" si="190"/>
        <v>0.3888888888888889</v>
      </c>
      <c r="T347" s="194">
        <f t="shared" si="245"/>
        <v>0.69</v>
      </c>
      <c r="U347" s="194">
        <f t="shared" si="246"/>
        <v>1.4999999999999999E-4</v>
      </c>
      <c r="V347" s="197">
        <f t="shared" si="225"/>
        <v>0.3888888888888889</v>
      </c>
      <c r="W347" s="197">
        <f t="shared" si="191"/>
        <v>4.3555555555555561E-3</v>
      </c>
      <c r="X347" s="286">
        <f t="shared" si="192"/>
        <v>1</v>
      </c>
      <c r="Y347" s="286">
        <f t="shared" si="193"/>
        <v>0.17335969315081967</v>
      </c>
      <c r="Z347" s="286">
        <f t="shared" si="194"/>
        <v>0.54964853345132902</v>
      </c>
      <c r="AA347" s="286">
        <f t="shared" si="226"/>
        <v>0.17335969315081967</v>
      </c>
      <c r="AB347" s="197">
        <f t="shared" si="195"/>
        <v>0.36419974881911377</v>
      </c>
      <c r="AC347" s="287">
        <f t="shared" si="196"/>
        <v>4.4451203372005044E-7</v>
      </c>
      <c r="AD347" s="197">
        <f t="shared" si="227"/>
        <v>11.693936048110356</v>
      </c>
      <c r="AE347" s="197">
        <f t="shared" si="228"/>
        <v>35.08180814433107</v>
      </c>
      <c r="AF347" s="197">
        <f t="shared" si="229"/>
        <v>8.5178571428571423E-2</v>
      </c>
      <c r="AG347" s="197">
        <f t="shared" si="230"/>
        <v>0.25553571428571431</v>
      </c>
      <c r="AH347" s="197">
        <f t="shared" si="197"/>
        <v>0.11660930017110901</v>
      </c>
      <c r="AI347" s="197">
        <f t="shared" si="231"/>
        <v>0.11660930017110901</v>
      </c>
      <c r="AJ347" s="218">
        <f t="shared" si="198"/>
        <v>390.00000000000006</v>
      </c>
      <c r="AK347" s="197">
        <f t="shared" si="232"/>
        <v>6.0930617977437734E-2</v>
      </c>
      <c r="AL347" s="197">
        <f t="shared" si="233"/>
        <v>9.6203707235237593E-2</v>
      </c>
      <c r="AM347" s="197">
        <f t="shared" si="234"/>
        <v>4.0790371867740751E-3</v>
      </c>
      <c r="AN347" s="197">
        <f t="shared" si="199"/>
        <v>24.05</v>
      </c>
      <c r="AO347" s="197">
        <f t="shared" si="200"/>
        <v>21.69</v>
      </c>
      <c r="AP347" s="197">
        <f t="shared" si="235"/>
        <v>7.4093290390420161E-2</v>
      </c>
      <c r="AQ347" s="197">
        <f t="shared" si="236"/>
        <v>0.42250439890466829</v>
      </c>
      <c r="AR347" s="197">
        <f t="shared" si="237"/>
        <v>0.30589509873355925</v>
      </c>
      <c r="AS347" s="258">
        <f t="shared" si="238"/>
        <v>0.15228632177729159</v>
      </c>
      <c r="AT347" s="197">
        <f t="shared" si="201"/>
        <v>2.5974058656511614E-4</v>
      </c>
      <c r="AU347" s="194">
        <f t="shared" si="202"/>
        <v>21.19</v>
      </c>
      <c r="AV347" s="197">
        <f t="shared" si="203"/>
        <v>2.7E-2</v>
      </c>
      <c r="AW347" s="197">
        <f t="shared" si="204"/>
        <v>3.4260000000000002E-3</v>
      </c>
      <c r="AX347" s="197">
        <f t="shared" si="239"/>
        <v>6.1668000000000001E-2</v>
      </c>
      <c r="AY347" s="197">
        <f t="shared" si="205"/>
        <v>2.8867476000000005E-3</v>
      </c>
      <c r="AZ347" s="197">
        <f t="shared" si="206"/>
        <v>0</v>
      </c>
      <c r="BA347" s="197">
        <f t="shared" si="240"/>
        <v>7.2596940000000013E-2</v>
      </c>
      <c r="BB347" s="258">
        <f t="shared" si="207"/>
        <v>0.36575210336206115</v>
      </c>
      <c r="BC347" s="197">
        <f t="shared" si="208"/>
        <v>2.2380490766334034E-2</v>
      </c>
      <c r="BD347" s="197">
        <f t="shared" si="241"/>
        <v>4.4760981532668068E-3</v>
      </c>
      <c r="BE347" s="197">
        <f t="shared" si="242"/>
        <v>2.6856588919600841E-2</v>
      </c>
      <c r="BF347" s="197">
        <f t="shared" si="209"/>
        <v>0.20773291256157633</v>
      </c>
      <c r="BG347" s="197">
        <f t="shared" si="210"/>
        <v>5.4608303342508187E-4</v>
      </c>
      <c r="BH347" s="197">
        <f t="shared" si="211"/>
        <v>3.5336687086656722E-2</v>
      </c>
      <c r="BI347" s="197">
        <f t="shared" si="243"/>
        <v>0.44730899017824427</v>
      </c>
      <c r="BJ347" s="197">
        <f t="shared" si="212"/>
        <v>6.769615024661003</v>
      </c>
      <c r="BK347" s="288">
        <f t="shared" si="213"/>
        <v>0.93392401361838984</v>
      </c>
      <c r="BL347" s="197">
        <f t="shared" si="214"/>
        <v>0.37608972359227794</v>
      </c>
      <c r="BM347" s="197">
        <f t="shared" si="215"/>
        <v>7.4353030976985271E-2</v>
      </c>
      <c r="BN347" s="197">
        <f t="shared" si="216"/>
        <v>54.461181858619113</v>
      </c>
      <c r="BO347" s="197">
        <f t="shared" si="244"/>
        <v>0.2082789955950014</v>
      </c>
      <c r="BP347" s="197">
        <f t="shared" si="217"/>
        <v>65.620924669625111</v>
      </c>
      <c r="BQ347" s="197">
        <f t="shared" si="218"/>
        <v>9.9596940000000009E-2</v>
      </c>
      <c r="BR347" s="288">
        <f t="shared" si="219"/>
        <v>0.16008975919012108</v>
      </c>
      <c r="BS347" s="197">
        <f t="shared" si="220"/>
        <v>0.11660930017110901</v>
      </c>
      <c r="BT347" s="197">
        <f t="shared" si="221"/>
        <v>0.36419974881911377</v>
      </c>
      <c r="BU347" s="197">
        <f t="shared" si="222"/>
        <v>0.1713930788771201</v>
      </c>
      <c r="BV347" s="197">
        <f t="shared" si="223"/>
        <v>0.53530306917875781</v>
      </c>
      <c r="BW347" s="194"/>
      <c r="BX347" s="194"/>
      <c r="BY347" s="194"/>
      <c r="BZ347" s="194"/>
      <c r="CA347" s="194"/>
      <c r="CB347" s="194"/>
      <c r="CC347" s="194"/>
      <c r="CD347" s="194"/>
      <c r="CE347" s="194"/>
      <c r="CF347" s="194"/>
      <c r="CG347" s="194"/>
      <c r="CH347" s="194"/>
      <c r="CI347" s="194"/>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row>
    <row r="348" spans="2:110" s="192" customFormat="1" hidden="1" x14ac:dyDescent="0.35">
      <c r="B348" s="289"/>
      <c r="C348" s="289"/>
      <c r="Q348" s="193"/>
      <c r="R348" s="194">
        <f t="shared" si="224"/>
        <v>18</v>
      </c>
      <c r="S348" s="197">
        <f t="shared" si="190"/>
        <v>0.3888888888888889</v>
      </c>
      <c r="T348" s="194">
        <f t="shared" si="245"/>
        <v>0.69</v>
      </c>
      <c r="U348" s="194">
        <f t="shared" si="246"/>
        <v>1.4999999999999999E-4</v>
      </c>
      <c r="V348" s="197">
        <f t="shared" si="225"/>
        <v>0.3888888888888889</v>
      </c>
      <c r="W348" s="197">
        <f t="shared" si="191"/>
        <v>4.3555555555555561E-3</v>
      </c>
      <c r="X348" s="286">
        <f t="shared" si="192"/>
        <v>1</v>
      </c>
      <c r="Y348" s="286">
        <f t="shared" si="193"/>
        <v>0.17335969315081967</v>
      </c>
      <c r="Z348" s="286">
        <f t="shared" si="194"/>
        <v>0.54964853345132902</v>
      </c>
      <c r="AA348" s="286">
        <f t="shared" si="226"/>
        <v>0.17335969315081967</v>
      </c>
      <c r="AB348" s="197">
        <f t="shared" si="195"/>
        <v>0.36419974881911377</v>
      </c>
      <c r="AC348" s="287">
        <f t="shared" si="196"/>
        <v>4.4451203372005044E-7</v>
      </c>
      <c r="AD348" s="197">
        <f t="shared" si="227"/>
        <v>11.693936048110356</v>
      </c>
      <c r="AE348" s="197">
        <f t="shared" si="228"/>
        <v>35.08180814433107</v>
      </c>
      <c r="AF348" s="197">
        <f t="shared" si="229"/>
        <v>8.5178571428571423E-2</v>
      </c>
      <c r="AG348" s="197">
        <f t="shared" si="230"/>
        <v>0.25553571428571431</v>
      </c>
      <c r="AH348" s="197">
        <f t="shared" si="197"/>
        <v>0.11660930017110901</v>
      </c>
      <c r="AI348" s="197">
        <f t="shared" si="231"/>
        <v>0.11660930017110901</v>
      </c>
      <c r="AJ348" s="218">
        <f t="shared" si="198"/>
        <v>390.00000000000006</v>
      </c>
      <c r="AK348" s="197">
        <f t="shared" si="232"/>
        <v>6.0930617977437734E-2</v>
      </c>
      <c r="AL348" s="197">
        <f t="shared" si="233"/>
        <v>9.6203707235237593E-2</v>
      </c>
      <c r="AM348" s="197">
        <f t="shared" si="234"/>
        <v>4.0790371867740751E-3</v>
      </c>
      <c r="AN348" s="197">
        <f t="shared" si="199"/>
        <v>24.05</v>
      </c>
      <c r="AO348" s="197">
        <f t="shared" si="200"/>
        <v>21.69</v>
      </c>
      <c r="AP348" s="197">
        <f t="shared" si="235"/>
        <v>7.4093290390420161E-2</v>
      </c>
      <c r="AQ348" s="197">
        <f t="shared" si="236"/>
        <v>0.42250439890466829</v>
      </c>
      <c r="AR348" s="197">
        <f t="shared" si="237"/>
        <v>0.30589509873355925</v>
      </c>
      <c r="AS348" s="258">
        <f t="shared" si="238"/>
        <v>0.15228632177729159</v>
      </c>
      <c r="AT348" s="197">
        <f t="shared" si="201"/>
        <v>2.5974058656511614E-4</v>
      </c>
      <c r="AU348" s="194">
        <f t="shared" si="202"/>
        <v>21.19</v>
      </c>
      <c r="AV348" s="197">
        <f t="shared" si="203"/>
        <v>2.7E-2</v>
      </c>
      <c r="AW348" s="197">
        <f t="shared" si="204"/>
        <v>3.4260000000000002E-3</v>
      </c>
      <c r="AX348" s="197">
        <f t="shared" si="239"/>
        <v>6.1668000000000001E-2</v>
      </c>
      <c r="AY348" s="197">
        <f t="shared" si="205"/>
        <v>2.8867476000000005E-3</v>
      </c>
      <c r="AZ348" s="197">
        <f t="shared" si="206"/>
        <v>0</v>
      </c>
      <c r="BA348" s="197">
        <f t="shared" si="240"/>
        <v>7.2596940000000013E-2</v>
      </c>
      <c r="BB348" s="258">
        <f t="shared" si="207"/>
        <v>0.36575210336206115</v>
      </c>
      <c r="BC348" s="197">
        <f t="shared" si="208"/>
        <v>2.2380490766334034E-2</v>
      </c>
      <c r="BD348" s="197">
        <f t="shared" si="241"/>
        <v>4.4760981532668068E-3</v>
      </c>
      <c r="BE348" s="197">
        <f t="shared" si="242"/>
        <v>2.6856588919600841E-2</v>
      </c>
      <c r="BF348" s="197">
        <f t="shared" si="209"/>
        <v>0.20773291256157633</v>
      </c>
      <c r="BG348" s="197">
        <f t="shared" si="210"/>
        <v>5.4608303342508187E-4</v>
      </c>
      <c r="BH348" s="197">
        <f t="shared" si="211"/>
        <v>3.5336687086656722E-2</v>
      </c>
      <c r="BI348" s="197">
        <f t="shared" si="243"/>
        <v>0.44730899017824427</v>
      </c>
      <c r="BJ348" s="197">
        <f t="shared" si="212"/>
        <v>6.769615024661003</v>
      </c>
      <c r="BK348" s="288">
        <f t="shared" si="213"/>
        <v>0.93392401361838984</v>
      </c>
      <c r="BL348" s="197">
        <f t="shared" si="214"/>
        <v>0.37608972359227794</v>
      </c>
      <c r="BM348" s="197">
        <f t="shared" si="215"/>
        <v>7.4353030976985271E-2</v>
      </c>
      <c r="BN348" s="197">
        <f t="shared" si="216"/>
        <v>54.461181858619113</v>
      </c>
      <c r="BO348" s="197">
        <f t="shared" si="244"/>
        <v>0.2082789955950014</v>
      </c>
      <c r="BP348" s="197">
        <f t="shared" si="217"/>
        <v>65.620924669625111</v>
      </c>
      <c r="BQ348" s="197">
        <f t="shared" si="218"/>
        <v>9.9596940000000009E-2</v>
      </c>
      <c r="BR348" s="288">
        <f t="shared" si="219"/>
        <v>0.16008975919012108</v>
      </c>
      <c r="BS348" s="197">
        <f t="shared" si="220"/>
        <v>0.11660930017110901</v>
      </c>
      <c r="BT348" s="197">
        <f t="shared" si="221"/>
        <v>0.36419974881911377</v>
      </c>
      <c r="BU348" s="197">
        <f t="shared" si="222"/>
        <v>0.1713930788771201</v>
      </c>
      <c r="BV348" s="197">
        <f t="shared" si="223"/>
        <v>0.53530306917875781</v>
      </c>
      <c r="BW348" s="194"/>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row>
    <row r="349" spans="2:110" s="192" customFormat="1" hidden="1" x14ac:dyDescent="0.35">
      <c r="B349" s="289"/>
      <c r="C349" s="289"/>
      <c r="Q349" s="193"/>
      <c r="R349" s="194">
        <f t="shared" si="224"/>
        <v>18</v>
      </c>
      <c r="S349" s="197">
        <f t="shared" si="190"/>
        <v>0.3888888888888889</v>
      </c>
      <c r="T349" s="194">
        <f t="shared" si="245"/>
        <v>0.69</v>
      </c>
      <c r="U349" s="194">
        <f t="shared" si="246"/>
        <v>1.4999999999999999E-4</v>
      </c>
      <c r="V349" s="197">
        <f t="shared" si="225"/>
        <v>0.3888888888888889</v>
      </c>
      <c r="W349" s="197">
        <f t="shared" si="191"/>
        <v>4.3555555555555561E-3</v>
      </c>
      <c r="X349" s="286">
        <f t="shared" si="192"/>
        <v>1</v>
      </c>
      <c r="Y349" s="286">
        <f t="shared" si="193"/>
        <v>0.17335969315081967</v>
      </c>
      <c r="Z349" s="286">
        <f t="shared" si="194"/>
        <v>0.54964853345132902</v>
      </c>
      <c r="AA349" s="286">
        <f t="shared" si="226"/>
        <v>0.17335969315081967</v>
      </c>
      <c r="AB349" s="197">
        <f t="shared" si="195"/>
        <v>0.36419974881911377</v>
      </c>
      <c r="AC349" s="287">
        <f t="shared" si="196"/>
        <v>4.4451203372005044E-7</v>
      </c>
      <c r="AD349" s="197">
        <f t="shared" si="227"/>
        <v>11.693936048110356</v>
      </c>
      <c r="AE349" s="197">
        <f t="shared" si="228"/>
        <v>35.08180814433107</v>
      </c>
      <c r="AF349" s="197">
        <f t="shared" si="229"/>
        <v>8.5178571428571423E-2</v>
      </c>
      <c r="AG349" s="197">
        <f t="shared" si="230"/>
        <v>0.25553571428571431</v>
      </c>
      <c r="AH349" s="197">
        <f t="shared" si="197"/>
        <v>0.11660930017110901</v>
      </c>
      <c r="AI349" s="197">
        <f t="shared" si="231"/>
        <v>0.11660930017110901</v>
      </c>
      <c r="AJ349" s="218">
        <f t="shared" si="198"/>
        <v>390.00000000000006</v>
      </c>
      <c r="AK349" s="197">
        <f t="shared" si="232"/>
        <v>6.0930617977437734E-2</v>
      </c>
      <c r="AL349" s="197">
        <f t="shared" si="233"/>
        <v>9.6203707235237593E-2</v>
      </c>
      <c r="AM349" s="197">
        <f t="shared" si="234"/>
        <v>4.0790371867740751E-3</v>
      </c>
      <c r="AN349" s="197">
        <f t="shared" si="199"/>
        <v>24.05</v>
      </c>
      <c r="AO349" s="197">
        <f t="shared" si="200"/>
        <v>21.69</v>
      </c>
      <c r="AP349" s="197">
        <f t="shared" si="235"/>
        <v>7.4093290390420161E-2</v>
      </c>
      <c r="AQ349" s="197">
        <f t="shared" si="236"/>
        <v>0.42250439890466829</v>
      </c>
      <c r="AR349" s="197">
        <f t="shared" si="237"/>
        <v>0.30589509873355925</v>
      </c>
      <c r="AS349" s="258">
        <f t="shared" si="238"/>
        <v>0.15228632177729159</v>
      </c>
      <c r="AT349" s="197">
        <f t="shared" si="201"/>
        <v>2.5974058656511614E-4</v>
      </c>
      <c r="AU349" s="194">
        <f t="shared" si="202"/>
        <v>21.19</v>
      </c>
      <c r="AV349" s="197">
        <f t="shared" si="203"/>
        <v>2.7E-2</v>
      </c>
      <c r="AW349" s="197">
        <f t="shared" si="204"/>
        <v>3.4260000000000002E-3</v>
      </c>
      <c r="AX349" s="197">
        <f t="shared" si="239"/>
        <v>6.1668000000000001E-2</v>
      </c>
      <c r="AY349" s="197">
        <f t="shared" si="205"/>
        <v>2.8867476000000005E-3</v>
      </c>
      <c r="AZ349" s="197">
        <f t="shared" si="206"/>
        <v>0</v>
      </c>
      <c r="BA349" s="197">
        <f t="shared" si="240"/>
        <v>7.2596940000000013E-2</v>
      </c>
      <c r="BB349" s="258">
        <f t="shared" si="207"/>
        <v>0.36575210336206115</v>
      </c>
      <c r="BC349" s="197">
        <f t="shared" si="208"/>
        <v>2.2380490766334034E-2</v>
      </c>
      <c r="BD349" s="197">
        <f t="shared" si="241"/>
        <v>4.4760981532668068E-3</v>
      </c>
      <c r="BE349" s="197">
        <f t="shared" si="242"/>
        <v>2.6856588919600841E-2</v>
      </c>
      <c r="BF349" s="197">
        <f t="shared" si="209"/>
        <v>0.20773291256157633</v>
      </c>
      <c r="BG349" s="197">
        <f t="shared" si="210"/>
        <v>5.4608303342508187E-4</v>
      </c>
      <c r="BH349" s="197">
        <f t="shared" si="211"/>
        <v>3.5336687086656722E-2</v>
      </c>
      <c r="BI349" s="197">
        <f t="shared" si="243"/>
        <v>0.44730899017824427</v>
      </c>
      <c r="BJ349" s="197">
        <f t="shared" si="212"/>
        <v>6.769615024661003</v>
      </c>
      <c r="BK349" s="288">
        <f t="shared" si="213"/>
        <v>0.93392401361838984</v>
      </c>
      <c r="BL349" s="197">
        <f t="shared" si="214"/>
        <v>0.37608972359227794</v>
      </c>
      <c r="BM349" s="197">
        <f t="shared" si="215"/>
        <v>7.4353030976985271E-2</v>
      </c>
      <c r="BN349" s="197">
        <f t="shared" si="216"/>
        <v>54.461181858619113</v>
      </c>
      <c r="BO349" s="197">
        <f t="shared" si="244"/>
        <v>0.2082789955950014</v>
      </c>
      <c r="BP349" s="197">
        <f t="shared" si="217"/>
        <v>65.620924669625111</v>
      </c>
      <c r="BQ349" s="197">
        <f t="shared" si="218"/>
        <v>9.9596940000000009E-2</v>
      </c>
      <c r="BR349" s="288">
        <f t="shared" si="219"/>
        <v>0.16008975919012108</v>
      </c>
      <c r="BS349" s="197">
        <f t="shared" si="220"/>
        <v>0.11660930017110901</v>
      </c>
      <c r="BT349" s="197">
        <f t="shared" si="221"/>
        <v>0.36419974881911377</v>
      </c>
      <c r="BU349" s="197">
        <f t="shared" si="222"/>
        <v>0.1713930788771201</v>
      </c>
      <c r="BV349" s="197">
        <f t="shared" si="223"/>
        <v>0.53530306917875781</v>
      </c>
      <c r="BW349" s="194"/>
      <c r="BX349" s="194"/>
      <c r="BY349" s="194"/>
      <c r="BZ349" s="194"/>
      <c r="CA349" s="194"/>
      <c r="CB349" s="194"/>
      <c r="CC349" s="194"/>
      <c r="CD349" s="194"/>
      <c r="CE349" s="194"/>
      <c r="CF349" s="194"/>
      <c r="CG349" s="194"/>
      <c r="CH349" s="194"/>
      <c r="CI349" s="194"/>
      <c r="CJ349" s="194"/>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row>
    <row r="350" spans="2:110" s="192" customFormat="1" hidden="1" x14ac:dyDescent="0.35">
      <c r="B350" s="289"/>
      <c r="C350" s="289"/>
      <c r="Q350" s="193"/>
      <c r="R350" s="194">
        <f t="shared" si="224"/>
        <v>18</v>
      </c>
      <c r="S350" s="197">
        <f t="shared" si="190"/>
        <v>0.3888888888888889</v>
      </c>
      <c r="T350" s="194">
        <f t="shared" si="245"/>
        <v>0.69</v>
      </c>
      <c r="U350" s="194">
        <f t="shared" si="246"/>
        <v>1.4999999999999999E-4</v>
      </c>
      <c r="V350" s="197">
        <f t="shared" si="225"/>
        <v>0.3888888888888889</v>
      </c>
      <c r="W350" s="197">
        <f t="shared" si="191"/>
        <v>4.3555555555555561E-3</v>
      </c>
      <c r="X350" s="286">
        <f t="shared" si="192"/>
        <v>1</v>
      </c>
      <c r="Y350" s="286">
        <f t="shared" si="193"/>
        <v>0.17335969315081967</v>
      </c>
      <c r="Z350" s="286">
        <f t="shared" si="194"/>
        <v>0.54964853345132902</v>
      </c>
      <c r="AA350" s="286">
        <f t="shared" si="226"/>
        <v>0.17335969315081967</v>
      </c>
      <c r="AB350" s="197">
        <f t="shared" si="195"/>
        <v>0.36419974881911377</v>
      </c>
      <c r="AC350" s="287">
        <f t="shared" si="196"/>
        <v>4.4451203372005044E-7</v>
      </c>
      <c r="AD350" s="197">
        <f t="shared" si="227"/>
        <v>11.693936048110356</v>
      </c>
      <c r="AE350" s="197">
        <f t="shared" si="228"/>
        <v>35.08180814433107</v>
      </c>
      <c r="AF350" s="197">
        <f t="shared" si="229"/>
        <v>8.5178571428571423E-2</v>
      </c>
      <c r="AG350" s="197">
        <f t="shared" si="230"/>
        <v>0.25553571428571431</v>
      </c>
      <c r="AH350" s="197">
        <f t="shared" si="197"/>
        <v>0.11660930017110901</v>
      </c>
      <c r="AI350" s="197">
        <f t="shared" si="231"/>
        <v>0.11660930017110901</v>
      </c>
      <c r="AJ350" s="218">
        <f t="shared" si="198"/>
        <v>390.00000000000006</v>
      </c>
      <c r="AK350" s="197">
        <f t="shared" si="232"/>
        <v>6.0930617977437734E-2</v>
      </c>
      <c r="AL350" s="197">
        <f t="shared" si="233"/>
        <v>9.6203707235237593E-2</v>
      </c>
      <c r="AM350" s="197">
        <f t="shared" si="234"/>
        <v>4.0790371867740751E-3</v>
      </c>
      <c r="AN350" s="197">
        <f t="shared" si="199"/>
        <v>24.05</v>
      </c>
      <c r="AO350" s="197">
        <f t="shared" si="200"/>
        <v>21.69</v>
      </c>
      <c r="AP350" s="197">
        <f t="shared" si="235"/>
        <v>7.4093290390420161E-2</v>
      </c>
      <c r="AQ350" s="197">
        <f t="shared" si="236"/>
        <v>0.42250439890466829</v>
      </c>
      <c r="AR350" s="197">
        <f t="shared" si="237"/>
        <v>0.30589509873355925</v>
      </c>
      <c r="AS350" s="258">
        <f t="shared" si="238"/>
        <v>0.15228632177729159</v>
      </c>
      <c r="AT350" s="197">
        <f t="shared" si="201"/>
        <v>2.5974058656511614E-4</v>
      </c>
      <c r="AU350" s="194">
        <f t="shared" si="202"/>
        <v>21.19</v>
      </c>
      <c r="AV350" s="197">
        <f t="shared" si="203"/>
        <v>2.7E-2</v>
      </c>
      <c r="AW350" s="197">
        <f t="shared" si="204"/>
        <v>3.4260000000000002E-3</v>
      </c>
      <c r="AX350" s="197">
        <f t="shared" si="239"/>
        <v>6.1668000000000001E-2</v>
      </c>
      <c r="AY350" s="197">
        <f t="shared" si="205"/>
        <v>2.8867476000000005E-3</v>
      </c>
      <c r="AZ350" s="197">
        <f t="shared" si="206"/>
        <v>0</v>
      </c>
      <c r="BA350" s="197">
        <f t="shared" si="240"/>
        <v>7.2596940000000013E-2</v>
      </c>
      <c r="BB350" s="258">
        <f t="shared" si="207"/>
        <v>0.36575210336206115</v>
      </c>
      <c r="BC350" s="197">
        <f t="shared" si="208"/>
        <v>2.2380490766334034E-2</v>
      </c>
      <c r="BD350" s="197">
        <f t="shared" si="241"/>
        <v>4.4760981532668068E-3</v>
      </c>
      <c r="BE350" s="197">
        <f t="shared" si="242"/>
        <v>2.6856588919600841E-2</v>
      </c>
      <c r="BF350" s="197">
        <f t="shared" si="209"/>
        <v>0.20773291256157633</v>
      </c>
      <c r="BG350" s="197">
        <f t="shared" si="210"/>
        <v>5.4608303342508187E-4</v>
      </c>
      <c r="BH350" s="197">
        <f t="shared" si="211"/>
        <v>3.5336687086656722E-2</v>
      </c>
      <c r="BI350" s="197">
        <f t="shared" si="243"/>
        <v>0.44730899017824427</v>
      </c>
      <c r="BJ350" s="197">
        <f t="shared" si="212"/>
        <v>6.769615024661003</v>
      </c>
      <c r="BK350" s="288">
        <f t="shared" si="213"/>
        <v>0.93392401361838984</v>
      </c>
      <c r="BL350" s="197">
        <f t="shared" si="214"/>
        <v>0.37608972359227794</v>
      </c>
      <c r="BM350" s="197">
        <f t="shared" si="215"/>
        <v>7.4353030976985271E-2</v>
      </c>
      <c r="BN350" s="197">
        <f t="shared" si="216"/>
        <v>54.461181858619113</v>
      </c>
      <c r="BO350" s="197">
        <f t="shared" si="244"/>
        <v>0.2082789955950014</v>
      </c>
      <c r="BP350" s="197">
        <f t="shared" si="217"/>
        <v>65.620924669625111</v>
      </c>
      <c r="BQ350" s="197">
        <f t="shared" si="218"/>
        <v>9.9596940000000009E-2</v>
      </c>
      <c r="BR350" s="288">
        <f t="shared" si="219"/>
        <v>0.16008975919012108</v>
      </c>
      <c r="BS350" s="197">
        <f t="shared" si="220"/>
        <v>0.11660930017110901</v>
      </c>
      <c r="BT350" s="197">
        <f t="shared" si="221"/>
        <v>0.36419974881911377</v>
      </c>
      <c r="BU350" s="197">
        <f t="shared" si="222"/>
        <v>0.1713930788771201</v>
      </c>
      <c r="BV350" s="197">
        <f t="shared" si="223"/>
        <v>0.53530306917875781</v>
      </c>
      <c r="BW350" s="194"/>
      <c r="BX350" s="194"/>
      <c r="BY350" s="194"/>
      <c r="BZ350" s="194"/>
      <c r="CA350" s="194"/>
      <c r="CB350" s="194"/>
      <c r="CC350" s="194"/>
      <c r="CD350" s="194"/>
      <c r="CE350" s="194"/>
      <c r="CF350" s="194"/>
      <c r="CG350" s="194"/>
      <c r="CH350" s="194"/>
      <c r="CI350" s="194"/>
      <c r="CJ350" s="194"/>
      <c r="CK350" s="194"/>
      <c r="CL350" s="194"/>
      <c r="CM350" s="194"/>
      <c r="CN350" s="194"/>
      <c r="CO350" s="194"/>
      <c r="CP350" s="194"/>
      <c r="CQ350" s="194"/>
      <c r="CR350" s="194"/>
      <c r="CS350" s="194"/>
      <c r="CT350" s="194"/>
      <c r="CU350" s="194"/>
      <c r="CV350" s="194"/>
      <c r="CW350" s="194"/>
      <c r="CX350" s="194"/>
      <c r="CY350" s="194"/>
      <c r="CZ350" s="194"/>
      <c r="DA350" s="194"/>
      <c r="DB350" s="194"/>
      <c r="DC350" s="194"/>
      <c r="DD350" s="194"/>
      <c r="DE350" s="194"/>
      <c r="DF350" s="194"/>
    </row>
    <row r="351" spans="2:110" s="192" customFormat="1" hidden="1" x14ac:dyDescent="0.35">
      <c r="B351" s="289"/>
      <c r="C351" s="289"/>
      <c r="Q351" s="193"/>
      <c r="R351" s="194">
        <f t="shared" si="224"/>
        <v>18</v>
      </c>
      <c r="S351" s="197">
        <f t="shared" si="190"/>
        <v>0.3888888888888889</v>
      </c>
      <c r="T351" s="194">
        <f t="shared" si="245"/>
        <v>0.69</v>
      </c>
      <c r="U351" s="194">
        <f t="shared" si="246"/>
        <v>1.4999999999999999E-4</v>
      </c>
      <c r="V351" s="197">
        <f t="shared" si="225"/>
        <v>0.3888888888888889</v>
      </c>
      <c r="W351" s="197">
        <f t="shared" si="191"/>
        <v>4.3555555555555561E-3</v>
      </c>
      <c r="X351" s="286">
        <f t="shared" si="192"/>
        <v>1</v>
      </c>
      <c r="Y351" s="286">
        <f t="shared" si="193"/>
        <v>0.17335969315081967</v>
      </c>
      <c r="Z351" s="286">
        <f t="shared" si="194"/>
        <v>0.54964853345132902</v>
      </c>
      <c r="AA351" s="286">
        <f t="shared" si="226"/>
        <v>0.17335969315081967</v>
      </c>
      <c r="AB351" s="197">
        <f t="shared" si="195"/>
        <v>0.36419974881911377</v>
      </c>
      <c r="AC351" s="287">
        <f t="shared" si="196"/>
        <v>4.4451203372005044E-7</v>
      </c>
      <c r="AD351" s="197">
        <f t="shared" si="227"/>
        <v>11.693936048110356</v>
      </c>
      <c r="AE351" s="197">
        <f t="shared" si="228"/>
        <v>35.08180814433107</v>
      </c>
      <c r="AF351" s="197">
        <f t="shared" si="229"/>
        <v>8.5178571428571423E-2</v>
      </c>
      <c r="AG351" s="197">
        <f t="shared" si="230"/>
        <v>0.25553571428571431</v>
      </c>
      <c r="AH351" s="197">
        <f t="shared" si="197"/>
        <v>0.11660930017110901</v>
      </c>
      <c r="AI351" s="197">
        <f t="shared" si="231"/>
        <v>0.11660930017110901</v>
      </c>
      <c r="AJ351" s="218">
        <f t="shared" si="198"/>
        <v>390.00000000000006</v>
      </c>
      <c r="AK351" s="197">
        <f t="shared" si="232"/>
        <v>6.0930617977437734E-2</v>
      </c>
      <c r="AL351" s="197">
        <f t="shared" si="233"/>
        <v>9.6203707235237593E-2</v>
      </c>
      <c r="AM351" s="197">
        <f t="shared" si="234"/>
        <v>4.0790371867740751E-3</v>
      </c>
      <c r="AN351" s="197">
        <f t="shared" si="199"/>
        <v>24.05</v>
      </c>
      <c r="AO351" s="197">
        <f t="shared" si="200"/>
        <v>21.69</v>
      </c>
      <c r="AP351" s="197">
        <f t="shared" si="235"/>
        <v>7.4093290390420161E-2</v>
      </c>
      <c r="AQ351" s="197">
        <f t="shared" si="236"/>
        <v>0.42250439890466829</v>
      </c>
      <c r="AR351" s="197">
        <f t="shared" si="237"/>
        <v>0.30589509873355925</v>
      </c>
      <c r="AS351" s="258">
        <f t="shared" si="238"/>
        <v>0.15228632177729159</v>
      </c>
      <c r="AT351" s="197">
        <f t="shared" si="201"/>
        <v>2.5974058656511614E-4</v>
      </c>
      <c r="AU351" s="194">
        <f t="shared" si="202"/>
        <v>21.19</v>
      </c>
      <c r="AV351" s="197">
        <f t="shared" si="203"/>
        <v>2.7E-2</v>
      </c>
      <c r="AW351" s="197">
        <f t="shared" si="204"/>
        <v>3.4260000000000002E-3</v>
      </c>
      <c r="AX351" s="197">
        <f t="shared" si="239"/>
        <v>6.1668000000000001E-2</v>
      </c>
      <c r="AY351" s="197">
        <f t="shared" si="205"/>
        <v>2.8867476000000005E-3</v>
      </c>
      <c r="AZ351" s="197">
        <f t="shared" si="206"/>
        <v>0</v>
      </c>
      <c r="BA351" s="197">
        <f t="shared" si="240"/>
        <v>7.2596940000000013E-2</v>
      </c>
      <c r="BB351" s="258">
        <f t="shared" si="207"/>
        <v>0.36575210336206115</v>
      </c>
      <c r="BC351" s="197">
        <f t="shared" si="208"/>
        <v>2.2380490766334034E-2</v>
      </c>
      <c r="BD351" s="197">
        <f t="shared" si="241"/>
        <v>4.4760981532668068E-3</v>
      </c>
      <c r="BE351" s="197">
        <f t="shared" si="242"/>
        <v>2.6856588919600841E-2</v>
      </c>
      <c r="BF351" s="197">
        <f t="shared" si="209"/>
        <v>0.20773291256157633</v>
      </c>
      <c r="BG351" s="197">
        <f t="shared" si="210"/>
        <v>5.4608303342508187E-4</v>
      </c>
      <c r="BH351" s="197">
        <f t="shared" si="211"/>
        <v>3.5336687086656722E-2</v>
      </c>
      <c r="BI351" s="197">
        <f t="shared" si="243"/>
        <v>0.44730899017824427</v>
      </c>
      <c r="BJ351" s="197">
        <f t="shared" si="212"/>
        <v>6.769615024661003</v>
      </c>
      <c r="BK351" s="288">
        <f t="shared" si="213"/>
        <v>0.93392401361838984</v>
      </c>
      <c r="BL351" s="197">
        <f t="shared" si="214"/>
        <v>0.37608972359227794</v>
      </c>
      <c r="BM351" s="197">
        <f t="shared" si="215"/>
        <v>7.4353030976985271E-2</v>
      </c>
      <c r="BN351" s="197">
        <f t="shared" si="216"/>
        <v>54.461181858619113</v>
      </c>
      <c r="BO351" s="197">
        <f t="shared" si="244"/>
        <v>0.2082789955950014</v>
      </c>
      <c r="BP351" s="197">
        <f t="shared" si="217"/>
        <v>65.620924669625111</v>
      </c>
      <c r="BQ351" s="197">
        <f t="shared" si="218"/>
        <v>9.9596940000000009E-2</v>
      </c>
      <c r="BR351" s="288">
        <f t="shared" si="219"/>
        <v>0.16008975919012108</v>
      </c>
      <c r="BS351" s="197">
        <f t="shared" si="220"/>
        <v>0.11660930017110901</v>
      </c>
      <c r="BT351" s="197">
        <f t="shared" si="221"/>
        <v>0.36419974881911377</v>
      </c>
      <c r="BU351" s="197">
        <f t="shared" si="222"/>
        <v>0.1713930788771201</v>
      </c>
      <c r="BV351" s="197">
        <f t="shared" si="223"/>
        <v>0.53530306917875781</v>
      </c>
      <c r="BW351" s="194"/>
      <c r="BX351" s="194"/>
      <c r="BY351" s="194"/>
      <c r="BZ351" s="194"/>
      <c r="CA351" s="194"/>
      <c r="CB351" s="194"/>
      <c r="CC351" s="194"/>
      <c r="CD351" s="194"/>
      <c r="CE351" s="194"/>
      <c r="CF351" s="194"/>
      <c r="CG351" s="194"/>
      <c r="CH351" s="194"/>
      <c r="CI351" s="194"/>
      <c r="CJ351" s="194"/>
      <c r="CK351" s="194"/>
      <c r="CL351" s="194"/>
      <c r="CM351" s="194"/>
      <c r="CN351" s="194"/>
      <c r="CO351" s="194"/>
      <c r="CP351" s="194"/>
      <c r="CQ351" s="194"/>
      <c r="CR351" s="194"/>
      <c r="CS351" s="194"/>
      <c r="CT351" s="194"/>
      <c r="CU351" s="194"/>
      <c r="CV351" s="194"/>
      <c r="CW351" s="194"/>
      <c r="CX351" s="194"/>
      <c r="CY351" s="194"/>
      <c r="CZ351" s="194"/>
      <c r="DA351" s="194"/>
      <c r="DB351" s="194"/>
      <c r="DC351" s="194"/>
      <c r="DD351" s="194"/>
      <c r="DE351" s="194"/>
      <c r="DF351" s="194"/>
    </row>
    <row r="352" spans="2:110" s="192" customFormat="1" hidden="1" x14ac:dyDescent="0.35">
      <c r="B352" s="289"/>
      <c r="C352" s="289"/>
      <c r="Q352" s="193"/>
      <c r="R352" s="194">
        <f t="shared" si="224"/>
        <v>18</v>
      </c>
      <c r="S352" s="197">
        <f t="shared" si="190"/>
        <v>0.3888888888888889</v>
      </c>
      <c r="T352" s="194">
        <f t="shared" si="245"/>
        <v>0.69</v>
      </c>
      <c r="U352" s="194">
        <f t="shared" si="246"/>
        <v>1.4999999999999999E-4</v>
      </c>
      <c r="V352" s="197">
        <f t="shared" si="225"/>
        <v>0.3888888888888889</v>
      </c>
      <c r="W352" s="197">
        <f t="shared" si="191"/>
        <v>4.3555555555555561E-3</v>
      </c>
      <c r="X352" s="286">
        <f t="shared" si="192"/>
        <v>1</v>
      </c>
      <c r="Y352" s="286">
        <f t="shared" si="193"/>
        <v>0.17335969315081967</v>
      </c>
      <c r="Z352" s="286">
        <f t="shared" si="194"/>
        <v>0.54964853345132902</v>
      </c>
      <c r="AA352" s="286">
        <f t="shared" si="226"/>
        <v>0.17335969315081967</v>
      </c>
      <c r="AB352" s="197">
        <f t="shared" si="195"/>
        <v>0.36419974881911377</v>
      </c>
      <c r="AC352" s="287">
        <f t="shared" si="196"/>
        <v>4.4451203372005044E-7</v>
      </c>
      <c r="AD352" s="197">
        <f t="shared" si="227"/>
        <v>11.693936048110356</v>
      </c>
      <c r="AE352" s="197">
        <f t="shared" si="228"/>
        <v>35.08180814433107</v>
      </c>
      <c r="AF352" s="197">
        <f t="shared" si="229"/>
        <v>8.5178571428571423E-2</v>
      </c>
      <c r="AG352" s="197">
        <f t="shared" si="230"/>
        <v>0.25553571428571431</v>
      </c>
      <c r="AH352" s="197">
        <f t="shared" si="197"/>
        <v>0.11660930017110901</v>
      </c>
      <c r="AI352" s="197">
        <f t="shared" si="231"/>
        <v>0.11660930017110901</v>
      </c>
      <c r="AJ352" s="218">
        <f t="shared" si="198"/>
        <v>390.00000000000006</v>
      </c>
      <c r="AK352" s="197">
        <f t="shared" si="232"/>
        <v>6.0930617977437734E-2</v>
      </c>
      <c r="AL352" s="197">
        <f t="shared" si="233"/>
        <v>9.6203707235237593E-2</v>
      </c>
      <c r="AM352" s="197">
        <f t="shared" si="234"/>
        <v>4.0790371867740751E-3</v>
      </c>
      <c r="AN352" s="197">
        <f t="shared" si="199"/>
        <v>24.05</v>
      </c>
      <c r="AO352" s="197">
        <f t="shared" si="200"/>
        <v>21.69</v>
      </c>
      <c r="AP352" s="197">
        <f t="shared" si="235"/>
        <v>7.4093290390420161E-2</v>
      </c>
      <c r="AQ352" s="197">
        <f t="shared" si="236"/>
        <v>0.42250439890466829</v>
      </c>
      <c r="AR352" s="197">
        <f t="shared" si="237"/>
        <v>0.30589509873355925</v>
      </c>
      <c r="AS352" s="258">
        <f t="shared" si="238"/>
        <v>0.15228632177729159</v>
      </c>
      <c r="AT352" s="197">
        <f t="shared" si="201"/>
        <v>2.5974058656511614E-4</v>
      </c>
      <c r="AU352" s="194">
        <f t="shared" si="202"/>
        <v>21.19</v>
      </c>
      <c r="AV352" s="197">
        <f t="shared" si="203"/>
        <v>2.7E-2</v>
      </c>
      <c r="AW352" s="197">
        <f t="shared" si="204"/>
        <v>3.4260000000000002E-3</v>
      </c>
      <c r="AX352" s="197">
        <f t="shared" si="239"/>
        <v>6.1668000000000001E-2</v>
      </c>
      <c r="AY352" s="197">
        <f t="shared" si="205"/>
        <v>2.8867476000000005E-3</v>
      </c>
      <c r="AZ352" s="197">
        <f t="shared" si="206"/>
        <v>0</v>
      </c>
      <c r="BA352" s="197">
        <f t="shared" si="240"/>
        <v>7.2596940000000013E-2</v>
      </c>
      <c r="BB352" s="258">
        <f t="shared" si="207"/>
        <v>0.36575210336206115</v>
      </c>
      <c r="BC352" s="197">
        <f t="shared" si="208"/>
        <v>2.2380490766334034E-2</v>
      </c>
      <c r="BD352" s="197">
        <f t="shared" si="241"/>
        <v>4.4760981532668068E-3</v>
      </c>
      <c r="BE352" s="197">
        <f t="shared" si="242"/>
        <v>2.6856588919600841E-2</v>
      </c>
      <c r="BF352" s="197">
        <f t="shared" si="209"/>
        <v>0.20773291256157633</v>
      </c>
      <c r="BG352" s="197">
        <f t="shared" si="210"/>
        <v>5.4608303342508187E-4</v>
      </c>
      <c r="BH352" s="197">
        <f t="shared" si="211"/>
        <v>3.5336687086656722E-2</v>
      </c>
      <c r="BI352" s="197">
        <f t="shared" si="243"/>
        <v>0.44730899017824427</v>
      </c>
      <c r="BJ352" s="197">
        <f t="shared" si="212"/>
        <v>6.769615024661003</v>
      </c>
      <c r="BK352" s="288">
        <f t="shared" si="213"/>
        <v>0.93392401361838984</v>
      </c>
      <c r="BL352" s="197">
        <f t="shared" si="214"/>
        <v>0.37608972359227794</v>
      </c>
      <c r="BM352" s="197">
        <f t="shared" si="215"/>
        <v>7.4353030976985271E-2</v>
      </c>
      <c r="BN352" s="197">
        <f t="shared" si="216"/>
        <v>54.461181858619113</v>
      </c>
      <c r="BO352" s="197">
        <f t="shared" si="244"/>
        <v>0.2082789955950014</v>
      </c>
      <c r="BP352" s="197">
        <f t="shared" si="217"/>
        <v>65.620924669625111</v>
      </c>
      <c r="BQ352" s="197">
        <f t="shared" si="218"/>
        <v>9.9596940000000009E-2</v>
      </c>
      <c r="BR352" s="288">
        <f t="shared" si="219"/>
        <v>0.16008975919012108</v>
      </c>
      <c r="BS352" s="197">
        <f t="shared" si="220"/>
        <v>0.11660930017110901</v>
      </c>
      <c r="BT352" s="197">
        <f t="shared" si="221"/>
        <v>0.36419974881911377</v>
      </c>
      <c r="BU352" s="197">
        <f t="shared" si="222"/>
        <v>0.1713930788771201</v>
      </c>
      <c r="BV352" s="197">
        <f t="shared" si="223"/>
        <v>0.53530306917875781</v>
      </c>
      <c r="BW352" s="194"/>
      <c r="BX352" s="194"/>
      <c r="BY352" s="194"/>
      <c r="BZ352" s="194"/>
      <c r="CA352" s="194"/>
      <c r="CB352" s="194"/>
      <c r="CC352" s="194"/>
      <c r="CD352" s="194"/>
      <c r="CE352" s="194"/>
      <c r="CF352" s="194"/>
      <c r="CG352" s="194"/>
      <c r="CH352" s="194"/>
      <c r="CI352" s="194"/>
      <c r="CJ352" s="194"/>
      <c r="CK352" s="194"/>
      <c r="CL352" s="194"/>
      <c r="CM352" s="194"/>
      <c r="CN352" s="194"/>
      <c r="CO352" s="194"/>
      <c r="CP352" s="194"/>
      <c r="CQ352" s="194"/>
      <c r="CR352" s="194"/>
      <c r="CS352" s="194"/>
      <c r="CT352" s="194"/>
      <c r="CU352" s="194"/>
      <c r="CV352" s="194"/>
      <c r="CW352" s="194"/>
      <c r="CX352" s="194"/>
      <c r="CY352" s="194"/>
      <c r="CZ352" s="194"/>
      <c r="DA352" s="194"/>
      <c r="DB352" s="194"/>
      <c r="DC352" s="194"/>
      <c r="DD352" s="194"/>
      <c r="DE352" s="194"/>
      <c r="DF352" s="194"/>
    </row>
    <row r="353" spans="2:110" s="192" customFormat="1" hidden="1" x14ac:dyDescent="0.35">
      <c r="B353" s="289"/>
      <c r="C353" s="289"/>
      <c r="Q353" s="193"/>
      <c r="R353" s="194">
        <f t="shared" si="224"/>
        <v>18</v>
      </c>
      <c r="S353" s="197">
        <f t="shared" si="190"/>
        <v>0.3888888888888889</v>
      </c>
      <c r="T353" s="194">
        <f t="shared" si="245"/>
        <v>0.69</v>
      </c>
      <c r="U353" s="194">
        <f t="shared" si="246"/>
        <v>1.4999999999999999E-4</v>
      </c>
      <c r="V353" s="197">
        <f t="shared" si="225"/>
        <v>0.3888888888888889</v>
      </c>
      <c r="W353" s="197">
        <f t="shared" si="191"/>
        <v>4.3555555555555561E-3</v>
      </c>
      <c r="X353" s="286">
        <f t="shared" si="192"/>
        <v>1</v>
      </c>
      <c r="Y353" s="286">
        <f t="shared" si="193"/>
        <v>0.17335969315081967</v>
      </c>
      <c r="Z353" s="286">
        <f t="shared" si="194"/>
        <v>0.54964853345132902</v>
      </c>
      <c r="AA353" s="286">
        <f t="shared" si="226"/>
        <v>0.17335969315081967</v>
      </c>
      <c r="AB353" s="197">
        <f t="shared" si="195"/>
        <v>0.36419974881911377</v>
      </c>
      <c r="AC353" s="287">
        <f t="shared" si="196"/>
        <v>4.4451203372005044E-7</v>
      </c>
      <c r="AD353" s="197">
        <f t="shared" si="227"/>
        <v>11.693936048110356</v>
      </c>
      <c r="AE353" s="197">
        <f t="shared" si="228"/>
        <v>35.08180814433107</v>
      </c>
      <c r="AF353" s="197">
        <f t="shared" si="229"/>
        <v>8.5178571428571423E-2</v>
      </c>
      <c r="AG353" s="197">
        <f t="shared" si="230"/>
        <v>0.25553571428571431</v>
      </c>
      <c r="AH353" s="197">
        <f t="shared" si="197"/>
        <v>0.11660930017110901</v>
      </c>
      <c r="AI353" s="197">
        <f t="shared" si="231"/>
        <v>0.11660930017110901</v>
      </c>
      <c r="AJ353" s="218">
        <f t="shared" si="198"/>
        <v>390.00000000000006</v>
      </c>
      <c r="AK353" s="197">
        <f t="shared" si="232"/>
        <v>6.0930617977437734E-2</v>
      </c>
      <c r="AL353" s="197">
        <f t="shared" si="233"/>
        <v>9.6203707235237593E-2</v>
      </c>
      <c r="AM353" s="197">
        <f t="shared" si="234"/>
        <v>4.0790371867740751E-3</v>
      </c>
      <c r="AN353" s="197">
        <f t="shared" si="199"/>
        <v>24.05</v>
      </c>
      <c r="AO353" s="197">
        <f t="shared" si="200"/>
        <v>21.69</v>
      </c>
      <c r="AP353" s="197">
        <f t="shared" si="235"/>
        <v>7.4093290390420161E-2</v>
      </c>
      <c r="AQ353" s="197">
        <f t="shared" si="236"/>
        <v>0.42250439890466829</v>
      </c>
      <c r="AR353" s="197">
        <f t="shared" si="237"/>
        <v>0.30589509873355925</v>
      </c>
      <c r="AS353" s="258">
        <f t="shared" si="238"/>
        <v>0.15228632177729159</v>
      </c>
      <c r="AT353" s="197">
        <f t="shared" si="201"/>
        <v>2.5974058656511614E-4</v>
      </c>
      <c r="AU353" s="194">
        <f t="shared" si="202"/>
        <v>21.19</v>
      </c>
      <c r="AV353" s="197">
        <f t="shared" si="203"/>
        <v>2.7E-2</v>
      </c>
      <c r="AW353" s="197">
        <f t="shared" si="204"/>
        <v>3.4260000000000002E-3</v>
      </c>
      <c r="AX353" s="197">
        <f t="shared" si="239"/>
        <v>6.1668000000000001E-2</v>
      </c>
      <c r="AY353" s="197">
        <f t="shared" si="205"/>
        <v>2.8867476000000005E-3</v>
      </c>
      <c r="AZ353" s="197">
        <f t="shared" si="206"/>
        <v>0</v>
      </c>
      <c r="BA353" s="197">
        <f t="shared" si="240"/>
        <v>7.2596940000000013E-2</v>
      </c>
      <c r="BB353" s="258">
        <f t="shared" si="207"/>
        <v>0.36575210336206115</v>
      </c>
      <c r="BC353" s="197">
        <f t="shared" si="208"/>
        <v>2.2380490766334034E-2</v>
      </c>
      <c r="BD353" s="197">
        <f t="shared" si="241"/>
        <v>4.4760981532668068E-3</v>
      </c>
      <c r="BE353" s="197">
        <f t="shared" si="242"/>
        <v>2.6856588919600841E-2</v>
      </c>
      <c r="BF353" s="197">
        <f t="shared" si="209"/>
        <v>0.20773291256157633</v>
      </c>
      <c r="BG353" s="197">
        <f t="shared" si="210"/>
        <v>5.4608303342508187E-4</v>
      </c>
      <c r="BH353" s="197">
        <f t="shared" si="211"/>
        <v>3.5336687086656722E-2</v>
      </c>
      <c r="BI353" s="197">
        <f t="shared" si="243"/>
        <v>0.44730899017824427</v>
      </c>
      <c r="BJ353" s="197">
        <f t="shared" si="212"/>
        <v>6.769615024661003</v>
      </c>
      <c r="BK353" s="288">
        <f t="shared" si="213"/>
        <v>0.93392401361838984</v>
      </c>
      <c r="BL353" s="197">
        <f t="shared" si="214"/>
        <v>0.37608972359227794</v>
      </c>
      <c r="BM353" s="197">
        <f t="shared" si="215"/>
        <v>7.4353030976985271E-2</v>
      </c>
      <c r="BN353" s="197">
        <f t="shared" si="216"/>
        <v>54.461181858619113</v>
      </c>
      <c r="BO353" s="197">
        <f t="shared" si="244"/>
        <v>0.2082789955950014</v>
      </c>
      <c r="BP353" s="197">
        <f t="shared" si="217"/>
        <v>65.620924669625111</v>
      </c>
      <c r="BQ353" s="197">
        <f t="shared" si="218"/>
        <v>9.9596940000000009E-2</v>
      </c>
      <c r="BR353" s="288">
        <f t="shared" si="219"/>
        <v>0.16008975919012108</v>
      </c>
      <c r="BS353" s="197">
        <f t="shared" si="220"/>
        <v>0.11660930017110901</v>
      </c>
      <c r="BT353" s="197">
        <f t="shared" si="221"/>
        <v>0.36419974881911377</v>
      </c>
      <c r="BU353" s="197">
        <f t="shared" si="222"/>
        <v>0.1713930788771201</v>
      </c>
      <c r="BV353" s="197">
        <f t="shared" si="223"/>
        <v>0.53530306917875781</v>
      </c>
      <c r="BW353" s="194"/>
      <c r="BX353" s="194"/>
      <c r="BY353" s="194"/>
      <c r="BZ353" s="194"/>
      <c r="CA353" s="194"/>
      <c r="CB353" s="194"/>
      <c r="CC353" s="194"/>
      <c r="CD353" s="194"/>
      <c r="CE353" s="194"/>
      <c r="CF353" s="194"/>
      <c r="CG353" s="194"/>
      <c r="CH353" s="194"/>
      <c r="CI353" s="194"/>
      <c r="CJ353" s="194"/>
      <c r="CK353" s="194"/>
      <c r="CL353" s="194"/>
      <c r="CM353" s="194"/>
      <c r="CN353" s="194"/>
      <c r="CO353" s="194"/>
      <c r="CP353" s="194"/>
      <c r="CQ353" s="194"/>
      <c r="CR353" s="194"/>
      <c r="CS353" s="194"/>
      <c r="CT353" s="194"/>
      <c r="CU353" s="194"/>
      <c r="CV353" s="194"/>
      <c r="CW353" s="194"/>
      <c r="CX353" s="194"/>
      <c r="CY353" s="194"/>
      <c r="CZ353" s="194"/>
      <c r="DA353" s="194"/>
      <c r="DB353" s="194"/>
      <c r="DC353" s="194"/>
      <c r="DD353" s="194"/>
      <c r="DE353" s="194"/>
      <c r="DF353" s="194"/>
    </row>
    <row r="354" spans="2:110" s="192" customFormat="1" hidden="1" x14ac:dyDescent="0.35">
      <c r="B354" s="289"/>
      <c r="C354" s="289"/>
      <c r="Q354" s="193"/>
      <c r="R354" s="194">
        <f t="shared" si="224"/>
        <v>18</v>
      </c>
      <c r="S354" s="197">
        <f t="shared" si="190"/>
        <v>0.3888888888888889</v>
      </c>
      <c r="T354" s="194">
        <f t="shared" si="245"/>
        <v>0.69</v>
      </c>
      <c r="U354" s="194">
        <f t="shared" si="246"/>
        <v>1.4999999999999999E-4</v>
      </c>
      <c r="V354" s="197">
        <f t="shared" si="225"/>
        <v>0.3888888888888889</v>
      </c>
      <c r="W354" s="197">
        <f t="shared" si="191"/>
        <v>4.3555555555555561E-3</v>
      </c>
      <c r="X354" s="286">
        <f t="shared" si="192"/>
        <v>1</v>
      </c>
      <c r="Y354" s="286">
        <f t="shared" si="193"/>
        <v>0.17335969315081967</v>
      </c>
      <c r="Z354" s="286">
        <f t="shared" si="194"/>
        <v>0.54964853345132902</v>
      </c>
      <c r="AA354" s="286">
        <f t="shared" si="226"/>
        <v>0.17335969315081967</v>
      </c>
      <c r="AB354" s="197">
        <f t="shared" si="195"/>
        <v>0.36419974881911377</v>
      </c>
      <c r="AC354" s="287">
        <f t="shared" si="196"/>
        <v>4.4451203372005044E-7</v>
      </c>
      <c r="AD354" s="197">
        <f t="shared" si="227"/>
        <v>11.693936048110356</v>
      </c>
      <c r="AE354" s="197">
        <f t="shared" si="228"/>
        <v>35.08180814433107</v>
      </c>
      <c r="AF354" s="197">
        <f t="shared" si="229"/>
        <v>8.5178571428571423E-2</v>
      </c>
      <c r="AG354" s="197">
        <f t="shared" si="230"/>
        <v>0.25553571428571431</v>
      </c>
      <c r="AH354" s="197">
        <f t="shared" si="197"/>
        <v>0.11660930017110901</v>
      </c>
      <c r="AI354" s="197">
        <f t="shared" si="231"/>
        <v>0.11660930017110901</v>
      </c>
      <c r="AJ354" s="218">
        <f t="shared" si="198"/>
        <v>390.00000000000006</v>
      </c>
      <c r="AK354" s="197">
        <f t="shared" si="232"/>
        <v>6.0930617977437734E-2</v>
      </c>
      <c r="AL354" s="197">
        <f t="shared" si="233"/>
        <v>9.6203707235237593E-2</v>
      </c>
      <c r="AM354" s="197">
        <f t="shared" si="234"/>
        <v>4.0790371867740751E-3</v>
      </c>
      <c r="AN354" s="197">
        <f t="shared" si="199"/>
        <v>24.05</v>
      </c>
      <c r="AO354" s="197">
        <f t="shared" si="200"/>
        <v>21.69</v>
      </c>
      <c r="AP354" s="197">
        <f t="shared" si="235"/>
        <v>7.4093290390420161E-2</v>
      </c>
      <c r="AQ354" s="197">
        <f t="shared" si="236"/>
        <v>0.42250439890466829</v>
      </c>
      <c r="AR354" s="197">
        <f t="shared" si="237"/>
        <v>0.30589509873355925</v>
      </c>
      <c r="AS354" s="258">
        <f t="shared" si="238"/>
        <v>0.15228632177729159</v>
      </c>
      <c r="AT354" s="197">
        <f t="shared" si="201"/>
        <v>2.5974058656511614E-4</v>
      </c>
      <c r="AU354" s="194">
        <f t="shared" si="202"/>
        <v>21.19</v>
      </c>
      <c r="AV354" s="197">
        <f t="shared" si="203"/>
        <v>2.7E-2</v>
      </c>
      <c r="AW354" s="197">
        <f t="shared" si="204"/>
        <v>3.4260000000000002E-3</v>
      </c>
      <c r="AX354" s="197">
        <f t="shared" si="239"/>
        <v>6.1668000000000001E-2</v>
      </c>
      <c r="AY354" s="197">
        <f t="shared" si="205"/>
        <v>2.8867476000000005E-3</v>
      </c>
      <c r="AZ354" s="197">
        <f t="shared" si="206"/>
        <v>0</v>
      </c>
      <c r="BA354" s="197">
        <f t="shared" si="240"/>
        <v>7.2596940000000013E-2</v>
      </c>
      <c r="BB354" s="258">
        <f t="shared" si="207"/>
        <v>0.36575210336206115</v>
      </c>
      <c r="BC354" s="197">
        <f t="shared" si="208"/>
        <v>2.2380490766334034E-2</v>
      </c>
      <c r="BD354" s="197">
        <f t="shared" si="241"/>
        <v>4.4760981532668068E-3</v>
      </c>
      <c r="BE354" s="197">
        <f t="shared" si="242"/>
        <v>2.6856588919600841E-2</v>
      </c>
      <c r="BF354" s="197">
        <f t="shared" si="209"/>
        <v>0.20773291256157633</v>
      </c>
      <c r="BG354" s="197">
        <f t="shared" si="210"/>
        <v>5.4608303342508187E-4</v>
      </c>
      <c r="BH354" s="197">
        <f t="shared" si="211"/>
        <v>3.5336687086656722E-2</v>
      </c>
      <c r="BI354" s="197">
        <f t="shared" si="243"/>
        <v>0.44730899017824427</v>
      </c>
      <c r="BJ354" s="197">
        <f t="shared" si="212"/>
        <v>6.769615024661003</v>
      </c>
      <c r="BK354" s="288">
        <f t="shared" si="213"/>
        <v>0.93392401361838984</v>
      </c>
      <c r="BL354" s="197">
        <f t="shared" si="214"/>
        <v>0.37608972359227794</v>
      </c>
      <c r="BM354" s="197">
        <f t="shared" si="215"/>
        <v>7.4353030976985271E-2</v>
      </c>
      <c r="BN354" s="197">
        <f t="shared" si="216"/>
        <v>54.461181858619113</v>
      </c>
      <c r="BO354" s="197">
        <f t="shared" si="244"/>
        <v>0.2082789955950014</v>
      </c>
      <c r="BP354" s="197">
        <f t="shared" si="217"/>
        <v>65.620924669625111</v>
      </c>
      <c r="BQ354" s="197">
        <f t="shared" si="218"/>
        <v>9.9596940000000009E-2</v>
      </c>
      <c r="BR354" s="288">
        <f t="shared" si="219"/>
        <v>0.16008975919012108</v>
      </c>
      <c r="BS354" s="197">
        <f t="shared" si="220"/>
        <v>0.11660930017110901</v>
      </c>
      <c r="BT354" s="197">
        <f t="shared" si="221"/>
        <v>0.36419974881911377</v>
      </c>
      <c r="BU354" s="197">
        <f t="shared" si="222"/>
        <v>0.1713930788771201</v>
      </c>
      <c r="BV354" s="197">
        <f t="shared" si="223"/>
        <v>0.53530306917875781</v>
      </c>
      <c r="BW354" s="194"/>
      <c r="BX354" s="194"/>
      <c r="BY354" s="194"/>
      <c r="BZ354" s="194"/>
      <c r="CA354" s="194"/>
      <c r="CB354" s="194"/>
      <c r="CC354" s="194"/>
      <c r="CD354" s="194"/>
      <c r="CE354" s="194"/>
      <c r="CF354" s="194"/>
      <c r="CG354" s="194"/>
      <c r="CH354" s="194"/>
      <c r="CI354" s="194"/>
      <c r="CJ354" s="194"/>
      <c r="CK354" s="194"/>
      <c r="CL354" s="194"/>
      <c r="CM354" s="194"/>
      <c r="CN354" s="194"/>
      <c r="CO354" s="194"/>
      <c r="CP354" s="194"/>
      <c r="CQ354" s="194"/>
      <c r="CR354" s="194"/>
      <c r="CS354" s="194"/>
      <c r="CT354" s="194"/>
      <c r="CU354" s="194"/>
      <c r="CV354" s="194"/>
      <c r="CW354" s="194"/>
      <c r="CX354" s="194"/>
      <c r="CY354" s="194"/>
      <c r="CZ354" s="194"/>
      <c r="DA354" s="194"/>
      <c r="DB354" s="194"/>
      <c r="DC354" s="194"/>
      <c r="DD354" s="194"/>
      <c r="DE354" s="194"/>
      <c r="DF354" s="194"/>
    </row>
    <row r="355" spans="2:110" s="192" customFormat="1" hidden="1" x14ac:dyDescent="0.35">
      <c r="B355" s="289"/>
      <c r="C355" s="289"/>
      <c r="Q355" s="193"/>
      <c r="R355" s="194">
        <f t="shared" si="224"/>
        <v>18</v>
      </c>
      <c r="S355" s="197">
        <f t="shared" si="190"/>
        <v>0.3888888888888889</v>
      </c>
      <c r="T355" s="194">
        <f t="shared" si="245"/>
        <v>0.69</v>
      </c>
      <c r="U355" s="194">
        <f t="shared" si="246"/>
        <v>1.4999999999999999E-4</v>
      </c>
      <c r="V355" s="197">
        <f t="shared" si="225"/>
        <v>0.3888888888888889</v>
      </c>
      <c r="W355" s="197">
        <f t="shared" si="191"/>
        <v>4.3555555555555561E-3</v>
      </c>
      <c r="X355" s="286">
        <f t="shared" si="192"/>
        <v>1</v>
      </c>
      <c r="Y355" s="286">
        <f t="shared" si="193"/>
        <v>0.17335969315081967</v>
      </c>
      <c r="Z355" s="286">
        <f t="shared" si="194"/>
        <v>0.54964853345132902</v>
      </c>
      <c r="AA355" s="286">
        <f t="shared" si="226"/>
        <v>0.17335969315081967</v>
      </c>
      <c r="AB355" s="197">
        <f t="shared" si="195"/>
        <v>0.36419974881911377</v>
      </c>
      <c r="AC355" s="287">
        <f t="shared" si="196"/>
        <v>4.4451203372005044E-7</v>
      </c>
      <c r="AD355" s="197">
        <f t="shared" si="227"/>
        <v>11.693936048110356</v>
      </c>
      <c r="AE355" s="197">
        <f t="shared" si="228"/>
        <v>35.08180814433107</v>
      </c>
      <c r="AF355" s="197">
        <f t="shared" si="229"/>
        <v>8.5178571428571423E-2</v>
      </c>
      <c r="AG355" s="197">
        <f t="shared" si="230"/>
        <v>0.25553571428571431</v>
      </c>
      <c r="AH355" s="197">
        <f t="shared" si="197"/>
        <v>0.11660930017110901</v>
      </c>
      <c r="AI355" s="197">
        <f t="shared" si="231"/>
        <v>0.11660930017110901</v>
      </c>
      <c r="AJ355" s="218">
        <f t="shared" si="198"/>
        <v>390.00000000000006</v>
      </c>
      <c r="AK355" s="197">
        <f t="shared" si="232"/>
        <v>6.0930617977437734E-2</v>
      </c>
      <c r="AL355" s="197">
        <f t="shared" si="233"/>
        <v>9.6203707235237593E-2</v>
      </c>
      <c r="AM355" s="197">
        <f t="shared" si="234"/>
        <v>4.0790371867740751E-3</v>
      </c>
      <c r="AN355" s="197">
        <f t="shared" si="199"/>
        <v>24.05</v>
      </c>
      <c r="AO355" s="197">
        <f t="shared" si="200"/>
        <v>21.69</v>
      </c>
      <c r="AP355" s="197">
        <f t="shared" si="235"/>
        <v>7.4093290390420161E-2</v>
      </c>
      <c r="AQ355" s="197">
        <f t="shared" si="236"/>
        <v>0.42250439890466829</v>
      </c>
      <c r="AR355" s="197">
        <f t="shared" si="237"/>
        <v>0.30589509873355925</v>
      </c>
      <c r="AS355" s="258">
        <f t="shared" si="238"/>
        <v>0.15228632177729159</v>
      </c>
      <c r="AT355" s="197">
        <f t="shared" si="201"/>
        <v>2.5974058656511614E-4</v>
      </c>
      <c r="AU355" s="194">
        <f t="shared" si="202"/>
        <v>21.19</v>
      </c>
      <c r="AV355" s="197">
        <f t="shared" si="203"/>
        <v>2.7E-2</v>
      </c>
      <c r="AW355" s="197">
        <f t="shared" si="204"/>
        <v>3.4260000000000002E-3</v>
      </c>
      <c r="AX355" s="197">
        <f t="shared" si="239"/>
        <v>6.1668000000000001E-2</v>
      </c>
      <c r="AY355" s="197">
        <f t="shared" si="205"/>
        <v>2.8867476000000005E-3</v>
      </c>
      <c r="AZ355" s="197">
        <f t="shared" si="206"/>
        <v>0</v>
      </c>
      <c r="BA355" s="197">
        <f t="shared" si="240"/>
        <v>7.2596940000000013E-2</v>
      </c>
      <c r="BB355" s="258">
        <f t="shared" si="207"/>
        <v>0.36575210336206115</v>
      </c>
      <c r="BC355" s="197">
        <f t="shared" si="208"/>
        <v>2.2380490766334034E-2</v>
      </c>
      <c r="BD355" s="197">
        <f t="shared" si="241"/>
        <v>4.4760981532668068E-3</v>
      </c>
      <c r="BE355" s="197">
        <f t="shared" si="242"/>
        <v>2.6856588919600841E-2</v>
      </c>
      <c r="BF355" s="197">
        <f t="shared" si="209"/>
        <v>0.20773291256157633</v>
      </c>
      <c r="BG355" s="197">
        <f t="shared" si="210"/>
        <v>5.4608303342508187E-4</v>
      </c>
      <c r="BH355" s="197">
        <f t="shared" si="211"/>
        <v>3.5336687086656722E-2</v>
      </c>
      <c r="BI355" s="197">
        <f t="shared" si="243"/>
        <v>0.44730899017824427</v>
      </c>
      <c r="BJ355" s="197">
        <f t="shared" si="212"/>
        <v>6.769615024661003</v>
      </c>
      <c r="BK355" s="288">
        <f t="shared" si="213"/>
        <v>0.93392401361838984</v>
      </c>
      <c r="BL355" s="197">
        <f t="shared" si="214"/>
        <v>0.37608972359227794</v>
      </c>
      <c r="BM355" s="197">
        <f t="shared" si="215"/>
        <v>7.4353030976985271E-2</v>
      </c>
      <c r="BN355" s="197">
        <f t="shared" si="216"/>
        <v>54.461181858619113</v>
      </c>
      <c r="BO355" s="197">
        <f t="shared" si="244"/>
        <v>0.2082789955950014</v>
      </c>
      <c r="BP355" s="197">
        <f t="shared" si="217"/>
        <v>65.620924669625111</v>
      </c>
      <c r="BQ355" s="197">
        <f t="shared" si="218"/>
        <v>9.9596940000000009E-2</v>
      </c>
      <c r="BR355" s="288">
        <f t="shared" si="219"/>
        <v>0.16008975919012108</v>
      </c>
      <c r="BS355" s="197">
        <f t="shared" si="220"/>
        <v>0.11660930017110901</v>
      </c>
      <c r="BT355" s="197">
        <f t="shared" si="221"/>
        <v>0.36419974881911377</v>
      </c>
      <c r="BU355" s="197">
        <f t="shared" si="222"/>
        <v>0.1713930788771201</v>
      </c>
      <c r="BV355" s="197">
        <f t="shared" si="223"/>
        <v>0.53530306917875781</v>
      </c>
      <c r="BW355" s="194"/>
      <c r="BX355" s="194"/>
      <c r="BY355" s="194"/>
      <c r="BZ355" s="194"/>
      <c r="CA355" s="194"/>
      <c r="CB355" s="194"/>
      <c r="CC355" s="194"/>
      <c r="CD355" s="194"/>
      <c r="CE355" s="194"/>
      <c r="CF355" s="194"/>
      <c r="CG355" s="194"/>
      <c r="CH355" s="194"/>
      <c r="CI355" s="194"/>
      <c r="CJ355" s="194"/>
      <c r="CK355" s="194"/>
      <c r="CL355" s="194"/>
      <c r="CM355" s="194"/>
      <c r="CN355" s="194"/>
      <c r="CO355" s="194"/>
      <c r="CP355" s="194"/>
      <c r="CQ355" s="194"/>
      <c r="CR355" s="194"/>
      <c r="CS355" s="194"/>
      <c r="CT355" s="194"/>
      <c r="CU355" s="194"/>
      <c r="CV355" s="194"/>
      <c r="CW355" s="194"/>
      <c r="CX355" s="194"/>
      <c r="CY355" s="194"/>
      <c r="CZ355" s="194"/>
      <c r="DA355" s="194"/>
      <c r="DB355" s="194"/>
      <c r="DC355" s="194"/>
      <c r="DD355" s="194"/>
      <c r="DE355" s="194"/>
      <c r="DF355" s="194"/>
    </row>
    <row r="356" spans="2:110" s="192" customFormat="1" hidden="1" x14ac:dyDescent="0.35">
      <c r="B356" s="289"/>
      <c r="C356" s="289"/>
      <c r="Q356" s="193"/>
      <c r="R356" s="194">
        <f t="shared" si="224"/>
        <v>18</v>
      </c>
      <c r="S356" s="197">
        <f t="shared" si="190"/>
        <v>0.3888888888888889</v>
      </c>
      <c r="T356" s="194">
        <f t="shared" si="245"/>
        <v>0.69</v>
      </c>
      <c r="U356" s="194">
        <f t="shared" si="246"/>
        <v>1.4999999999999999E-4</v>
      </c>
      <c r="V356" s="197">
        <f t="shared" si="225"/>
        <v>0.3888888888888889</v>
      </c>
      <c r="W356" s="197">
        <f t="shared" si="191"/>
        <v>4.3555555555555561E-3</v>
      </c>
      <c r="X356" s="286">
        <f t="shared" si="192"/>
        <v>1</v>
      </c>
      <c r="Y356" s="286">
        <f t="shared" si="193"/>
        <v>0.17335969315081967</v>
      </c>
      <c r="Z356" s="286">
        <f t="shared" si="194"/>
        <v>0.54964853345132902</v>
      </c>
      <c r="AA356" s="286">
        <f t="shared" si="226"/>
        <v>0.17335969315081967</v>
      </c>
      <c r="AB356" s="197">
        <f t="shared" si="195"/>
        <v>0.36419974881911377</v>
      </c>
      <c r="AC356" s="287">
        <f t="shared" si="196"/>
        <v>4.4451203372005044E-7</v>
      </c>
      <c r="AD356" s="197">
        <f t="shared" si="227"/>
        <v>11.693936048110356</v>
      </c>
      <c r="AE356" s="197">
        <f t="shared" si="228"/>
        <v>35.08180814433107</v>
      </c>
      <c r="AF356" s="197">
        <f t="shared" si="229"/>
        <v>8.5178571428571423E-2</v>
      </c>
      <c r="AG356" s="197">
        <f t="shared" si="230"/>
        <v>0.25553571428571431</v>
      </c>
      <c r="AH356" s="197">
        <f t="shared" si="197"/>
        <v>0.11660930017110901</v>
      </c>
      <c r="AI356" s="197">
        <f t="shared" si="231"/>
        <v>0.11660930017110901</v>
      </c>
      <c r="AJ356" s="218">
        <f t="shared" si="198"/>
        <v>390.00000000000006</v>
      </c>
      <c r="AK356" s="197">
        <f t="shared" si="232"/>
        <v>6.0930617977437734E-2</v>
      </c>
      <c r="AL356" s="197">
        <f t="shared" si="233"/>
        <v>9.6203707235237593E-2</v>
      </c>
      <c r="AM356" s="197">
        <f t="shared" si="234"/>
        <v>4.0790371867740751E-3</v>
      </c>
      <c r="AN356" s="197">
        <f t="shared" si="199"/>
        <v>24.05</v>
      </c>
      <c r="AO356" s="197">
        <f t="shared" si="200"/>
        <v>21.69</v>
      </c>
      <c r="AP356" s="197">
        <f t="shared" si="235"/>
        <v>7.4093290390420161E-2</v>
      </c>
      <c r="AQ356" s="197">
        <f t="shared" si="236"/>
        <v>0.42250439890466829</v>
      </c>
      <c r="AR356" s="197">
        <f t="shared" si="237"/>
        <v>0.30589509873355925</v>
      </c>
      <c r="AS356" s="258">
        <f t="shared" si="238"/>
        <v>0.15228632177729159</v>
      </c>
      <c r="AT356" s="197">
        <f t="shared" si="201"/>
        <v>2.5974058656511614E-4</v>
      </c>
      <c r="AU356" s="194">
        <f t="shared" si="202"/>
        <v>21.19</v>
      </c>
      <c r="AV356" s="197">
        <f t="shared" si="203"/>
        <v>2.7E-2</v>
      </c>
      <c r="AW356" s="197">
        <f t="shared" si="204"/>
        <v>3.4260000000000002E-3</v>
      </c>
      <c r="AX356" s="197">
        <f t="shared" si="239"/>
        <v>6.1668000000000001E-2</v>
      </c>
      <c r="AY356" s="197">
        <f t="shared" si="205"/>
        <v>2.8867476000000005E-3</v>
      </c>
      <c r="AZ356" s="197">
        <f t="shared" si="206"/>
        <v>0</v>
      </c>
      <c r="BA356" s="197">
        <f t="shared" si="240"/>
        <v>7.2596940000000013E-2</v>
      </c>
      <c r="BB356" s="258">
        <f t="shared" si="207"/>
        <v>0.36575210336206115</v>
      </c>
      <c r="BC356" s="197">
        <f t="shared" si="208"/>
        <v>2.2380490766334034E-2</v>
      </c>
      <c r="BD356" s="197">
        <f t="shared" si="241"/>
        <v>4.4760981532668068E-3</v>
      </c>
      <c r="BE356" s="197">
        <f t="shared" si="242"/>
        <v>2.6856588919600841E-2</v>
      </c>
      <c r="BF356" s="197">
        <f t="shared" si="209"/>
        <v>0.20773291256157633</v>
      </c>
      <c r="BG356" s="197">
        <f t="shared" si="210"/>
        <v>5.4608303342508187E-4</v>
      </c>
      <c r="BH356" s="197">
        <f t="shared" si="211"/>
        <v>3.5336687086656722E-2</v>
      </c>
      <c r="BI356" s="197">
        <f t="shared" si="243"/>
        <v>0.44730899017824427</v>
      </c>
      <c r="BJ356" s="197">
        <f t="shared" si="212"/>
        <v>6.769615024661003</v>
      </c>
      <c r="BK356" s="288">
        <f t="shared" si="213"/>
        <v>0.93392401361838984</v>
      </c>
      <c r="BL356" s="197">
        <f t="shared" si="214"/>
        <v>0.37608972359227794</v>
      </c>
      <c r="BM356" s="197">
        <f t="shared" si="215"/>
        <v>7.4353030976985271E-2</v>
      </c>
      <c r="BN356" s="197">
        <f t="shared" si="216"/>
        <v>54.461181858619113</v>
      </c>
      <c r="BO356" s="197">
        <f t="shared" si="244"/>
        <v>0.2082789955950014</v>
      </c>
      <c r="BP356" s="197">
        <f t="shared" si="217"/>
        <v>65.620924669625111</v>
      </c>
      <c r="BQ356" s="197">
        <f t="shared" si="218"/>
        <v>9.9596940000000009E-2</v>
      </c>
      <c r="BR356" s="288">
        <f t="shared" si="219"/>
        <v>0.16008975919012108</v>
      </c>
      <c r="BS356" s="197">
        <f t="shared" si="220"/>
        <v>0.11660930017110901</v>
      </c>
      <c r="BT356" s="197">
        <f t="shared" si="221"/>
        <v>0.36419974881911377</v>
      </c>
      <c r="BU356" s="197">
        <f t="shared" si="222"/>
        <v>0.1713930788771201</v>
      </c>
      <c r="BV356" s="197">
        <f t="shared" si="223"/>
        <v>0.53530306917875781</v>
      </c>
      <c r="BW356" s="194"/>
      <c r="BX356" s="194"/>
      <c r="BY356" s="194"/>
      <c r="BZ356" s="194"/>
      <c r="CA356" s="194"/>
      <c r="CB356" s="194"/>
      <c r="CC356" s="194"/>
      <c r="CD356" s="194"/>
      <c r="CE356" s="194"/>
      <c r="CF356" s="194"/>
      <c r="CG356" s="194"/>
      <c r="CH356" s="194"/>
      <c r="CI356" s="194"/>
      <c r="CJ356" s="194"/>
      <c r="CK356" s="194"/>
      <c r="CL356" s="194"/>
      <c r="CM356" s="194"/>
      <c r="CN356" s="194"/>
      <c r="CO356" s="194"/>
      <c r="CP356" s="194"/>
      <c r="CQ356" s="194"/>
      <c r="CR356" s="194"/>
      <c r="CS356" s="194"/>
      <c r="CT356" s="194"/>
      <c r="CU356" s="194"/>
      <c r="CV356" s="194"/>
      <c r="CW356" s="194"/>
      <c r="CX356" s="194"/>
      <c r="CY356" s="194"/>
      <c r="CZ356" s="194"/>
      <c r="DA356" s="194"/>
      <c r="DB356" s="194"/>
      <c r="DC356" s="194"/>
      <c r="DD356" s="194"/>
      <c r="DE356" s="194"/>
      <c r="DF356" s="194"/>
    </row>
    <row r="357" spans="2:110" s="192" customFormat="1" hidden="1" x14ac:dyDescent="0.35">
      <c r="B357" s="289"/>
      <c r="C357" s="289"/>
      <c r="Q357" s="193"/>
      <c r="R357" s="194">
        <f t="shared" si="224"/>
        <v>18</v>
      </c>
      <c r="S357" s="197">
        <f t="shared" si="190"/>
        <v>0.3888888888888889</v>
      </c>
      <c r="T357" s="194">
        <f t="shared" si="245"/>
        <v>0.69</v>
      </c>
      <c r="U357" s="194">
        <f t="shared" si="246"/>
        <v>1.4999999999999999E-4</v>
      </c>
      <c r="V357" s="197">
        <f t="shared" si="225"/>
        <v>0.3888888888888889</v>
      </c>
      <c r="W357" s="197">
        <f t="shared" si="191"/>
        <v>4.3555555555555561E-3</v>
      </c>
      <c r="X357" s="286">
        <f t="shared" si="192"/>
        <v>1</v>
      </c>
      <c r="Y357" s="286">
        <f t="shared" si="193"/>
        <v>0.17335969315081967</v>
      </c>
      <c r="Z357" s="286">
        <f t="shared" si="194"/>
        <v>0.54964853345132902</v>
      </c>
      <c r="AA357" s="286">
        <f t="shared" si="226"/>
        <v>0.17335969315081967</v>
      </c>
      <c r="AB357" s="197">
        <f t="shared" si="195"/>
        <v>0.36419974881911377</v>
      </c>
      <c r="AC357" s="287">
        <f t="shared" si="196"/>
        <v>4.4451203372005044E-7</v>
      </c>
      <c r="AD357" s="197">
        <f t="shared" si="227"/>
        <v>11.693936048110356</v>
      </c>
      <c r="AE357" s="197">
        <f t="shared" si="228"/>
        <v>35.08180814433107</v>
      </c>
      <c r="AF357" s="197">
        <f t="shared" si="229"/>
        <v>8.5178571428571423E-2</v>
      </c>
      <c r="AG357" s="197">
        <f t="shared" si="230"/>
        <v>0.25553571428571431</v>
      </c>
      <c r="AH357" s="197">
        <f t="shared" si="197"/>
        <v>0.11660930017110901</v>
      </c>
      <c r="AI357" s="197">
        <f t="shared" si="231"/>
        <v>0.11660930017110901</v>
      </c>
      <c r="AJ357" s="218">
        <f t="shared" si="198"/>
        <v>390.00000000000006</v>
      </c>
      <c r="AK357" s="197">
        <f t="shared" si="232"/>
        <v>6.0930617977437734E-2</v>
      </c>
      <c r="AL357" s="197">
        <f t="shared" si="233"/>
        <v>9.6203707235237593E-2</v>
      </c>
      <c r="AM357" s="197">
        <f t="shared" si="234"/>
        <v>4.0790371867740751E-3</v>
      </c>
      <c r="AN357" s="197">
        <f t="shared" si="199"/>
        <v>24.05</v>
      </c>
      <c r="AO357" s="197">
        <f t="shared" si="200"/>
        <v>21.69</v>
      </c>
      <c r="AP357" s="197">
        <f t="shared" si="235"/>
        <v>7.4093290390420161E-2</v>
      </c>
      <c r="AQ357" s="197">
        <f t="shared" si="236"/>
        <v>0.42250439890466829</v>
      </c>
      <c r="AR357" s="197">
        <f t="shared" si="237"/>
        <v>0.30589509873355925</v>
      </c>
      <c r="AS357" s="258">
        <f t="shared" si="238"/>
        <v>0.15228632177729159</v>
      </c>
      <c r="AT357" s="197">
        <f t="shared" si="201"/>
        <v>2.5974058656511614E-4</v>
      </c>
      <c r="AU357" s="194">
        <f t="shared" si="202"/>
        <v>21.19</v>
      </c>
      <c r="AV357" s="197">
        <f t="shared" si="203"/>
        <v>2.7E-2</v>
      </c>
      <c r="AW357" s="197">
        <f t="shared" si="204"/>
        <v>3.4260000000000002E-3</v>
      </c>
      <c r="AX357" s="197">
        <f t="shared" si="239"/>
        <v>6.1668000000000001E-2</v>
      </c>
      <c r="AY357" s="197">
        <f t="shared" si="205"/>
        <v>2.8867476000000005E-3</v>
      </c>
      <c r="AZ357" s="197">
        <f t="shared" si="206"/>
        <v>0</v>
      </c>
      <c r="BA357" s="197">
        <f t="shared" si="240"/>
        <v>7.2596940000000013E-2</v>
      </c>
      <c r="BB357" s="258">
        <f t="shared" si="207"/>
        <v>0.36575210336206115</v>
      </c>
      <c r="BC357" s="197">
        <f t="shared" si="208"/>
        <v>2.2380490766334034E-2</v>
      </c>
      <c r="BD357" s="197">
        <f t="shared" si="241"/>
        <v>4.4760981532668068E-3</v>
      </c>
      <c r="BE357" s="197">
        <f t="shared" si="242"/>
        <v>2.6856588919600841E-2</v>
      </c>
      <c r="BF357" s="197">
        <f t="shared" si="209"/>
        <v>0.20773291256157633</v>
      </c>
      <c r="BG357" s="197">
        <f t="shared" si="210"/>
        <v>5.4608303342508187E-4</v>
      </c>
      <c r="BH357" s="197">
        <f t="shared" si="211"/>
        <v>3.5336687086656722E-2</v>
      </c>
      <c r="BI357" s="197">
        <f t="shared" si="243"/>
        <v>0.44730899017824427</v>
      </c>
      <c r="BJ357" s="197">
        <f t="shared" si="212"/>
        <v>6.769615024661003</v>
      </c>
      <c r="BK357" s="288">
        <f t="shared" si="213"/>
        <v>0.93392401361838984</v>
      </c>
      <c r="BL357" s="197">
        <f t="shared" si="214"/>
        <v>0.37608972359227794</v>
      </c>
      <c r="BM357" s="197">
        <f t="shared" si="215"/>
        <v>7.4353030976985271E-2</v>
      </c>
      <c r="BN357" s="197">
        <f t="shared" si="216"/>
        <v>54.461181858619113</v>
      </c>
      <c r="BO357" s="197">
        <f t="shared" si="244"/>
        <v>0.2082789955950014</v>
      </c>
      <c r="BP357" s="197">
        <f t="shared" si="217"/>
        <v>65.620924669625111</v>
      </c>
      <c r="BQ357" s="197">
        <f t="shared" si="218"/>
        <v>9.9596940000000009E-2</v>
      </c>
      <c r="BR357" s="288">
        <f t="shared" si="219"/>
        <v>0.16008975919012108</v>
      </c>
      <c r="BS357" s="197">
        <f t="shared" si="220"/>
        <v>0.11660930017110901</v>
      </c>
      <c r="BT357" s="197">
        <f t="shared" si="221"/>
        <v>0.36419974881911377</v>
      </c>
      <c r="BU357" s="197">
        <f t="shared" si="222"/>
        <v>0.1713930788771201</v>
      </c>
      <c r="BV357" s="197">
        <f t="shared" si="223"/>
        <v>0.53530306917875781</v>
      </c>
      <c r="BW357" s="194"/>
      <c r="BX357" s="194"/>
      <c r="BY357" s="194"/>
      <c r="BZ357" s="194"/>
      <c r="CA357" s="194"/>
      <c r="CB357" s="194"/>
      <c r="CC357" s="194"/>
      <c r="CD357" s="194"/>
      <c r="CE357" s="194"/>
      <c r="CF357" s="194"/>
      <c r="CG357" s="194"/>
      <c r="CH357" s="194"/>
      <c r="CI357" s="194"/>
      <c r="CJ357" s="194"/>
      <c r="CK357" s="194"/>
      <c r="CL357" s="194"/>
      <c r="CM357" s="194"/>
      <c r="CN357" s="194"/>
      <c r="CO357" s="194"/>
      <c r="CP357" s="194"/>
      <c r="CQ357" s="194"/>
      <c r="CR357" s="194"/>
      <c r="CS357" s="194"/>
      <c r="CT357" s="194"/>
      <c r="CU357" s="194"/>
      <c r="CV357" s="194"/>
      <c r="CW357" s="194"/>
      <c r="CX357" s="194"/>
      <c r="CY357" s="194"/>
      <c r="CZ357" s="194"/>
      <c r="DA357" s="194"/>
      <c r="DB357" s="194"/>
      <c r="DC357" s="194"/>
      <c r="DD357" s="194"/>
      <c r="DE357" s="194"/>
      <c r="DF357" s="194"/>
    </row>
    <row r="358" spans="2:110" s="192" customFormat="1" hidden="1" x14ac:dyDescent="0.35">
      <c r="B358" s="289"/>
      <c r="C358" s="289"/>
      <c r="Q358" s="193"/>
      <c r="R358" s="194">
        <f t="shared" si="224"/>
        <v>18</v>
      </c>
      <c r="S358" s="197">
        <f t="shared" si="190"/>
        <v>0.3888888888888889</v>
      </c>
      <c r="T358" s="194">
        <f t="shared" si="245"/>
        <v>0.69</v>
      </c>
      <c r="U358" s="194">
        <f t="shared" si="246"/>
        <v>1.4999999999999999E-4</v>
      </c>
      <c r="V358" s="197">
        <f t="shared" si="225"/>
        <v>0.3888888888888889</v>
      </c>
      <c r="W358" s="197">
        <f t="shared" si="191"/>
        <v>4.3555555555555561E-3</v>
      </c>
      <c r="X358" s="286">
        <f t="shared" si="192"/>
        <v>1</v>
      </c>
      <c r="Y358" s="286">
        <f t="shared" si="193"/>
        <v>0.17335969315081967</v>
      </c>
      <c r="Z358" s="286">
        <f t="shared" si="194"/>
        <v>0.54964853345132902</v>
      </c>
      <c r="AA358" s="286">
        <f t="shared" si="226"/>
        <v>0.17335969315081967</v>
      </c>
      <c r="AB358" s="197">
        <f t="shared" si="195"/>
        <v>0.36419974881911377</v>
      </c>
      <c r="AC358" s="287">
        <f t="shared" si="196"/>
        <v>4.4451203372005044E-7</v>
      </c>
      <c r="AD358" s="197">
        <f t="shared" si="227"/>
        <v>11.693936048110356</v>
      </c>
      <c r="AE358" s="197">
        <f t="shared" si="228"/>
        <v>35.08180814433107</v>
      </c>
      <c r="AF358" s="197">
        <f t="shared" si="229"/>
        <v>8.5178571428571423E-2</v>
      </c>
      <c r="AG358" s="197">
        <f t="shared" si="230"/>
        <v>0.25553571428571431</v>
      </c>
      <c r="AH358" s="197">
        <f t="shared" si="197"/>
        <v>0.11660930017110901</v>
      </c>
      <c r="AI358" s="197">
        <f t="shared" si="231"/>
        <v>0.11660930017110901</v>
      </c>
      <c r="AJ358" s="218">
        <f t="shared" si="198"/>
        <v>390.00000000000006</v>
      </c>
      <c r="AK358" s="197">
        <f t="shared" si="232"/>
        <v>6.0930617977437734E-2</v>
      </c>
      <c r="AL358" s="197">
        <f t="shared" si="233"/>
        <v>9.6203707235237593E-2</v>
      </c>
      <c r="AM358" s="197">
        <f t="shared" si="234"/>
        <v>4.0790371867740751E-3</v>
      </c>
      <c r="AN358" s="197">
        <f t="shared" si="199"/>
        <v>24.05</v>
      </c>
      <c r="AO358" s="197">
        <f t="shared" si="200"/>
        <v>21.69</v>
      </c>
      <c r="AP358" s="197">
        <f t="shared" si="235"/>
        <v>7.4093290390420161E-2</v>
      </c>
      <c r="AQ358" s="197">
        <f t="shared" si="236"/>
        <v>0.42250439890466829</v>
      </c>
      <c r="AR358" s="197">
        <f t="shared" si="237"/>
        <v>0.30589509873355925</v>
      </c>
      <c r="AS358" s="258">
        <f t="shared" si="238"/>
        <v>0.15228632177729159</v>
      </c>
      <c r="AT358" s="197">
        <f t="shared" si="201"/>
        <v>2.5974058656511614E-4</v>
      </c>
      <c r="AU358" s="194">
        <f t="shared" si="202"/>
        <v>21.19</v>
      </c>
      <c r="AV358" s="197">
        <f t="shared" si="203"/>
        <v>2.7E-2</v>
      </c>
      <c r="AW358" s="197">
        <f t="shared" si="204"/>
        <v>3.4260000000000002E-3</v>
      </c>
      <c r="AX358" s="197">
        <f t="shared" si="239"/>
        <v>6.1668000000000001E-2</v>
      </c>
      <c r="AY358" s="197">
        <f t="shared" si="205"/>
        <v>2.8867476000000005E-3</v>
      </c>
      <c r="AZ358" s="197">
        <f t="shared" si="206"/>
        <v>0</v>
      </c>
      <c r="BA358" s="197">
        <f t="shared" si="240"/>
        <v>7.2596940000000013E-2</v>
      </c>
      <c r="BB358" s="258">
        <f t="shared" si="207"/>
        <v>0.36575210336206115</v>
      </c>
      <c r="BC358" s="197">
        <f t="shared" si="208"/>
        <v>2.2380490766334034E-2</v>
      </c>
      <c r="BD358" s="197">
        <f t="shared" si="241"/>
        <v>4.4760981532668068E-3</v>
      </c>
      <c r="BE358" s="197">
        <f t="shared" si="242"/>
        <v>2.6856588919600841E-2</v>
      </c>
      <c r="BF358" s="197">
        <f t="shared" si="209"/>
        <v>0.20773291256157633</v>
      </c>
      <c r="BG358" s="197">
        <f t="shared" si="210"/>
        <v>5.4608303342508187E-4</v>
      </c>
      <c r="BH358" s="197">
        <f t="shared" si="211"/>
        <v>3.5336687086656722E-2</v>
      </c>
      <c r="BI358" s="197">
        <f t="shared" si="243"/>
        <v>0.44730899017824427</v>
      </c>
      <c r="BJ358" s="197">
        <f t="shared" si="212"/>
        <v>6.769615024661003</v>
      </c>
      <c r="BK358" s="288">
        <f t="shared" si="213"/>
        <v>0.93392401361838984</v>
      </c>
      <c r="BL358" s="197">
        <f t="shared" si="214"/>
        <v>0.37608972359227794</v>
      </c>
      <c r="BM358" s="197">
        <f t="shared" si="215"/>
        <v>7.4353030976985271E-2</v>
      </c>
      <c r="BN358" s="197">
        <f t="shared" si="216"/>
        <v>54.461181858619113</v>
      </c>
      <c r="BO358" s="197">
        <f t="shared" si="244"/>
        <v>0.2082789955950014</v>
      </c>
      <c r="BP358" s="197">
        <f t="shared" si="217"/>
        <v>65.620924669625111</v>
      </c>
      <c r="BQ358" s="197">
        <f t="shared" si="218"/>
        <v>9.9596940000000009E-2</v>
      </c>
      <c r="BR358" s="288">
        <f t="shared" si="219"/>
        <v>0.16008975919012108</v>
      </c>
      <c r="BS358" s="197">
        <f t="shared" si="220"/>
        <v>0.11660930017110901</v>
      </c>
      <c r="BT358" s="197">
        <f t="shared" si="221"/>
        <v>0.36419974881911377</v>
      </c>
      <c r="BU358" s="197">
        <f t="shared" si="222"/>
        <v>0.1713930788771201</v>
      </c>
      <c r="BV358" s="197">
        <f t="shared" si="223"/>
        <v>0.53530306917875781</v>
      </c>
      <c r="BW358" s="194"/>
      <c r="BX358" s="194"/>
      <c r="BY358" s="194"/>
      <c r="BZ358" s="194"/>
      <c r="CA358" s="194"/>
      <c r="CB358" s="194"/>
      <c r="CC358" s="194"/>
      <c r="CD358" s="194"/>
      <c r="CE358" s="194"/>
      <c r="CF358" s="194"/>
      <c r="CG358" s="194"/>
      <c r="CH358" s="194"/>
      <c r="CI358" s="194"/>
      <c r="CJ358" s="194"/>
      <c r="CK358" s="194"/>
      <c r="CL358" s="194"/>
      <c r="CM358" s="194"/>
      <c r="CN358" s="194"/>
      <c r="CO358" s="194"/>
      <c r="CP358" s="194"/>
      <c r="CQ358" s="194"/>
      <c r="CR358" s="194"/>
      <c r="CS358" s="194"/>
      <c r="CT358" s="194"/>
      <c r="CU358" s="194"/>
      <c r="CV358" s="194"/>
      <c r="CW358" s="194"/>
      <c r="CX358" s="194"/>
      <c r="CY358" s="194"/>
      <c r="CZ358" s="194"/>
      <c r="DA358" s="194"/>
      <c r="DB358" s="194"/>
      <c r="DC358" s="194"/>
      <c r="DD358" s="194"/>
      <c r="DE358" s="194"/>
      <c r="DF358" s="194"/>
    </row>
    <row r="359" spans="2:110" s="192" customFormat="1" hidden="1" x14ac:dyDescent="0.35">
      <c r="B359" s="289"/>
      <c r="C359" s="289"/>
      <c r="Q359" s="193"/>
      <c r="R359" s="194">
        <f t="shared" si="224"/>
        <v>18</v>
      </c>
      <c r="S359" s="197">
        <f t="shared" si="190"/>
        <v>0.3888888888888889</v>
      </c>
      <c r="T359" s="194">
        <f t="shared" si="245"/>
        <v>0.69</v>
      </c>
      <c r="U359" s="194">
        <f t="shared" si="246"/>
        <v>1.4999999999999999E-4</v>
      </c>
      <c r="V359" s="197">
        <f t="shared" si="225"/>
        <v>0.3888888888888889</v>
      </c>
      <c r="W359" s="197">
        <f t="shared" si="191"/>
        <v>4.3555555555555561E-3</v>
      </c>
      <c r="X359" s="286">
        <f t="shared" si="192"/>
        <v>1</v>
      </c>
      <c r="Y359" s="286">
        <f t="shared" si="193"/>
        <v>0.17335969315081967</v>
      </c>
      <c r="Z359" s="286">
        <f t="shared" si="194"/>
        <v>0.54964853345132902</v>
      </c>
      <c r="AA359" s="286">
        <f t="shared" si="226"/>
        <v>0.17335969315081967</v>
      </c>
      <c r="AB359" s="197">
        <f t="shared" si="195"/>
        <v>0.36419974881911377</v>
      </c>
      <c r="AC359" s="287">
        <f t="shared" si="196"/>
        <v>4.4451203372005044E-7</v>
      </c>
      <c r="AD359" s="197">
        <f t="shared" si="227"/>
        <v>11.693936048110356</v>
      </c>
      <c r="AE359" s="197">
        <f t="shared" si="228"/>
        <v>35.08180814433107</v>
      </c>
      <c r="AF359" s="197">
        <f t="shared" si="229"/>
        <v>8.5178571428571423E-2</v>
      </c>
      <c r="AG359" s="197">
        <f t="shared" si="230"/>
        <v>0.25553571428571431</v>
      </c>
      <c r="AH359" s="197">
        <f t="shared" si="197"/>
        <v>0.11660930017110901</v>
      </c>
      <c r="AI359" s="197">
        <f t="shared" si="231"/>
        <v>0.11660930017110901</v>
      </c>
      <c r="AJ359" s="218">
        <f t="shared" si="198"/>
        <v>390.00000000000006</v>
      </c>
      <c r="AK359" s="197">
        <f t="shared" si="232"/>
        <v>6.0930617977437734E-2</v>
      </c>
      <c r="AL359" s="197">
        <f t="shared" si="233"/>
        <v>9.6203707235237593E-2</v>
      </c>
      <c r="AM359" s="197">
        <f t="shared" si="234"/>
        <v>4.0790371867740751E-3</v>
      </c>
      <c r="AN359" s="197">
        <f t="shared" si="199"/>
        <v>24.05</v>
      </c>
      <c r="AO359" s="197">
        <f t="shared" si="200"/>
        <v>21.69</v>
      </c>
      <c r="AP359" s="197">
        <f t="shared" si="235"/>
        <v>7.4093290390420161E-2</v>
      </c>
      <c r="AQ359" s="197">
        <f t="shared" si="236"/>
        <v>0.42250439890466829</v>
      </c>
      <c r="AR359" s="197">
        <f t="shared" si="237"/>
        <v>0.30589509873355925</v>
      </c>
      <c r="AS359" s="258">
        <f t="shared" si="238"/>
        <v>0.15228632177729159</v>
      </c>
      <c r="AT359" s="197">
        <f t="shared" si="201"/>
        <v>2.5974058656511614E-4</v>
      </c>
      <c r="AU359" s="194">
        <f t="shared" si="202"/>
        <v>21.19</v>
      </c>
      <c r="AV359" s="197">
        <f t="shared" si="203"/>
        <v>2.7E-2</v>
      </c>
      <c r="AW359" s="197">
        <f t="shared" si="204"/>
        <v>3.4260000000000002E-3</v>
      </c>
      <c r="AX359" s="197">
        <f t="shared" si="239"/>
        <v>6.1668000000000001E-2</v>
      </c>
      <c r="AY359" s="197">
        <f t="shared" si="205"/>
        <v>2.8867476000000005E-3</v>
      </c>
      <c r="AZ359" s="197">
        <f t="shared" si="206"/>
        <v>0</v>
      </c>
      <c r="BA359" s="197">
        <f t="shared" si="240"/>
        <v>7.2596940000000013E-2</v>
      </c>
      <c r="BB359" s="258">
        <f t="shared" si="207"/>
        <v>0.36575210336206115</v>
      </c>
      <c r="BC359" s="197">
        <f t="shared" si="208"/>
        <v>2.2380490766334034E-2</v>
      </c>
      <c r="BD359" s="197">
        <f t="shared" si="241"/>
        <v>4.4760981532668068E-3</v>
      </c>
      <c r="BE359" s="197">
        <f t="shared" si="242"/>
        <v>2.6856588919600841E-2</v>
      </c>
      <c r="BF359" s="197">
        <f t="shared" si="209"/>
        <v>0.20773291256157633</v>
      </c>
      <c r="BG359" s="197">
        <f t="shared" si="210"/>
        <v>5.4608303342508187E-4</v>
      </c>
      <c r="BH359" s="197">
        <f t="shared" si="211"/>
        <v>3.5336687086656722E-2</v>
      </c>
      <c r="BI359" s="197">
        <f t="shared" si="243"/>
        <v>0.44730899017824427</v>
      </c>
      <c r="BJ359" s="197">
        <f t="shared" si="212"/>
        <v>6.769615024661003</v>
      </c>
      <c r="BK359" s="288">
        <f t="shared" si="213"/>
        <v>0.93392401361838984</v>
      </c>
      <c r="BL359" s="197">
        <f t="shared" si="214"/>
        <v>0.37608972359227794</v>
      </c>
      <c r="BM359" s="197">
        <f t="shared" si="215"/>
        <v>7.4353030976985271E-2</v>
      </c>
      <c r="BN359" s="197">
        <f t="shared" si="216"/>
        <v>54.461181858619113</v>
      </c>
      <c r="BO359" s="197">
        <f t="shared" si="244"/>
        <v>0.2082789955950014</v>
      </c>
      <c r="BP359" s="197">
        <f t="shared" si="217"/>
        <v>65.620924669625111</v>
      </c>
      <c r="BQ359" s="197">
        <f t="shared" si="218"/>
        <v>9.9596940000000009E-2</v>
      </c>
      <c r="BR359" s="288">
        <f t="shared" si="219"/>
        <v>0.16008975919012108</v>
      </c>
      <c r="BS359" s="197">
        <f t="shared" si="220"/>
        <v>0.11660930017110901</v>
      </c>
      <c r="BT359" s="197">
        <f t="shared" si="221"/>
        <v>0.36419974881911377</v>
      </c>
      <c r="BU359" s="197">
        <f t="shared" si="222"/>
        <v>0.1713930788771201</v>
      </c>
      <c r="BV359" s="197">
        <f t="shared" si="223"/>
        <v>0.53530306917875781</v>
      </c>
      <c r="BW359" s="194"/>
      <c r="BX359" s="194"/>
      <c r="BY359" s="194"/>
      <c r="BZ359" s="194"/>
      <c r="CA359" s="194"/>
      <c r="CB359" s="194"/>
      <c r="CC359" s="194"/>
      <c r="CD359" s="194"/>
      <c r="CE359" s="194"/>
      <c r="CF359" s="194"/>
      <c r="CG359" s="194"/>
      <c r="CH359" s="194"/>
      <c r="CI359" s="194"/>
      <c r="CJ359" s="194"/>
      <c r="CK359" s="194"/>
      <c r="CL359" s="194"/>
      <c r="CM359" s="194"/>
      <c r="CN359" s="194"/>
      <c r="CO359" s="194"/>
      <c r="CP359" s="194"/>
      <c r="CQ359" s="194"/>
      <c r="CR359" s="194"/>
      <c r="CS359" s="194"/>
      <c r="CT359" s="194"/>
      <c r="CU359" s="194"/>
      <c r="CV359" s="194"/>
      <c r="CW359" s="194"/>
      <c r="CX359" s="194"/>
      <c r="CY359" s="194"/>
      <c r="CZ359" s="194"/>
      <c r="DA359" s="194"/>
      <c r="DB359" s="194"/>
      <c r="DC359" s="194"/>
      <c r="DD359" s="194"/>
      <c r="DE359" s="194"/>
      <c r="DF359" s="194"/>
    </row>
    <row r="360" spans="2:110" s="192" customFormat="1" hidden="1" x14ac:dyDescent="0.35">
      <c r="B360" s="289"/>
      <c r="C360" s="289"/>
      <c r="Q360" s="193"/>
      <c r="R360" s="194">
        <f t="shared" si="224"/>
        <v>18</v>
      </c>
      <c r="S360" s="197">
        <f t="shared" si="190"/>
        <v>0.3888888888888889</v>
      </c>
      <c r="T360" s="194">
        <f t="shared" si="245"/>
        <v>0.69</v>
      </c>
      <c r="U360" s="194">
        <f t="shared" si="246"/>
        <v>1.4999999999999999E-4</v>
      </c>
      <c r="V360" s="197">
        <f t="shared" si="225"/>
        <v>0.3888888888888889</v>
      </c>
      <c r="W360" s="197">
        <f t="shared" si="191"/>
        <v>4.3555555555555561E-3</v>
      </c>
      <c r="X360" s="286">
        <f t="shared" si="192"/>
        <v>1</v>
      </c>
      <c r="Y360" s="286">
        <f t="shared" si="193"/>
        <v>0.17335969315081967</v>
      </c>
      <c r="Z360" s="286">
        <f t="shared" si="194"/>
        <v>0.54964853345132902</v>
      </c>
      <c r="AA360" s="286">
        <f t="shared" si="226"/>
        <v>0.17335969315081967</v>
      </c>
      <c r="AB360" s="197">
        <f t="shared" si="195"/>
        <v>0.36419974881911377</v>
      </c>
      <c r="AC360" s="287">
        <f t="shared" si="196"/>
        <v>4.4451203372005044E-7</v>
      </c>
      <c r="AD360" s="197">
        <f t="shared" si="227"/>
        <v>11.693936048110356</v>
      </c>
      <c r="AE360" s="197">
        <f t="shared" si="228"/>
        <v>35.08180814433107</v>
      </c>
      <c r="AF360" s="197">
        <f t="shared" si="229"/>
        <v>8.5178571428571423E-2</v>
      </c>
      <c r="AG360" s="197">
        <f t="shared" si="230"/>
        <v>0.25553571428571431</v>
      </c>
      <c r="AH360" s="197">
        <f t="shared" si="197"/>
        <v>0.11660930017110901</v>
      </c>
      <c r="AI360" s="197">
        <f t="shared" si="231"/>
        <v>0.11660930017110901</v>
      </c>
      <c r="AJ360" s="218">
        <f t="shared" si="198"/>
        <v>390.00000000000006</v>
      </c>
      <c r="AK360" s="197">
        <f t="shared" si="232"/>
        <v>6.0930617977437734E-2</v>
      </c>
      <c r="AL360" s="197">
        <f t="shared" si="233"/>
        <v>9.6203707235237593E-2</v>
      </c>
      <c r="AM360" s="197">
        <f t="shared" si="234"/>
        <v>4.0790371867740751E-3</v>
      </c>
      <c r="AN360" s="197">
        <f t="shared" si="199"/>
        <v>24.05</v>
      </c>
      <c r="AO360" s="197">
        <f t="shared" si="200"/>
        <v>21.69</v>
      </c>
      <c r="AP360" s="197">
        <f t="shared" si="235"/>
        <v>7.4093290390420161E-2</v>
      </c>
      <c r="AQ360" s="197">
        <f t="shared" si="236"/>
        <v>0.42250439890466829</v>
      </c>
      <c r="AR360" s="197">
        <f t="shared" si="237"/>
        <v>0.30589509873355925</v>
      </c>
      <c r="AS360" s="258">
        <f t="shared" si="238"/>
        <v>0.15228632177729159</v>
      </c>
      <c r="AT360" s="197">
        <f t="shared" si="201"/>
        <v>2.5974058656511614E-4</v>
      </c>
      <c r="AU360" s="194">
        <f t="shared" si="202"/>
        <v>21.19</v>
      </c>
      <c r="AV360" s="197">
        <f t="shared" si="203"/>
        <v>2.7E-2</v>
      </c>
      <c r="AW360" s="197">
        <f t="shared" si="204"/>
        <v>3.4260000000000002E-3</v>
      </c>
      <c r="AX360" s="197">
        <f t="shared" si="239"/>
        <v>6.1668000000000001E-2</v>
      </c>
      <c r="AY360" s="197">
        <f t="shared" si="205"/>
        <v>2.8867476000000005E-3</v>
      </c>
      <c r="AZ360" s="197">
        <f t="shared" si="206"/>
        <v>0</v>
      </c>
      <c r="BA360" s="197">
        <f t="shared" si="240"/>
        <v>7.2596940000000013E-2</v>
      </c>
      <c r="BB360" s="258">
        <f t="shared" si="207"/>
        <v>0.36575210336206115</v>
      </c>
      <c r="BC360" s="197">
        <f t="shared" si="208"/>
        <v>2.2380490766334034E-2</v>
      </c>
      <c r="BD360" s="197">
        <f t="shared" si="241"/>
        <v>4.4760981532668068E-3</v>
      </c>
      <c r="BE360" s="197">
        <f t="shared" si="242"/>
        <v>2.6856588919600841E-2</v>
      </c>
      <c r="BF360" s="197">
        <f t="shared" si="209"/>
        <v>0.20773291256157633</v>
      </c>
      <c r="BG360" s="197">
        <f t="shared" si="210"/>
        <v>5.4608303342508187E-4</v>
      </c>
      <c r="BH360" s="197">
        <f t="shared" si="211"/>
        <v>3.5336687086656722E-2</v>
      </c>
      <c r="BI360" s="197">
        <f t="shared" si="243"/>
        <v>0.44730899017824427</v>
      </c>
      <c r="BJ360" s="197">
        <f t="shared" si="212"/>
        <v>6.769615024661003</v>
      </c>
      <c r="BK360" s="288">
        <f t="shared" si="213"/>
        <v>0.93392401361838984</v>
      </c>
      <c r="BL360" s="197">
        <f t="shared" si="214"/>
        <v>0.37608972359227794</v>
      </c>
      <c r="BM360" s="197">
        <f t="shared" si="215"/>
        <v>7.4353030976985271E-2</v>
      </c>
      <c r="BN360" s="197">
        <f t="shared" si="216"/>
        <v>54.461181858619113</v>
      </c>
      <c r="BO360" s="197">
        <f t="shared" si="244"/>
        <v>0.2082789955950014</v>
      </c>
      <c r="BP360" s="197">
        <f t="shared" si="217"/>
        <v>65.620924669625111</v>
      </c>
      <c r="BQ360" s="197">
        <f t="shared" si="218"/>
        <v>9.9596940000000009E-2</v>
      </c>
      <c r="BR360" s="288">
        <f t="shared" si="219"/>
        <v>0.16008975919012108</v>
      </c>
      <c r="BS360" s="197">
        <f t="shared" si="220"/>
        <v>0.11660930017110901</v>
      </c>
      <c r="BT360" s="197">
        <f t="shared" si="221"/>
        <v>0.36419974881911377</v>
      </c>
      <c r="BU360" s="197">
        <f t="shared" si="222"/>
        <v>0.1713930788771201</v>
      </c>
      <c r="BV360" s="197">
        <f t="shared" si="223"/>
        <v>0.53530306917875781</v>
      </c>
      <c r="BW360" s="194"/>
      <c r="BX360" s="194"/>
      <c r="BY360" s="194"/>
      <c r="BZ360" s="194"/>
      <c r="CA360" s="194"/>
      <c r="CB360" s="194"/>
      <c r="CC360" s="194"/>
      <c r="CD360" s="194"/>
      <c r="CE360" s="194"/>
      <c r="CF360" s="194"/>
      <c r="CG360" s="194"/>
      <c r="CH360" s="194"/>
      <c r="CI360" s="194"/>
      <c r="CJ360" s="194"/>
      <c r="CK360" s="194"/>
      <c r="CL360" s="194"/>
      <c r="CM360" s="194"/>
      <c r="CN360" s="194"/>
      <c r="CO360" s="194"/>
      <c r="CP360" s="194"/>
      <c r="CQ360" s="194"/>
      <c r="CR360" s="194"/>
      <c r="CS360" s="194"/>
      <c r="CT360" s="194"/>
      <c r="CU360" s="194"/>
      <c r="CV360" s="194"/>
      <c r="CW360" s="194"/>
      <c r="CX360" s="194"/>
      <c r="CY360" s="194"/>
      <c r="CZ360" s="194"/>
      <c r="DA360" s="194"/>
      <c r="DB360" s="194"/>
      <c r="DC360" s="194"/>
      <c r="DD360" s="194"/>
      <c r="DE360" s="194"/>
      <c r="DF360" s="194"/>
    </row>
    <row r="361" spans="2:110" s="192" customFormat="1" hidden="1" x14ac:dyDescent="0.35">
      <c r="B361" s="289"/>
      <c r="C361" s="289"/>
      <c r="Q361" s="193"/>
      <c r="R361" s="194">
        <f t="shared" si="224"/>
        <v>18</v>
      </c>
      <c r="S361" s="197">
        <f t="shared" si="190"/>
        <v>0.3888888888888889</v>
      </c>
      <c r="T361" s="194">
        <f t="shared" si="245"/>
        <v>0.69</v>
      </c>
      <c r="U361" s="194">
        <f t="shared" si="246"/>
        <v>1.4999999999999999E-4</v>
      </c>
      <c r="V361" s="197">
        <f t="shared" si="225"/>
        <v>0.3888888888888889</v>
      </c>
      <c r="W361" s="197">
        <f t="shared" si="191"/>
        <v>4.3555555555555561E-3</v>
      </c>
      <c r="X361" s="286">
        <f t="shared" si="192"/>
        <v>1</v>
      </c>
      <c r="Y361" s="286">
        <f t="shared" si="193"/>
        <v>0.17335969315081967</v>
      </c>
      <c r="Z361" s="286">
        <f t="shared" si="194"/>
        <v>0.54964853345132902</v>
      </c>
      <c r="AA361" s="286">
        <f t="shared" si="226"/>
        <v>0.17335969315081967</v>
      </c>
      <c r="AB361" s="197">
        <f t="shared" si="195"/>
        <v>0.36419974881911377</v>
      </c>
      <c r="AC361" s="287">
        <f t="shared" si="196"/>
        <v>4.4451203372005044E-7</v>
      </c>
      <c r="AD361" s="197">
        <f t="shared" si="227"/>
        <v>11.693936048110356</v>
      </c>
      <c r="AE361" s="197">
        <f t="shared" si="228"/>
        <v>35.08180814433107</v>
      </c>
      <c r="AF361" s="197">
        <f t="shared" si="229"/>
        <v>8.5178571428571423E-2</v>
      </c>
      <c r="AG361" s="197">
        <f t="shared" si="230"/>
        <v>0.25553571428571431</v>
      </c>
      <c r="AH361" s="197">
        <f t="shared" si="197"/>
        <v>0.11660930017110901</v>
      </c>
      <c r="AI361" s="197">
        <f t="shared" si="231"/>
        <v>0.11660930017110901</v>
      </c>
      <c r="AJ361" s="218">
        <f t="shared" si="198"/>
        <v>390.00000000000006</v>
      </c>
      <c r="AK361" s="197">
        <f t="shared" si="232"/>
        <v>6.0930617977437734E-2</v>
      </c>
      <c r="AL361" s="197">
        <f t="shared" si="233"/>
        <v>9.6203707235237593E-2</v>
      </c>
      <c r="AM361" s="197">
        <f t="shared" si="234"/>
        <v>4.0790371867740751E-3</v>
      </c>
      <c r="AN361" s="197">
        <f t="shared" si="199"/>
        <v>24.05</v>
      </c>
      <c r="AO361" s="197">
        <f t="shared" si="200"/>
        <v>21.69</v>
      </c>
      <c r="AP361" s="197">
        <f t="shared" si="235"/>
        <v>7.4093290390420161E-2</v>
      </c>
      <c r="AQ361" s="197">
        <f t="shared" si="236"/>
        <v>0.42250439890466829</v>
      </c>
      <c r="AR361" s="197">
        <f t="shared" si="237"/>
        <v>0.30589509873355925</v>
      </c>
      <c r="AS361" s="258">
        <f t="shared" si="238"/>
        <v>0.15228632177729159</v>
      </c>
      <c r="AT361" s="197">
        <f t="shared" si="201"/>
        <v>2.5974058656511614E-4</v>
      </c>
      <c r="AU361" s="194">
        <f t="shared" si="202"/>
        <v>21.19</v>
      </c>
      <c r="AV361" s="197">
        <f t="shared" si="203"/>
        <v>2.7E-2</v>
      </c>
      <c r="AW361" s="197">
        <f t="shared" si="204"/>
        <v>3.4260000000000002E-3</v>
      </c>
      <c r="AX361" s="197">
        <f t="shared" si="239"/>
        <v>6.1668000000000001E-2</v>
      </c>
      <c r="AY361" s="197">
        <f t="shared" si="205"/>
        <v>2.8867476000000005E-3</v>
      </c>
      <c r="AZ361" s="197">
        <f t="shared" si="206"/>
        <v>0</v>
      </c>
      <c r="BA361" s="197">
        <f t="shared" si="240"/>
        <v>7.2596940000000013E-2</v>
      </c>
      <c r="BB361" s="258">
        <f t="shared" si="207"/>
        <v>0.36575210336206115</v>
      </c>
      <c r="BC361" s="197">
        <f t="shared" si="208"/>
        <v>2.2380490766334034E-2</v>
      </c>
      <c r="BD361" s="197">
        <f t="shared" si="241"/>
        <v>4.4760981532668068E-3</v>
      </c>
      <c r="BE361" s="197">
        <f t="shared" si="242"/>
        <v>2.6856588919600841E-2</v>
      </c>
      <c r="BF361" s="197">
        <f t="shared" si="209"/>
        <v>0.20773291256157633</v>
      </c>
      <c r="BG361" s="197">
        <f t="shared" si="210"/>
        <v>5.4608303342508187E-4</v>
      </c>
      <c r="BH361" s="197">
        <f t="shared" si="211"/>
        <v>3.5336687086656722E-2</v>
      </c>
      <c r="BI361" s="197">
        <f t="shared" si="243"/>
        <v>0.44730899017824427</v>
      </c>
      <c r="BJ361" s="197">
        <f t="shared" si="212"/>
        <v>6.769615024661003</v>
      </c>
      <c r="BK361" s="288">
        <f t="shared" si="213"/>
        <v>0.93392401361838984</v>
      </c>
      <c r="BL361" s="197">
        <f t="shared" si="214"/>
        <v>0.37608972359227794</v>
      </c>
      <c r="BM361" s="197">
        <f t="shared" si="215"/>
        <v>7.4353030976985271E-2</v>
      </c>
      <c r="BN361" s="197">
        <f t="shared" si="216"/>
        <v>54.461181858619113</v>
      </c>
      <c r="BO361" s="197">
        <f t="shared" si="244"/>
        <v>0.2082789955950014</v>
      </c>
      <c r="BP361" s="197">
        <f t="shared" si="217"/>
        <v>65.620924669625111</v>
      </c>
      <c r="BQ361" s="197">
        <f t="shared" si="218"/>
        <v>9.9596940000000009E-2</v>
      </c>
      <c r="BR361" s="288">
        <f t="shared" si="219"/>
        <v>0.16008975919012108</v>
      </c>
      <c r="BS361" s="197">
        <f t="shared" si="220"/>
        <v>0.11660930017110901</v>
      </c>
      <c r="BT361" s="197">
        <f t="shared" si="221"/>
        <v>0.36419974881911377</v>
      </c>
      <c r="BU361" s="197">
        <f t="shared" si="222"/>
        <v>0.1713930788771201</v>
      </c>
      <c r="BV361" s="197">
        <f t="shared" si="223"/>
        <v>0.53530306917875781</v>
      </c>
      <c r="BW361" s="194"/>
      <c r="BX361" s="194"/>
      <c r="BY361" s="194"/>
      <c r="BZ361" s="194"/>
      <c r="CA361" s="194"/>
      <c r="CB361" s="194"/>
      <c r="CC361" s="194"/>
      <c r="CD361" s="194"/>
      <c r="CE361" s="194"/>
      <c r="CF361" s="194"/>
      <c r="CG361" s="194"/>
      <c r="CH361" s="194"/>
      <c r="CI361" s="194"/>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row>
    <row r="362" spans="2:110" s="192" customFormat="1" hidden="1" x14ac:dyDescent="0.35">
      <c r="B362" s="289"/>
      <c r="C362" s="289"/>
      <c r="Q362" s="193"/>
      <c r="R362" s="194">
        <f t="shared" si="224"/>
        <v>18</v>
      </c>
      <c r="S362" s="197">
        <f t="shared" si="190"/>
        <v>0.3888888888888889</v>
      </c>
      <c r="T362" s="194">
        <f t="shared" si="245"/>
        <v>0.69</v>
      </c>
      <c r="U362" s="194">
        <f t="shared" si="246"/>
        <v>1.4999999999999999E-4</v>
      </c>
      <c r="V362" s="197">
        <f t="shared" si="225"/>
        <v>0.3888888888888889</v>
      </c>
      <c r="W362" s="197">
        <f t="shared" si="191"/>
        <v>4.3555555555555561E-3</v>
      </c>
      <c r="X362" s="286">
        <f t="shared" si="192"/>
        <v>1</v>
      </c>
      <c r="Y362" s="286">
        <f t="shared" si="193"/>
        <v>0.17335969315081967</v>
      </c>
      <c r="Z362" s="286">
        <f t="shared" si="194"/>
        <v>0.54964853345132902</v>
      </c>
      <c r="AA362" s="286">
        <f t="shared" si="226"/>
        <v>0.17335969315081967</v>
      </c>
      <c r="AB362" s="197">
        <f t="shared" si="195"/>
        <v>0.36419974881911377</v>
      </c>
      <c r="AC362" s="287">
        <f t="shared" si="196"/>
        <v>4.4451203372005044E-7</v>
      </c>
      <c r="AD362" s="197">
        <f t="shared" si="227"/>
        <v>11.693936048110356</v>
      </c>
      <c r="AE362" s="197">
        <f t="shared" si="228"/>
        <v>35.08180814433107</v>
      </c>
      <c r="AF362" s="197">
        <f t="shared" si="229"/>
        <v>8.5178571428571423E-2</v>
      </c>
      <c r="AG362" s="197">
        <f t="shared" si="230"/>
        <v>0.25553571428571431</v>
      </c>
      <c r="AH362" s="197">
        <f t="shared" si="197"/>
        <v>0.11660930017110901</v>
      </c>
      <c r="AI362" s="197">
        <f t="shared" si="231"/>
        <v>0.11660930017110901</v>
      </c>
      <c r="AJ362" s="218">
        <f t="shared" si="198"/>
        <v>390.00000000000006</v>
      </c>
      <c r="AK362" s="197">
        <f t="shared" si="232"/>
        <v>6.0930617977437734E-2</v>
      </c>
      <c r="AL362" s="197">
        <f t="shared" si="233"/>
        <v>9.6203707235237593E-2</v>
      </c>
      <c r="AM362" s="197">
        <f t="shared" si="234"/>
        <v>4.0790371867740751E-3</v>
      </c>
      <c r="AN362" s="197">
        <f t="shared" si="199"/>
        <v>24.05</v>
      </c>
      <c r="AO362" s="197">
        <f t="shared" si="200"/>
        <v>21.69</v>
      </c>
      <c r="AP362" s="197">
        <f t="shared" si="235"/>
        <v>7.4093290390420161E-2</v>
      </c>
      <c r="AQ362" s="197">
        <f t="shared" si="236"/>
        <v>0.42250439890466829</v>
      </c>
      <c r="AR362" s="197">
        <f t="shared" si="237"/>
        <v>0.30589509873355925</v>
      </c>
      <c r="AS362" s="258">
        <f t="shared" si="238"/>
        <v>0.15228632177729159</v>
      </c>
      <c r="AT362" s="197">
        <f t="shared" si="201"/>
        <v>2.5974058656511614E-4</v>
      </c>
      <c r="AU362" s="194">
        <f t="shared" si="202"/>
        <v>21.19</v>
      </c>
      <c r="AV362" s="197">
        <f t="shared" si="203"/>
        <v>2.7E-2</v>
      </c>
      <c r="AW362" s="197">
        <f t="shared" si="204"/>
        <v>3.4260000000000002E-3</v>
      </c>
      <c r="AX362" s="197">
        <f t="shared" si="239"/>
        <v>6.1668000000000001E-2</v>
      </c>
      <c r="AY362" s="197">
        <f t="shared" si="205"/>
        <v>2.8867476000000005E-3</v>
      </c>
      <c r="AZ362" s="197">
        <f t="shared" si="206"/>
        <v>0</v>
      </c>
      <c r="BA362" s="197">
        <f t="shared" si="240"/>
        <v>7.2596940000000013E-2</v>
      </c>
      <c r="BB362" s="258">
        <f t="shared" si="207"/>
        <v>0.36575210336206115</v>
      </c>
      <c r="BC362" s="197">
        <f t="shared" si="208"/>
        <v>2.2380490766334034E-2</v>
      </c>
      <c r="BD362" s="197">
        <f t="shared" si="241"/>
        <v>4.4760981532668068E-3</v>
      </c>
      <c r="BE362" s="197">
        <f t="shared" si="242"/>
        <v>2.6856588919600841E-2</v>
      </c>
      <c r="BF362" s="197">
        <f t="shared" si="209"/>
        <v>0.20773291256157633</v>
      </c>
      <c r="BG362" s="197">
        <f t="shared" si="210"/>
        <v>5.4608303342508187E-4</v>
      </c>
      <c r="BH362" s="197">
        <f t="shared" si="211"/>
        <v>3.5336687086656722E-2</v>
      </c>
      <c r="BI362" s="197">
        <f t="shared" si="243"/>
        <v>0.44730899017824427</v>
      </c>
      <c r="BJ362" s="197">
        <f t="shared" si="212"/>
        <v>6.769615024661003</v>
      </c>
      <c r="BK362" s="288">
        <f t="shared" si="213"/>
        <v>0.93392401361838984</v>
      </c>
      <c r="BL362" s="197">
        <f t="shared" si="214"/>
        <v>0.37608972359227794</v>
      </c>
      <c r="BM362" s="197">
        <f t="shared" si="215"/>
        <v>7.4353030976985271E-2</v>
      </c>
      <c r="BN362" s="197">
        <f t="shared" si="216"/>
        <v>54.461181858619113</v>
      </c>
      <c r="BO362" s="197">
        <f t="shared" si="244"/>
        <v>0.2082789955950014</v>
      </c>
      <c r="BP362" s="197">
        <f t="shared" si="217"/>
        <v>65.620924669625111</v>
      </c>
      <c r="BQ362" s="197">
        <f t="shared" si="218"/>
        <v>9.9596940000000009E-2</v>
      </c>
      <c r="BR362" s="288">
        <f t="shared" si="219"/>
        <v>0.16008975919012108</v>
      </c>
      <c r="BS362" s="197">
        <f t="shared" si="220"/>
        <v>0.11660930017110901</v>
      </c>
      <c r="BT362" s="197">
        <f t="shared" si="221"/>
        <v>0.36419974881911377</v>
      </c>
      <c r="BU362" s="197">
        <f t="shared" si="222"/>
        <v>0.1713930788771201</v>
      </c>
      <c r="BV362" s="197">
        <f t="shared" si="223"/>
        <v>0.53530306917875781</v>
      </c>
      <c r="BW362" s="194"/>
      <c r="BX362" s="194"/>
      <c r="BY362" s="194"/>
      <c r="BZ362" s="194"/>
      <c r="CA362" s="194"/>
      <c r="CB362" s="194"/>
      <c r="CC362" s="194"/>
      <c r="CD362" s="194"/>
      <c r="CE362" s="194"/>
      <c r="CF362" s="194"/>
      <c r="CG362" s="194"/>
      <c r="CH362" s="194"/>
      <c r="CI362" s="194"/>
      <c r="CJ362" s="194"/>
      <c r="CK362" s="194"/>
      <c r="CL362" s="194"/>
      <c r="CM362" s="194"/>
      <c r="CN362" s="194"/>
      <c r="CO362" s="194"/>
      <c r="CP362" s="194"/>
      <c r="CQ362" s="194"/>
      <c r="CR362" s="194"/>
      <c r="CS362" s="194"/>
      <c r="CT362" s="194"/>
      <c r="CU362" s="194"/>
      <c r="CV362" s="194"/>
      <c r="CW362" s="194"/>
      <c r="CX362" s="194"/>
      <c r="CY362" s="194"/>
      <c r="CZ362" s="194"/>
      <c r="DA362" s="194"/>
      <c r="DB362" s="194"/>
      <c r="DC362" s="194"/>
      <c r="DD362" s="194"/>
      <c r="DE362" s="194"/>
      <c r="DF362" s="194"/>
    </row>
    <row r="363" spans="2:110" s="192" customFormat="1" hidden="1" x14ac:dyDescent="0.35">
      <c r="B363" s="289"/>
      <c r="C363" s="289"/>
      <c r="Q363" s="193"/>
      <c r="R363" s="194">
        <f t="shared" si="224"/>
        <v>18</v>
      </c>
      <c r="S363" s="197">
        <f t="shared" si="190"/>
        <v>0.3888888888888889</v>
      </c>
      <c r="T363" s="194">
        <f t="shared" si="245"/>
        <v>0.69</v>
      </c>
      <c r="U363" s="194">
        <f t="shared" si="246"/>
        <v>1.4999999999999999E-4</v>
      </c>
      <c r="V363" s="197">
        <f t="shared" si="225"/>
        <v>0.3888888888888889</v>
      </c>
      <c r="W363" s="197">
        <f t="shared" si="191"/>
        <v>4.3555555555555561E-3</v>
      </c>
      <c r="X363" s="286">
        <f t="shared" si="192"/>
        <v>1</v>
      </c>
      <c r="Y363" s="286">
        <f t="shared" si="193"/>
        <v>0.17335969315081967</v>
      </c>
      <c r="Z363" s="286">
        <f t="shared" si="194"/>
        <v>0.54964853345132902</v>
      </c>
      <c r="AA363" s="286">
        <f t="shared" si="226"/>
        <v>0.17335969315081967</v>
      </c>
      <c r="AB363" s="197">
        <f t="shared" si="195"/>
        <v>0.36419974881911377</v>
      </c>
      <c r="AC363" s="287">
        <f t="shared" si="196"/>
        <v>4.4451203372005044E-7</v>
      </c>
      <c r="AD363" s="197">
        <f t="shared" si="227"/>
        <v>11.693936048110356</v>
      </c>
      <c r="AE363" s="197">
        <f t="shared" si="228"/>
        <v>35.08180814433107</v>
      </c>
      <c r="AF363" s="197">
        <f t="shared" si="229"/>
        <v>8.5178571428571423E-2</v>
      </c>
      <c r="AG363" s="197">
        <f t="shared" si="230"/>
        <v>0.25553571428571431</v>
      </c>
      <c r="AH363" s="197">
        <f t="shared" si="197"/>
        <v>0.11660930017110901</v>
      </c>
      <c r="AI363" s="197">
        <f t="shared" si="231"/>
        <v>0.11660930017110901</v>
      </c>
      <c r="AJ363" s="218">
        <f t="shared" si="198"/>
        <v>390.00000000000006</v>
      </c>
      <c r="AK363" s="197">
        <f t="shared" si="232"/>
        <v>6.0930617977437734E-2</v>
      </c>
      <c r="AL363" s="197">
        <f t="shared" si="233"/>
        <v>9.6203707235237593E-2</v>
      </c>
      <c r="AM363" s="197">
        <f t="shared" si="234"/>
        <v>4.0790371867740751E-3</v>
      </c>
      <c r="AN363" s="197">
        <f t="shared" si="199"/>
        <v>24.05</v>
      </c>
      <c r="AO363" s="197">
        <f t="shared" si="200"/>
        <v>21.69</v>
      </c>
      <c r="AP363" s="197">
        <f t="shared" si="235"/>
        <v>7.4093290390420161E-2</v>
      </c>
      <c r="AQ363" s="197">
        <f t="shared" si="236"/>
        <v>0.42250439890466829</v>
      </c>
      <c r="AR363" s="197">
        <f t="shared" si="237"/>
        <v>0.30589509873355925</v>
      </c>
      <c r="AS363" s="258">
        <f t="shared" si="238"/>
        <v>0.15228632177729159</v>
      </c>
      <c r="AT363" s="197">
        <f t="shared" si="201"/>
        <v>2.5974058656511614E-4</v>
      </c>
      <c r="AU363" s="194">
        <f t="shared" si="202"/>
        <v>21.19</v>
      </c>
      <c r="AV363" s="197">
        <f t="shared" si="203"/>
        <v>2.7E-2</v>
      </c>
      <c r="AW363" s="197">
        <f t="shared" si="204"/>
        <v>3.4260000000000002E-3</v>
      </c>
      <c r="AX363" s="197">
        <f t="shared" si="239"/>
        <v>6.1668000000000001E-2</v>
      </c>
      <c r="AY363" s="197">
        <f t="shared" si="205"/>
        <v>2.8867476000000005E-3</v>
      </c>
      <c r="AZ363" s="197">
        <f t="shared" si="206"/>
        <v>0</v>
      </c>
      <c r="BA363" s="197">
        <f t="shared" si="240"/>
        <v>7.2596940000000013E-2</v>
      </c>
      <c r="BB363" s="258">
        <f t="shared" si="207"/>
        <v>0.36575210336206115</v>
      </c>
      <c r="BC363" s="197">
        <f t="shared" si="208"/>
        <v>2.2380490766334034E-2</v>
      </c>
      <c r="BD363" s="197">
        <f t="shared" si="241"/>
        <v>4.4760981532668068E-3</v>
      </c>
      <c r="BE363" s="197">
        <f t="shared" si="242"/>
        <v>2.6856588919600841E-2</v>
      </c>
      <c r="BF363" s="197">
        <f t="shared" si="209"/>
        <v>0.20773291256157633</v>
      </c>
      <c r="BG363" s="197">
        <f t="shared" si="210"/>
        <v>5.4608303342508187E-4</v>
      </c>
      <c r="BH363" s="197">
        <f t="shared" si="211"/>
        <v>3.5336687086656722E-2</v>
      </c>
      <c r="BI363" s="197">
        <f t="shared" si="243"/>
        <v>0.44730899017824427</v>
      </c>
      <c r="BJ363" s="197">
        <f t="shared" si="212"/>
        <v>6.769615024661003</v>
      </c>
      <c r="BK363" s="288">
        <f t="shared" si="213"/>
        <v>0.93392401361838984</v>
      </c>
      <c r="BL363" s="197">
        <f t="shared" si="214"/>
        <v>0.37608972359227794</v>
      </c>
      <c r="BM363" s="197">
        <f t="shared" si="215"/>
        <v>7.4353030976985271E-2</v>
      </c>
      <c r="BN363" s="197">
        <f t="shared" si="216"/>
        <v>54.461181858619113</v>
      </c>
      <c r="BO363" s="197">
        <f t="shared" si="244"/>
        <v>0.2082789955950014</v>
      </c>
      <c r="BP363" s="197">
        <f t="shared" si="217"/>
        <v>65.620924669625111</v>
      </c>
      <c r="BQ363" s="197">
        <f t="shared" si="218"/>
        <v>9.9596940000000009E-2</v>
      </c>
      <c r="BR363" s="288">
        <f t="shared" si="219"/>
        <v>0.16008975919012108</v>
      </c>
      <c r="BS363" s="197">
        <f t="shared" si="220"/>
        <v>0.11660930017110901</v>
      </c>
      <c r="BT363" s="197">
        <f t="shared" si="221"/>
        <v>0.36419974881911377</v>
      </c>
      <c r="BU363" s="197">
        <f t="shared" si="222"/>
        <v>0.1713930788771201</v>
      </c>
      <c r="BV363" s="197">
        <f t="shared" si="223"/>
        <v>0.53530306917875781</v>
      </c>
      <c r="BW363" s="194"/>
      <c r="BX363" s="194"/>
      <c r="BY363" s="194"/>
      <c r="BZ363" s="194"/>
      <c r="CA363" s="194"/>
      <c r="CB363" s="194"/>
      <c r="CC363" s="194"/>
      <c r="CD363" s="194"/>
      <c r="CE363" s="194"/>
      <c r="CF363" s="194"/>
      <c r="CG363" s="194"/>
      <c r="CH363" s="194"/>
      <c r="CI363" s="194"/>
      <c r="CJ363" s="194"/>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row>
    <row r="364" spans="2:110" s="192" customFormat="1" hidden="1" x14ac:dyDescent="0.35">
      <c r="B364" s="289"/>
      <c r="C364" s="289"/>
      <c r="Q364" s="193"/>
      <c r="R364" s="194">
        <f t="shared" si="224"/>
        <v>18</v>
      </c>
      <c r="S364" s="197">
        <f t="shared" si="190"/>
        <v>0.3888888888888889</v>
      </c>
      <c r="T364" s="194">
        <f t="shared" si="245"/>
        <v>0.69</v>
      </c>
      <c r="U364" s="194">
        <f t="shared" si="246"/>
        <v>1.4999999999999999E-4</v>
      </c>
      <c r="V364" s="197">
        <f t="shared" si="225"/>
        <v>0.3888888888888889</v>
      </c>
      <c r="W364" s="197">
        <f t="shared" si="191"/>
        <v>4.3555555555555561E-3</v>
      </c>
      <c r="X364" s="286">
        <f t="shared" si="192"/>
        <v>1</v>
      </c>
      <c r="Y364" s="286">
        <f t="shared" si="193"/>
        <v>0.17335969315081967</v>
      </c>
      <c r="Z364" s="286">
        <f t="shared" si="194"/>
        <v>0.54964853345132902</v>
      </c>
      <c r="AA364" s="286">
        <f t="shared" si="226"/>
        <v>0.17335969315081967</v>
      </c>
      <c r="AB364" s="197">
        <f t="shared" si="195"/>
        <v>0.36419974881911377</v>
      </c>
      <c r="AC364" s="287">
        <f t="shared" si="196"/>
        <v>4.4451203372005044E-7</v>
      </c>
      <c r="AD364" s="197">
        <f t="shared" si="227"/>
        <v>11.693936048110356</v>
      </c>
      <c r="AE364" s="197">
        <f t="shared" si="228"/>
        <v>35.08180814433107</v>
      </c>
      <c r="AF364" s="197">
        <f t="shared" si="229"/>
        <v>8.5178571428571423E-2</v>
      </c>
      <c r="AG364" s="197">
        <f t="shared" si="230"/>
        <v>0.25553571428571431</v>
      </c>
      <c r="AH364" s="197">
        <f t="shared" si="197"/>
        <v>0.11660930017110901</v>
      </c>
      <c r="AI364" s="197">
        <f t="shared" si="231"/>
        <v>0.11660930017110901</v>
      </c>
      <c r="AJ364" s="218">
        <f t="shared" si="198"/>
        <v>390.00000000000006</v>
      </c>
      <c r="AK364" s="197">
        <f t="shared" si="232"/>
        <v>6.0930617977437734E-2</v>
      </c>
      <c r="AL364" s="197">
        <f t="shared" si="233"/>
        <v>9.6203707235237593E-2</v>
      </c>
      <c r="AM364" s="197">
        <f t="shared" si="234"/>
        <v>4.0790371867740751E-3</v>
      </c>
      <c r="AN364" s="197">
        <f t="shared" si="199"/>
        <v>24.05</v>
      </c>
      <c r="AO364" s="197">
        <f t="shared" si="200"/>
        <v>21.69</v>
      </c>
      <c r="AP364" s="197">
        <f t="shared" si="235"/>
        <v>7.4093290390420161E-2</v>
      </c>
      <c r="AQ364" s="197">
        <f t="shared" si="236"/>
        <v>0.42250439890466829</v>
      </c>
      <c r="AR364" s="197">
        <f t="shared" si="237"/>
        <v>0.30589509873355925</v>
      </c>
      <c r="AS364" s="258">
        <f t="shared" si="238"/>
        <v>0.15228632177729159</v>
      </c>
      <c r="AT364" s="197">
        <f t="shared" si="201"/>
        <v>2.5974058656511614E-4</v>
      </c>
      <c r="AU364" s="194">
        <f t="shared" si="202"/>
        <v>21.19</v>
      </c>
      <c r="AV364" s="197">
        <f t="shared" si="203"/>
        <v>2.7E-2</v>
      </c>
      <c r="AW364" s="197">
        <f t="shared" si="204"/>
        <v>3.4260000000000002E-3</v>
      </c>
      <c r="AX364" s="197">
        <f t="shared" si="239"/>
        <v>6.1668000000000001E-2</v>
      </c>
      <c r="AY364" s="197">
        <f t="shared" si="205"/>
        <v>2.8867476000000005E-3</v>
      </c>
      <c r="AZ364" s="197">
        <f t="shared" si="206"/>
        <v>0</v>
      </c>
      <c r="BA364" s="197">
        <f t="shared" si="240"/>
        <v>7.2596940000000013E-2</v>
      </c>
      <c r="BB364" s="258">
        <f t="shared" si="207"/>
        <v>0.36575210336206115</v>
      </c>
      <c r="BC364" s="197">
        <f t="shared" si="208"/>
        <v>2.2380490766334034E-2</v>
      </c>
      <c r="BD364" s="197">
        <f t="shared" si="241"/>
        <v>4.4760981532668068E-3</v>
      </c>
      <c r="BE364" s="197">
        <f t="shared" si="242"/>
        <v>2.6856588919600841E-2</v>
      </c>
      <c r="BF364" s="197">
        <f t="shared" si="209"/>
        <v>0.20773291256157633</v>
      </c>
      <c r="BG364" s="197">
        <f t="shared" si="210"/>
        <v>5.4608303342508187E-4</v>
      </c>
      <c r="BH364" s="197">
        <f t="shared" si="211"/>
        <v>3.5336687086656722E-2</v>
      </c>
      <c r="BI364" s="197">
        <f t="shared" si="243"/>
        <v>0.44730899017824427</v>
      </c>
      <c r="BJ364" s="197">
        <f t="shared" si="212"/>
        <v>6.769615024661003</v>
      </c>
      <c r="BK364" s="288">
        <f t="shared" si="213"/>
        <v>0.93392401361838984</v>
      </c>
      <c r="BL364" s="197">
        <f t="shared" si="214"/>
        <v>0.37608972359227794</v>
      </c>
      <c r="BM364" s="197">
        <f t="shared" si="215"/>
        <v>7.4353030976985271E-2</v>
      </c>
      <c r="BN364" s="197">
        <f t="shared" si="216"/>
        <v>54.461181858619113</v>
      </c>
      <c r="BO364" s="197">
        <f t="shared" si="244"/>
        <v>0.2082789955950014</v>
      </c>
      <c r="BP364" s="197">
        <f t="shared" si="217"/>
        <v>65.620924669625111</v>
      </c>
      <c r="BQ364" s="197">
        <f t="shared" si="218"/>
        <v>9.9596940000000009E-2</v>
      </c>
      <c r="BR364" s="288">
        <f t="shared" si="219"/>
        <v>0.16008975919012108</v>
      </c>
      <c r="BS364" s="197">
        <f t="shared" si="220"/>
        <v>0.11660930017110901</v>
      </c>
      <c r="BT364" s="197">
        <f t="shared" si="221"/>
        <v>0.36419974881911377</v>
      </c>
      <c r="BU364" s="197">
        <f t="shared" si="222"/>
        <v>0.1713930788771201</v>
      </c>
      <c r="BV364" s="197">
        <f t="shared" si="223"/>
        <v>0.53530306917875781</v>
      </c>
      <c r="BW364" s="194"/>
      <c r="BX364" s="194"/>
      <c r="BY364" s="194"/>
      <c r="BZ364" s="194"/>
      <c r="CA364" s="194"/>
      <c r="CB364" s="194"/>
      <c r="CC364" s="194"/>
      <c r="CD364" s="194"/>
      <c r="CE364" s="194"/>
      <c r="CF364" s="194"/>
      <c r="CG364" s="194"/>
      <c r="CH364" s="194"/>
      <c r="CI364" s="194"/>
      <c r="CJ364" s="194"/>
      <c r="CK364" s="194"/>
      <c r="CL364" s="194"/>
      <c r="CM364" s="194"/>
      <c r="CN364" s="194"/>
      <c r="CO364" s="194"/>
      <c r="CP364" s="194"/>
      <c r="CQ364" s="194"/>
      <c r="CR364" s="194"/>
      <c r="CS364" s="194"/>
      <c r="CT364" s="194"/>
      <c r="CU364" s="194"/>
      <c r="CV364" s="194"/>
      <c r="CW364" s="194"/>
      <c r="CX364" s="194"/>
      <c r="CY364" s="194"/>
      <c r="CZ364" s="194"/>
      <c r="DA364" s="194"/>
      <c r="DB364" s="194"/>
      <c r="DC364" s="194"/>
      <c r="DD364" s="194"/>
      <c r="DE364" s="194"/>
      <c r="DF364" s="194"/>
    </row>
    <row r="365" spans="2:110" s="192" customFormat="1" hidden="1" x14ac:dyDescent="0.35">
      <c r="B365" s="289"/>
      <c r="C365" s="289"/>
      <c r="Q365" s="193"/>
      <c r="R365" s="194">
        <f t="shared" si="224"/>
        <v>18</v>
      </c>
      <c r="S365" s="197">
        <f t="shared" si="190"/>
        <v>0.3888888888888889</v>
      </c>
      <c r="T365" s="194">
        <f t="shared" si="245"/>
        <v>0.69</v>
      </c>
      <c r="U365" s="194">
        <f t="shared" si="246"/>
        <v>1.4999999999999999E-4</v>
      </c>
      <c r="V365" s="197">
        <f t="shared" si="225"/>
        <v>0.3888888888888889</v>
      </c>
      <c r="W365" s="197">
        <f t="shared" si="191"/>
        <v>4.3555555555555561E-3</v>
      </c>
      <c r="X365" s="286">
        <f t="shared" si="192"/>
        <v>1</v>
      </c>
      <c r="Y365" s="286">
        <f t="shared" si="193"/>
        <v>0.17335969315081967</v>
      </c>
      <c r="Z365" s="286">
        <f t="shared" si="194"/>
        <v>0.54964853345132902</v>
      </c>
      <c r="AA365" s="286">
        <f t="shared" si="226"/>
        <v>0.17335969315081967</v>
      </c>
      <c r="AB365" s="197">
        <f t="shared" si="195"/>
        <v>0.36419974881911377</v>
      </c>
      <c r="AC365" s="287">
        <f t="shared" si="196"/>
        <v>4.4451203372005044E-7</v>
      </c>
      <c r="AD365" s="197">
        <f t="shared" si="227"/>
        <v>11.693936048110356</v>
      </c>
      <c r="AE365" s="197">
        <f t="shared" si="228"/>
        <v>35.08180814433107</v>
      </c>
      <c r="AF365" s="197">
        <f t="shared" si="229"/>
        <v>8.5178571428571423E-2</v>
      </c>
      <c r="AG365" s="197">
        <f t="shared" si="230"/>
        <v>0.25553571428571431</v>
      </c>
      <c r="AH365" s="197">
        <f t="shared" si="197"/>
        <v>0.11660930017110901</v>
      </c>
      <c r="AI365" s="197">
        <f t="shared" si="231"/>
        <v>0.11660930017110901</v>
      </c>
      <c r="AJ365" s="218">
        <f t="shared" si="198"/>
        <v>390.00000000000006</v>
      </c>
      <c r="AK365" s="197">
        <f t="shared" si="232"/>
        <v>6.0930617977437734E-2</v>
      </c>
      <c r="AL365" s="197">
        <f t="shared" si="233"/>
        <v>9.6203707235237593E-2</v>
      </c>
      <c r="AM365" s="197">
        <f t="shared" si="234"/>
        <v>4.0790371867740751E-3</v>
      </c>
      <c r="AN365" s="197">
        <f t="shared" si="199"/>
        <v>24.05</v>
      </c>
      <c r="AO365" s="197">
        <f t="shared" si="200"/>
        <v>21.69</v>
      </c>
      <c r="AP365" s="197">
        <f t="shared" si="235"/>
        <v>7.4093290390420161E-2</v>
      </c>
      <c r="AQ365" s="197">
        <f t="shared" si="236"/>
        <v>0.42250439890466829</v>
      </c>
      <c r="AR365" s="197">
        <f t="shared" si="237"/>
        <v>0.30589509873355925</v>
      </c>
      <c r="AS365" s="258">
        <f t="shared" si="238"/>
        <v>0.15228632177729159</v>
      </c>
      <c r="AT365" s="197">
        <f t="shared" si="201"/>
        <v>2.5974058656511614E-4</v>
      </c>
      <c r="AU365" s="194">
        <f t="shared" si="202"/>
        <v>21.19</v>
      </c>
      <c r="AV365" s="197">
        <f t="shared" si="203"/>
        <v>2.7E-2</v>
      </c>
      <c r="AW365" s="197">
        <f t="shared" si="204"/>
        <v>3.4260000000000002E-3</v>
      </c>
      <c r="AX365" s="197">
        <f t="shared" si="239"/>
        <v>6.1668000000000001E-2</v>
      </c>
      <c r="AY365" s="197">
        <f t="shared" si="205"/>
        <v>2.8867476000000005E-3</v>
      </c>
      <c r="AZ365" s="197">
        <f t="shared" si="206"/>
        <v>0</v>
      </c>
      <c r="BA365" s="197">
        <f t="shared" si="240"/>
        <v>7.2596940000000013E-2</v>
      </c>
      <c r="BB365" s="258">
        <f t="shared" si="207"/>
        <v>0.36575210336206115</v>
      </c>
      <c r="BC365" s="197">
        <f t="shared" si="208"/>
        <v>2.2380490766334034E-2</v>
      </c>
      <c r="BD365" s="197">
        <f t="shared" si="241"/>
        <v>4.4760981532668068E-3</v>
      </c>
      <c r="BE365" s="197">
        <f t="shared" si="242"/>
        <v>2.6856588919600841E-2</v>
      </c>
      <c r="BF365" s="197">
        <f t="shared" si="209"/>
        <v>0.20773291256157633</v>
      </c>
      <c r="BG365" s="197">
        <f t="shared" si="210"/>
        <v>5.4608303342508187E-4</v>
      </c>
      <c r="BH365" s="197">
        <f t="shared" si="211"/>
        <v>3.5336687086656722E-2</v>
      </c>
      <c r="BI365" s="197">
        <f t="shared" si="243"/>
        <v>0.44730899017824427</v>
      </c>
      <c r="BJ365" s="197">
        <f t="shared" si="212"/>
        <v>6.769615024661003</v>
      </c>
      <c r="BK365" s="288">
        <f t="shared" si="213"/>
        <v>0.93392401361838984</v>
      </c>
      <c r="BL365" s="197">
        <f t="shared" si="214"/>
        <v>0.37608972359227794</v>
      </c>
      <c r="BM365" s="197">
        <f t="shared" si="215"/>
        <v>7.4353030976985271E-2</v>
      </c>
      <c r="BN365" s="197">
        <f t="shared" si="216"/>
        <v>54.461181858619113</v>
      </c>
      <c r="BO365" s="197">
        <f t="shared" si="244"/>
        <v>0.2082789955950014</v>
      </c>
      <c r="BP365" s="197">
        <f t="shared" si="217"/>
        <v>65.620924669625111</v>
      </c>
      <c r="BQ365" s="197">
        <f t="shared" si="218"/>
        <v>9.9596940000000009E-2</v>
      </c>
      <c r="BR365" s="288">
        <f t="shared" si="219"/>
        <v>0.16008975919012108</v>
      </c>
      <c r="BS365" s="197">
        <f t="shared" si="220"/>
        <v>0.11660930017110901</v>
      </c>
      <c r="BT365" s="197">
        <f t="shared" si="221"/>
        <v>0.36419974881911377</v>
      </c>
      <c r="BU365" s="197">
        <f t="shared" si="222"/>
        <v>0.1713930788771201</v>
      </c>
      <c r="BV365" s="197">
        <f t="shared" si="223"/>
        <v>0.53530306917875781</v>
      </c>
      <c r="BW365" s="194"/>
      <c r="BX365" s="194"/>
      <c r="BY365" s="194"/>
      <c r="BZ365" s="194"/>
      <c r="CA365" s="194"/>
      <c r="CB365" s="194"/>
      <c r="CC365" s="194"/>
      <c r="CD365" s="194"/>
      <c r="CE365" s="194"/>
      <c r="CF365" s="194"/>
      <c r="CG365" s="194"/>
      <c r="CH365" s="194"/>
      <c r="CI365" s="194"/>
      <c r="CJ365" s="194"/>
      <c r="CK365" s="194"/>
      <c r="CL365" s="194"/>
      <c r="CM365" s="194"/>
      <c r="CN365" s="194"/>
      <c r="CO365" s="194"/>
      <c r="CP365" s="194"/>
      <c r="CQ365" s="194"/>
      <c r="CR365" s="194"/>
      <c r="CS365" s="194"/>
      <c r="CT365" s="194"/>
      <c r="CU365" s="194"/>
      <c r="CV365" s="194"/>
      <c r="CW365" s="194"/>
      <c r="CX365" s="194"/>
      <c r="CY365" s="194"/>
      <c r="CZ365" s="194"/>
      <c r="DA365" s="194"/>
      <c r="DB365" s="194"/>
      <c r="DC365" s="194"/>
      <c r="DD365" s="194"/>
      <c r="DE365" s="194"/>
      <c r="DF365" s="194"/>
    </row>
    <row r="366" spans="2:110" s="192" customFormat="1" hidden="1" x14ac:dyDescent="0.35">
      <c r="B366" s="289"/>
      <c r="C366" s="289"/>
      <c r="Q366" s="193"/>
      <c r="R366" s="194">
        <f t="shared" si="224"/>
        <v>18</v>
      </c>
      <c r="S366" s="197">
        <f t="shared" si="190"/>
        <v>0.3888888888888889</v>
      </c>
      <c r="T366" s="194">
        <f t="shared" si="245"/>
        <v>0.69</v>
      </c>
      <c r="U366" s="194">
        <f t="shared" si="246"/>
        <v>1.4999999999999999E-4</v>
      </c>
      <c r="V366" s="197">
        <f t="shared" si="225"/>
        <v>0.3888888888888889</v>
      </c>
      <c r="W366" s="197">
        <f t="shared" si="191"/>
        <v>4.3555555555555561E-3</v>
      </c>
      <c r="X366" s="286">
        <f t="shared" si="192"/>
        <v>1</v>
      </c>
      <c r="Y366" s="286">
        <f t="shared" si="193"/>
        <v>0.17335969315081967</v>
      </c>
      <c r="Z366" s="286">
        <f t="shared" si="194"/>
        <v>0.54964853345132902</v>
      </c>
      <c r="AA366" s="286">
        <f t="shared" si="226"/>
        <v>0.17335969315081967</v>
      </c>
      <c r="AB366" s="197">
        <f t="shared" si="195"/>
        <v>0.36419974881911377</v>
      </c>
      <c r="AC366" s="287">
        <f t="shared" si="196"/>
        <v>4.4451203372005044E-7</v>
      </c>
      <c r="AD366" s="197">
        <f t="shared" si="227"/>
        <v>11.693936048110356</v>
      </c>
      <c r="AE366" s="197">
        <f t="shared" si="228"/>
        <v>35.08180814433107</v>
      </c>
      <c r="AF366" s="197">
        <f t="shared" si="229"/>
        <v>8.5178571428571423E-2</v>
      </c>
      <c r="AG366" s="197">
        <f t="shared" si="230"/>
        <v>0.25553571428571431</v>
      </c>
      <c r="AH366" s="197">
        <f t="shared" si="197"/>
        <v>0.11660930017110901</v>
      </c>
      <c r="AI366" s="197">
        <f t="shared" si="231"/>
        <v>0.11660930017110901</v>
      </c>
      <c r="AJ366" s="218">
        <f t="shared" si="198"/>
        <v>390.00000000000006</v>
      </c>
      <c r="AK366" s="197">
        <f t="shared" si="232"/>
        <v>6.0930617977437734E-2</v>
      </c>
      <c r="AL366" s="197">
        <f t="shared" si="233"/>
        <v>9.6203707235237593E-2</v>
      </c>
      <c r="AM366" s="197">
        <f t="shared" si="234"/>
        <v>4.0790371867740751E-3</v>
      </c>
      <c r="AN366" s="197">
        <f t="shared" si="199"/>
        <v>24.05</v>
      </c>
      <c r="AO366" s="197">
        <f t="shared" si="200"/>
        <v>21.69</v>
      </c>
      <c r="AP366" s="197">
        <f t="shared" si="235"/>
        <v>7.4093290390420161E-2</v>
      </c>
      <c r="AQ366" s="197">
        <f t="shared" si="236"/>
        <v>0.42250439890466829</v>
      </c>
      <c r="AR366" s="197">
        <f t="shared" si="237"/>
        <v>0.30589509873355925</v>
      </c>
      <c r="AS366" s="258">
        <f t="shared" si="238"/>
        <v>0.15228632177729159</v>
      </c>
      <c r="AT366" s="197">
        <f t="shared" si="201"/>
        <v>2.5974058656511614E-4</v>
      </c>
      <c r="AU366" s="194">
        <f t="shared" si="202"/>
        <v>21.19</v>
      </c>
      <c r="AV366" s="197">
        <f t="shared" si="203"/>
        <v>2.7E-2</v>
      </c>
      <c r="AW366" s="197">
        <f t="shared" si="204"/>
        <v>3.4260000000000002E-3</v>
      </c>
      <c r="AX366" s="197">
        <f t="shared" si="239"/>
        <v>6.1668000000000001E-2</v>
      </c>
      <c r="AY366" s="197">
        <f t="shared" si="205"/>
        <v>2.8867476000000005E-3</v>
      </c>
      <c r="AZ366" s="197">
        <f t="shared" si="206"/>
        <v>0</v>
      </c>
      <c r="BA366" s="197">
        <f t="shared" si="240"/>
        <v>7.2596940000000013E-2</v>
      </c>
      <c r="BB366" s="258">
        <f t="shared" si="207"/>
        <v>0.36575210336206115</v>
      </c>
      <c r="BC366" s="197">
        <f t="shared" si="208"/>
        <v>2.2380490766334034E-2</v>
      </c>
      <c r="BD366" s="197">
        <f t="shared" si="241"/>
        <v>4.4760981532668068E-3</v>
      </c>
      <c r="BE366" s="197">
        <f t="shared" si="242"/>
        <v>2.6856588919600841E-2</v>
      </c>
      <c r="BF366" s="197">
        <f t="shared" si="209"/>
        <v>0.20773291256157633</v>
      </c>
      <c r="BG366" s="197">
        <f t="shared" si="210"/>
        <v>5.4608303342508187E-4</v>
      </c>
      <c r="BH366" s="197">
        <f t="shared" si="211"/>
        <v>3.5336687086656722E-2</v>
      </c>
      <c r="BI366" s="197">
        <f t="shared" si="243"/>
        <v>0.44730899017824427</v>
      </c>
      <c r="BJ366" s="197">
        <f t="shared" si="212"/>
        <v>6.769615024661003</v>
      </c>
      <c r="BK366" s="288">
        <f t="shared" si="213"/>
        <v>0.93392401361838984</v>
      </c>
      <c r="BL366" s="197">
        <f t="shared" si="214"/>
        <v>0.37608972359227794</v>
      </c>
      <c r="BM366" s="197">
        <f t="shared" si="215"/>
        <v>7.4353030976985271E-2</v>
      </c>
      <c r="BN366" s="197">
        <f t="shared" si="216"/>
        <v>54.461181858619113</v>
      </c>
      <c r="BO366" s="197">
        <f t="shared" si="244"/>
        <v>0.2082789955950014</v>
      </c>
      <c r="BP366" s="197">
        <f t="shared" si="217"/>
        <v>65.620924669625111</v>
      </c>
      <c r="BQ366" s="197">
        <f t="shared" si="218"/>
        <v>9.9596940000000009E-2</v>
      </c>
      <c r="BR366" s="288">
        <f t="shared" si="219"/>
        <v>0.16008975919012108</v>
      </c>
      <c r="BS366" s="197">
        <f t="shared" si="220"/>
        <v>0.11660930017110901</v>
      </c>
      <c r="BT366" s="197">
        <f t="shared" si="221"/>
        <v>0.36419974881911377</v>
      </c>
      <c r="BU366" s="197">
        <f t="shared" si="222"/>
        <v>0.1713930788771201</v>
      </c>
      <c r="BV366" s="197">
        <f t="shared" si="223"/>
        <v>0.53530306917875781</v>
      </c>
      <c r="BW366" s="194"/>
      <c r="BX366" s="194"/>
      <c r="BY366" s="194"/>
      <c r="BZ366" s="194"/>
      <c r="CA366" s="194"/>
      <c r="CB366" s="194"/>
      <c r="CC366" s="194"/>
      <c r="CD366" s="194"/>
      <c r="CE366" s="194"/>
      <c r="CF366" s="194"/>
      <c r="CG366" s="194"/>
      <c r="CH366" s="194"/>
      <c r="CI366" s="194"/>
      <c r="CJ366" s="194"/>
      <c r="CK366" s="194"/>
      <c r="CL366" s="194"/>
      <c r="CM366" s="194"/>
      <c r="CN366" s="194"/>
      <c r="CO366" s="194"/>
      <c r="CP366" s="194"/>
      <c r="CQ366" s="194"/>
      <c r="CR366" s="194"/>
      <c r="CS366" s="194"/>
      <c r="CT366" s="194"/>
      <c r="CU366" s="194"/>
      <c r="CV366" s="194"/>
      <c r="CW366" s="194"/>
      <c r="CX366" s="194"/>
      <c r="CY366" s="194"/>
      <c r="CZ366" s="194"/>
      <c r="DA366" s="194"/>
      <c r="DB366" s="194"/>
      <c r="DC366" s="194"/>
      <c r="DD366" s="194"/>
      <c r="DE366" s="194"/>
      <c r="DF366" s="194"/>
    </row>
    <row r="367" spans="2:110" s="192" customFormat="1" hidden="1" x14ac:dyDescent="0.35">
      <c r="B367" s="289"/>
      <c r="C367" s="289"/>
      <c r="Q367" s="193"/>
      <c r="R367" s="194">
        <f t="shared" si="224"/>
        <v>18</v>
      </c>
      <c r="S367" s="197">
        <f t="shared" si="190"/>
        <v>0.3888888888888889</v>
      </c>
      <c r="T367" s="194">
        <f t="shared" si="245"/>
        <v>0.69</v>
      </c>
      <c r="U367" s="194">
        <f t="shared" si="246"/>
        <v>1.4999999999999999E-4</v>
      </c>
      <c r="V367" s="197">
        <f t="shared" si="225"/>
        <v>0.3888888888888889</v>
      </c>
      <c r="W367" s="197">
        <f t="shared" si="191"/>
        <v>4.3555555555555561E-3</v>
      </c>
      <c r="X367" s="286">
        <f t="shared" si="192"/>
        <v>1</v>
      </c>
      <c r="Y367" s="286">
        <f t="shared" si="193"/>
        <v>0.17335969315081967</v>
      </c>
      <c r="Z367" s="286">
        <f t="shared" si="194"/>
        <v>0.54964853345132902</v>
      </c>
      <c r="AA367" s="286">
        <f t="shared" si="226"/>
        <v>0.17335969315081967</v>
      </c>
      <c r="AB367" s="197">
        <f t="shared" si="195"/>
        <v>0.36419974881911377</v>
      </c>
      <c r="AC367" s="287">
        <f t="shared" si="196"/>
        <v>4.4451203372005044E-7</v>
      </c>
      <c r="AD367" s="197">
        <f t="shared" si="227"/>
        <v>11.693936048110356</v>
      </c>
      <c r="AE367" s="197">
        <f t="shared" si="228"/>
        <v>35.08180814433107</v>
      </c>
      <c r="AF367" s="197">
        <f t="shared" si="229"/>
        <v>8.5178571428571423E-2</v>
      </c>
      <c r="AG367" s="197">
        <f t="shared" si="230"/>
        <v>0.25553571428571431</v>
      </c>
      <c r="AH367" s="197">
        <f t="shared" si="197"/>
        <v>0.11660930017110901</v>
      </c>
      <c r="AI367" s="197">
        <f t="shared" si="231"/>
        <v>0.11660930017110901</v>
      </c>
      <c r="AJ367" s="218">
        <f t="shared" si="198"/>
        <v>390.00000000000006</v>
      </c>
      <c r="AK367" s="197">
        <f t="shared" si="232"/>
        <v>6.0930617977437734E-2</v>
      </c>
      <c r="AL367" s="197">
        <f t="shared" si="233"/>
        <v>9.6203707235237593E-2</v>
      </c>
      <c r="AM367" s="197">
        <f t="shared" si="234"/>
        <v>4.0790371867740751E-3</v>
      </c>
      <c r="AN367" s="197">
        <f t="shared" si="199"/>
        <v>24.05</v>
      </c>
      <c r="AO367" s="197">
        <f t="shared" si="200"/>
        <v>21.69</v>
      </c>
      <c r="AP367" s="197">
        <f t="shared" si="235"/>
        <v>7.4093290390420161E-2</v>
      </c>
      <c r="AQ367" s="197">
        <f t="shared" si="236"/>
        <v>0.42250439890466829</v>
      </c>
      <c r="AR367" s="197">
        <f t="shared" si="237"/>
        <v>0.30589509873355925</v>
      </c>
      <c r="AS367" s="258">
        <f t="shared" si="238"/>
        <v>0.15228632177729159</v>
      </c>
      <c r="AT367" s="197">
        <f t="shared" si="201"/>
        <v>2.5974058656511614E-4</v>
      </c>
      <c r="AU367" s="194">
        <f t="shared" si="202"/>
        <v>21.19</v>
      </c>
      <c r="AV367" s="197">
        <f t="shared" si="203"/>
        <v>2.7E-2</v>
      </c>
      <c r="AW367" s="197">
        <f t="shared" si="204"/>
        <v>3.4260000000000002E-3</v>
      </c>
      <c r="AX367" s="197">
        <f t="shared" si="239"/>
        <v>6.1668000000000001E-2</v>
      </c>
      <c r="AY367" s="197">
        <f t="shared" si="205"/>
        <v>2.8867476000000005E-3</v>
      </c>
      <c r="AZ367" s="197">
        <f t="shared" si="206"/>
        <v>0</v>
      </c>
      <c r="BA367" s="197">
        <f t="shared" si="240"/>
        <v>7.2596940000000013E-2</v>
      </c>
      <c r="BB367" s="258">
        <f t="shared" si="207"/>
        <v>0.36575210336206115</v>
      </c>
      <c r="BC367" s="197">
        <f t="shared" si="208"/>
        <v>2.2380490766334034E-2</v>
      </c>
      <c r="BD367" s="197">
        <f t="shared" si="241"/>
        <v>4.4760981532668068E-3</v>
      </c>
      <c r="BE367" s="197">
        <f t="shared" si="242"/>
        <v>2.6856588919600841E-2</v>
      </c>
      <c r="BF367" s="197">
        <f t="shared" si="209"/>
        <v>0.20773291256157633</v>
      </c>
      <c r="BG367" s="197">
        <f t="shared" si="210"/>
        <v>5.4608303342508187E-4</v>
      </c>
      <c r="BH367" s="197">
        <f t="shared" si="211"/>
        <v>3.5336687086656722E-2</v>
      </c>
      <c r="BI367" s="197">
        <f t="shared" si="243"/>
        <v>0.44730899017824427</v>
      </c>
      <c r="BJ367" s="197">
        <f t="shared" si="212"/>
        <v>6.769615024661003</v>
      </c>
      <c r="BK367" s="288">
        <f t="shared" si="213"/>
        <v>0.93392401361838984</v>
      </c>
      <c r="BL367" s="197">
        <f t="shared" si="214"/>
        <v>0.37608972359227794</v>
      </c>
      <c r="BM367" s="197">
        <f t="shared" si="215"/>
        <v>7.4353030976985271E-2</v>
      </c>
      <c r="BN367" s="197">
        <f t="shared" si="216"/>
        <v>54.461181858619113</v>
      </c>
      <c r="BO367" s="197">
        <f t="shared" si="244"/>
        <v>0.2082789955950014</v>
      </c>
      <c r="BP367" s="197">
        <f t="shared" si="217"/>
        <v>65.620924669625111</v>
      </c>
      <c r="BQ367" s="197">
        <f t="shared" si="218"/>
        <v>9.9596940000000009E-2</v>
      </c>
      <c r="BR367" s="288">
        <f t="shared" si="219"/>
        <v>0.16008975919012108</v>
      </c>
      <c r="BS367" s="197">
        <f t="shared" si="220"/>
        <v>0.11660930017110901</v>
      </c>
      <c r="BT367" s="197">
        <f t="shared" si="221"/>
        <v>0.36419974881911377</v>
      </c>
      <c r="BU367" s="197">
        <f t="shared" si="222"/>
        <v>0.1713930788771201</v>
      </c>
      <c r="BV367" s="197">
        <f t="shared" si="223"/>
        <v>0.53530306917875781</v>
      </c>
      <c r="BW367" s="194"/>
      <c r="BX367" s="194"/>
      <c r="BY367" s="194"/>
      <c r="BZ367" s="194"/>
      <c r="CA367" s="194"/>
      <c r="CB367" s="194"/>
      <c r="CC367" s="194"/>
      <c r="CD367" s="194"/>
      <c r="CE367" s="194"/>
      <c r="CF367" s="194"/>
      <c r="CG367" s="194"/>
      <c r="CH367" s="194"/>
      <c r="CI367" s="194"/>
      <c r="CJ367" s="194"/>
      <c r="CK367" s="194"/>
      <c r="CL367" s="194"/>
      <c r="CM367" s="194"/>
      <c r="CN367" s="194"/>
      <c r="CO367" s="194"/>
      <c r="CP367" s="194"/>
      <c r="CQ367" s="194"/>
      <c r="CR367" s="194"/>
      <c r="CS367" s="194"/>
      <c r="CT367" s="194"/>
      <c r="CU367" s="194"/>
      <c r="CV367" s="194"/>
      <c r="CW367" s="194"/>
      <c r="CX367" s="194"/>
      <c r="CY367" s="194"/>
      <c r="CZ367" s="194"/>
      <c r="DA367" s="194"/>
      <c r="DB367" s="194"/>
      <c r="DC367" s="194"/>
      <c r="DD367" s="194"/>
      <c r="DE367" s="194"/>
      <c r="DF367" s="194"/>
    </row>
    <row r="368" spans="2:110" s="192" customFormat="1" hidden="1" x14ac:dyDescent="0.35">
      <c r="B368" s="289"/>
      <c r="C368" s="289"/>
      <c r="Q368" s="193"/>
      <c r="R368" s="194">
        <f t="shared" si="224"/>
        <v>18</v>
      </c>
      <c r="S368" s="197">
        <f t="shared" si="190"/>
        <v>0.3888888888888889</v>
      </c>
      <c r="T368" s="194">
        <f t="shared" si="245"/>
        <v>0.69</v>
      </c>
      <c r="U368" s="194">
        <f t="shared" si="246"/>
        <v>1.4999999999999999E-4</v>
      </c>
      <c r="V368" s="197">
        <f t="shared" si="225"/>
        <v>0.3888888888888889</v>
      </c>
      <c r="W368" s="197">
        <f t="shared" si="191"/>
        <v>4.3555555555555561E-3</v>
      </c>
      <c r="X368" s="286">
        <f t="shared" si="192"/>
        <v>1</v>
      </c>
      <c r="Y368" s="286">
        <f t="shared" si="193"/>
        <v>0.17335969315081967</v>
      </c>
      <c r="Z368" s="286">
        <f t="shared" si="194"/>
        <v>0.54964853345132902</v>
      </c>
      <c r="AA368" s="286">
        <f t="shared" si="226"/>
        <v>0.17335969315081967</v>
      </c>
      <c r="AB368" s="197">
        <f t="shared" si="195"/>
        <v>0.36419974881911377</v>
      </c>
      <c r="AC368" s="287">
        <f t="shared" si="196"/>
        <v>4.4451203372005044E-7</v>
      </c>
      <c r="AD368" s="197">
        <f t="shared" si="227"/>
        <v>11.693936048110356</v>
      </c>
      <c r="AE368" s="197">
        <f t="shared" si="228"/>
        <v>35.08180814433107</v>
      </c>
      <c r="AF368" s="197">
        <f t="shared" si="229"/>
        <v>8.5178571428571423E-2</v>
      </c>
      <c r="AG368" s="197">
        <f t="shared" si="230"/>
        <v>0.25553571428571431</v>
      </c>
      <c r="AH368" s="197">
        <f t="shared" si="197"/>
        <v>0.11660930017110901</v>
      </c>
      <c r="AI368" s="197">
        <f t="shared" si="231"/>
        <v>0.11660930017110901</v>
      </c>
      <c r="AJ368" s="218">
        <f t="shared" si="198"/>
        <v>390.00000000000006</v>
      </c>
      <c r="AK368" s="197">
        <f t="shared" si="232"/>
        <v>6.0930617977437734E-2</v>
      </c>
      <c r="AL368" s="197">
        <f t="shared" si="233"/>
        <v>9.6203707235237593E-2</v>
      </c>
      <c r="AM368" s="197">
        <f t="shared" si="234"/>
        <v>4.0790371867740751E-3</v>
      </c>
      <c r="AN368" s="197">
        <f t="shared" si="199"/>
        <v>24.05</v>
      </c>
      <c r="AO368" s="197">
        <f t="shared" si="200"/>
        <v>21.69</v>
      </c>
      <c r="AP368" s="197">
        <f t="shared" si="235"/>
        <v>7.4093290390420161E-2</v>
      </c>
      <c r="AQ368" s="197">
        <f t="shared" si="236"/>
        <v>0.42250439890466829</v>
      </c>
      <c r="AR368" s="197">
        <f t="shared" si="237"/>
        <v>0.30589509873355925</v>
      </c>
      <c r="AS368" s="258">
        <f t="shared" si="238"/>
        <v>0.15228632177729159</v>
      </c>
      <c r="AT368" s="197">
        <f t="shared" si="201"/>
        <v>2.5974058656511614E-4</v>
      </c>
      <c r="AU368" s="194">
        <f t="shared" si="202"/>
        <v>21.19</v>
      </c>
      <c r="AV368" s="197">
        <f t="shared" si="203"/>
        <v>2.7E-2</v>
      </c>
      <c r="AW368" s="197">
        <f t="shared" si="204"/>
        <v>3.4260000000000002E-3</v>
      </c>
      <c r="AX368" s="197">
        <f t="shared" si="239"/>
        <v>6.1668000000000001E-2</v>
      </c>
      <c r="AY368" s="197">
        <f t="shared" si="205"/>
        <v>2.8867476000000005E-3</v>
      </c>
      <c r="AZ368" s="197">
        <f t="shared" si="206"/>
        <v>0</v>
      </c>
      <c r="BA368" s="197">
        <f t="shared" si="240"/>
        <v>7.2596940000000013E-2</v>
      </c>
      <c r="BB368" s="258">
        <f t="shared" si="207"/>
        <v>0.36575210336206115</v>
      </c>
      <c r="BC368" s="197">
        <f t="shared" si="208"/>
        <v>2.2380490766334034E-2</v>
      </c>
      <c r="BD368" s="197">
        <f t="shared" si="241"/>
        <v>4.4760981532668068E-3</v>
      </c>
      <c r="BE368" s="197">
        <f t="shared" si="242"/>
        <v>2.6856588919600841E-2</v>
      </c>
      <c r="BF368" s="197">
        <f t="shared" si="209"/>
        <v>0.20773291256157633</v>
      </c>
      <c r="BG368" s="197">
        <f t="shared" si="210"/>
        <v>5.4608303342508187E-4</v>
      </c>
      <c r="BH368" s="197">
        <f t="shared" si="211"/>
        <v>3.5336687086656722E-2</v>
      </c>
      <c r="BI368" s="197">
        <f t="shared" si="243"/>
        <v>0.44730899017824427</v>
      </c>
      <c r="BJ368" s="197">
        <f t="shared" si="212"/>
        <v>6.769615024661003</v>
      </c>
      <c r="BK368" s="288">
        <f t="shared" si="213"/>
        <v>0.93392401361838984</v>
      </c>
      <c r="BL368" s="197">
        <f t="shared" si="214"/>
        <v>0.37608972359227794</v>
      </c>
      <c r="BM368" s="197">
        <f t="shared" si="215"/>
        <v>7.4353030976985271E-2</v>
      </c>
      <c r="BN368" s="197">
        <f t="shared" si="216"/>
        <v>54.461181858619113</v>
      </c>
      <c r="BO368" s="197">
        <f t="shared" si="244"/>
        <v>0.2082789955950014</v>
      </c>
      <c r="BP368" s="197">
        <f t="shared" si="217"/>
        <v>65.620924669625111</v>
      </c>
      <c r="BQ368" s="197">
        <f t="shared" si="218"/>
        <v>9.9596940000000009E-2</v>
      </c>
      <c r="BR368" s="288">
        <f t="shared" si="219"/>
        <v>0.16008975919012108</v>
      </c>
      <c r="BS368" s="197">
        <f t="shared" si="220"/>
        <v>0.11660930017110901</v>
      </c>
      <c r="BT368" s="197">
        <f t="shared" si="221"/>
        <v>0.36419974881911377</v>
      </c>
      <c r="BU368" s="197">
        <f t="shared" si="222"/>
        <v>0.1713930788771201</v>
      </c>
      <c r="BV368" s="197">
        <f t="shared" si="223"/>
        <v>0.53530306917875781</v>
      </c>
      <c r="BW368" s="194"/>
      <c r="BX368" s="194"/>
      <c r="BY368" s="194"/>
      <c r="BZ368" s="194"/>
      <c r="CA368" s="194"/>
      <c r="CB368" s="194"/>
      <c r="CC368" s="194"/>
      <c r="CD368" s="194"/>
      <c r="CE368" s="194"/>
      <c r="CF368" s="194"/>
      <c r="CG368" s="194"/>
      <c r="CH368" s="194"/>
      <c r="CI368" s="194"/>
      <c r="CJ368" s="194"/>
      <c r="CK368" s="194"/>
      <c r="CL368" s="194"/>
      <c r="CM368" s="194"/>
      <c r="CN368" s="194"/>
      <c r="CO368" s="194"/>
      <c r="CP368" s="194"/>
      <c r="CQ368" s="194"/>
      <c r="CR368" s="194"/>
      <c r="CS368" s="194"/>
      <c r="CT368" s="194"/>
      <c r="CU368" s="194"/>
      <c r="CV368" s="194"/>
      <c r="CW368" s="194"/>
      <c r="CX368" s="194"/>
      <c r="CY368" s="194"/>
      <c r="CZ368" s="194"/>
      <c r="DA368" s="194"/>
      <c r="DB368" s="194"/>
      <c r="DC368" s="194"/>
      <c r="DD368" s="194"/>
      <c r="DE368" s="194"/>
      <c r="DF368" s="194"/>
    </row>
    <row r="369" spans="2:110" s="192" customFormat="1" hidden="1" x14ac:dyDescent="0.35">
      <c r="B369" s="289"/>
      <c r="C369" s="289"/>
      <c r="Q369" s="193"/>
      <c r="R369" s="194">
        <f t="shared" si="224"/>
        <v>18</v>
      </c>
      <c r="S369" s="197">
        <f t="shared" si="190"/>
        <v>0.3888888888888889</v>
      </c>
      <c r="T369" s="194">
        <f t="shared" si="245"/>
        <v>0.69</v>
      </c>
      <c r="U369" s="194">
        <f t="shared" si="246"/>
        <v>1.4999999999999999E-4</v>
      </c>
      <c r="V369" s="197">
        <f t="shared" si="225"/>
        <v>0.3888888888888889</v>
      </c>
      <c r="W369" s="197">
        <f t="shared" si="191"/>
        <v>4.3555555555555561E-3</v>
      </c>
      <c r="X369" s="286">
        <f t="shared" si="192"/>
        <v>1</v>
      </c>
      <c r="Y369" s="286">
        <f t="shared" si="193"/>
        <v>0.17335969315081967</v>
      </c>
      <c r="Z369" s="286">
        <f t="shared" si="194"/>
        <v>0.54964853345132902</v>
      </c>
      <c r="AA369" s="286">
        <f t="shared" si="226"/>
        <v>0.17335969315081967</v>
      </c>
      <c r="AB369" s="197">
        <f t="shared" si="195"/>
        <v>0.36419974881911377</v>
      </c>
      <c r="AC369" s="287">
        <f t="shared" si="196"/>
        <v>4.4451203372005044E-7</v>
      </c>
      <c r="AD369" s="197">
        <f t="shared" si="227"/>
        <v>11.693936048110356</v>
      </c>
      <c r="AE369" s="197">
        <f t="shared" si="228"/>
        <v>35.08180814433107</v>
      </c>
      <c r="AF369" s="197">
        <f t="shared" si="229"/>
        <v>8.5178571428571423E-2</v>
      </c>
      <c r="AG369" s="197">
        <f t="shared" si="230"/>
        <v>0.25553571428571431</v>
      </c>
      <c r="AH369" s="197">
        <f t="shared" si="197"/>
        <v>0.11660930017110901</v>
      </c>
      <c r="AI369" s="197">
        <f t="shared" si="231"/>
        <v>0.11660930017110901</v>
      </c>
      <c r="AJ369" s="218">
        <f t="shared" si="198"/>
        <v>390.00000000000006</v>
      </c>
      <c r="AK369" s="197">
        <f t="shared" si="232"/>
        <v>6.0930617977437734E-2</v>
      </c>
      <c r="AL369" s="197">
        <f t="shared" si="233"/>
        <v>9.6203707235237593E-2</v>
      </c>
      <c r="AM369" s="197">
        <f t="shared" si="234"/>
        <v>4.0790371867740751E-3</v>
      </c>
      <c r="AN369" s="197">
        <f t="shared" si="199"/>
        <v>24.05</v>
      </c>
      <c r="AO369" s="197">
        <f t="shared" si="200"/>
        <v>21.69</v>
      </c>
      <c r="AP369" s="197">
        <f t="shared" si="235"/>
        <v>7.4093290390420161E-2</v>
      </c>
      <c r="AQ369" s="197">
        <f t="shared" si="236"/>
        <v>0.42250439890466829</v>
      </c>
      <c r="AR369" s="197">
        <f t="shared" si="237"/>
        <v>0.30589509873355925</v>
      </c>
      <c r="AS369" s="258">
        <f t="shared" si="238"/>
        <v>0.15228632177729159</v>
      </c>
      <c r="AT369" s="197">
        <f t="shared" si="201"/>
        <v>2.5974058656511614E-4</v>
      </c>
      <c r="AU369" s="194">
        <f t="shared" si="202"/>
        <v>21.19</v>
      </c>
      <c r="AV369" s="197">
        <f t="shared" si="203"/>
        <v>2.7E-2</v>
      </c>
      <c r="AW369" s="197">
        <f t="shared" si="204"/>
        <v>3.4260000000000002E-3</v>
      </c>
      <c r="AX369" s="197">
        <f t="shared" si="239"/>
        <v>6.1668000000000001E-2</v>
      </c>
      <c r="AY369" s="197">
        <f t="shared" si="205"/>
        <v>2.8867476000000005E-3</v>
      </c>
      <c r="AZ369" s="197">
        <f t="shared" si="206"/>
        <v>0</v>
      </c>
      <c r="BA369" s="197">
        <f t="shared" si="240"/>
        <v>7.2596940000000013E-2</v>
      </c>
      <c r="BB369" s="258">
        <f t="shared" si="207"/>
        <v>0.36575210336206115</v>
      </c>
      <c r="BC369" s="197">
        <f t="shared" si="208"/>
        <v>2.2380490766334034E-2</v>
      </c>
      <c r="BD369" s="197">
        <f t="shared" si="241"/>
        <v>4.4760981532668068E-3</v>
      </c>
      <c r="BE369" s="197">
        <f t="shared" si="242"/>
        <v>2.6856588919600841E-2</v>
      </c>
      <c r="BF369" s="197">
        <f t="shared" si="209"/>
        <v>0.20773291256157633</v>
      </c>
      <c r="BG369" s="197">
        <f t="shared" si="210"/>
        <v>5.4608303342508187E-4</v>
      </c>
      <c r="BH369" s="197">
        <f t="shared" si="211"/>
        <v>3.5336687086656722E-2</v>
      </c>
      <c r="BI369" s="197">
        <f t="shared" si="243"/>
        <v>0.44730899017824427</v>
      </c>
      <c r="BJ369" s="197">
        <f t="shared" si="212"/>
        <v>6.769615024661003</v>
      </c>
      <c r="BK369" s="288">
        <f t="shared" si="213"/>
        <v>0.93392401361838984</v>
      </c>
      <c r="BL369" s="197">
        <f t="shared" si="214"/>
        <v>0.37608972359227794</v>
      </c>
      <c r="BM369" s="197">
        <f t="shared" si="215"/>
        <v>7.4353030976985271E-2</v>
      </c>
      <c r="BN369" s="197">
        <f t="shared" si="216"/>
        <v>54.461181858619113</v>
      </c>
      <c r="BO369" s="197">
        <f t="shared" si="244"/>
        <v>0.2082789955950014</v>
      </c>
      <c r="BP369" s="197">
        <f t="shared" si="217"/>
        <v>65.620924669625111</v>
      </c>
      <c r="BQ369" s="197">
        <f t="shared" si="218"/>
        <v>9.9596940000000009E-2</v>
      </c>
      <c r="BR369" s="288">
        <f t="shared" si="219"/>
        <v>0.16008975919012108</v>
      </c>
      <c r="BS369" s="197">
        <f t="shared" si="220"/>
        <v>0.11660930017110901</v>
      </c>
      <c r="BT369" s="197">
        <f t="shared" si="221"/>
        <v>0.36419974881911377</v>
      </c>
      <c r="BU369" s="197">
        <f t="shared" si="222"/>
        <v>0.1713930788771201</v>
      </c>
      <c r="BV369" s="197">
        <f t="shared" si="223"/>
        <v>0.53530306917875781</v>
      </c>
      <c r="BW369" s="194"/>
      <c r="BX369" s="194"/>
      <c r="BY369" s="194"/>
      <c r="BZ369" s="194"/>
      <c r="CA369" s="194"/>
      <c r="CB369" s="194"/>
      <c r="CC369" s="194"/>
      <c r="CD369" s="194"/>
      <c r="CE369" s="194"/>
      <c r="CF369" s="194"/>
      <c r="CG369" s="194"/>
      <c r="CH369" s="194"/>
      <c r="CI369" s="194"/>
      <c r="CJ369" s="194"/>
      <c r="CK369" s="194"/>
      <c r="CL369" s="194"/>
      <c r="CM369" s="194"/>
      <c r="CN369" s="194"/>
      <c r="CO369" s="194"/>
      <c r="CP369" s="194"/>
      <c r="CQ369" s="194"/>
      <c r="CR369" s="194"/>
      <c r="CS369" s="194"/>
      <c r="CT369" s="194"/>
      <c r="CU369" s="194"/>
      <c r="CV369" s="194"/>
      <c r="CW369" s="194"/>
      <c r="CX369" s="194"/>
      <c r="CY369" s="194"/>
      <c r="CZ369" s="194"/>
      <c r="DA369" s="194"/>
      <c r="DB369" s="194"/>
      <c r="DC369" s="194"/>
      <c r="DD369" s="194"/>
      <c r="DE369" s="194"/>
      <c r="DF369" s="194"/>
    </row>
    <row r="370" spans="2:110" s="192" customFormat="1" hidden="1" x14ac:dyDescent="0.35">
      <c r="B370" s="289"/>
      <c r="C370" s="289"/>
      <c r="Q370" s="193"/>
      <c r="R370" s="194">
        <f t="shared" si="224"/>
        <v>18</v>
      </c>
      <c r="S370" s="197">
        <f t="shared" si="190"/>
        <v>0.3888888888888889</v>
      </c>
      <c r="T370" s="194">
        <f t="shared" si="245"/>
        <v>0.69</v>
      </c>
      <c r="U370" s="194">
        <f t="shared" si="246"/>
        <v>1.4999999999999999E-4</v>
      </c>
      <c r="V370" s="197">
        <f t="shared" si="225"/>
        <v>0.3888888888888889</v>
      </c>
      <c r="W370" s="197">
        <f t="shared" si="191"/>
        <v>4.3555555555555561E-3</v>
      </c>
      <c r="X370" s="286">
        <f t="shared" si="192"/>
        <v>1</v>
      </c>
      <c r="Y370" s="286">
        <f t="shared" si="193"/>
        <v>0.17335969315081967</v>
      </c>
      <c r="Z370" s="286">
        <f t="shared" si="194"/>
        <v>0.54964853345132902</v>
      </c>
      <c r="AA370" s="286">
        <f t="shared" si="226"/>
        <v>0.17335969315081967</v>
      </c>
      <c r="AB370" s="197">
        <f t="shared" si="195"/>
        <v>0.36419974881911377</v>
      </c>
      <c r="AC370" s="287">
        <f t="shared" si="196"/>
        <v>4.4451203372005044E-7</v>
      </c>
      <c r="AD370" s="197">
        <f t="shared" si="227"/>
        <v>11.693936048110356</v>
      </c>
      <c r="AE370" s="197">
        <f t="shared" si="228"/>
        <v>35.08180814433107</v>
      </c>
      <c r="AF370" s="197">
        <f t="shared" si="229"/>
        <v>8.5178571428571423E-2</v>
      </c>
      <c r="AG370" s="197">
        <f t="shared" si="230"/>
        <v>0.25553571428571431</v>
      </c>
      <c r="AH370" s="197">
        <f t="shared" si="197"/>
        <v>0.11660930017110901</v>
      </c>
      <c r="AI370" s="197">
        <f t="shared" si="231"/>
        <v>0.11660930017110901</v>
      </c>
      <c r="AJ370" s="218">
        <f t="shared" si="198"/>
        <v>390.00000000000006</v>
      </c>
      <c r="AK370" s="197">
        <f t="shared" si="232"/>
        <v>6.0930617977437734E-2</v>
      </c>
      <c r="AL370" s="197">
        <f t="shared" si="233"/>
        <v>9.6203707235237593E-2</v>
      </c>
      <c r="AM370" s="197">
        <f t="shared" si="234"/>
        <v>4.0790371867740751E-3</v>
      </c>
      <c r="AN370" s="197">
        <f t="shared" si="199"/>
        <v>24.05</v>
      </c>
      <c r="AO370" s="197">
        <f t="shared" si="200"/>
        <v>21.69</v>
      </c>
      <c r="AP370" s="197">
        <f t="shared" si="235"/>
        <v>7.4093290390420161E-2</v>
      </c>
      <c r="AQ370" s="197">
        <f t="shared" si="236"/>
        <v>0.42250439890466829</v>
      </c>
      <c r="AR370" s="197">
        <f t="shared" si="237"/>
        <v>0.30589509873355925</v>
      </c>
      <c r="AS370" s="258">
        <f t="shared" si="238"/>
        <v>0.15228632177729159</v>
      </c>
      <c r="AT370" s="197">
        <f t="shared" si="201"/>
        <v>2.5974058656511614E-4</v>
      </c>
      <c r="AU370" s="194">
        <f t="shared" si="202"/>
        <v>21.19</v>
      </c>
      <c r="AV370" s="197">
        <f t="shared" si="203"/>
        <v>2.7E-2</v>
      </c>
      <c r="AW370" s="197">
        <f t="shared" si="204"/>
        <v>3.4260000000000002E-3</v>
      </c>
      <c r="AX370" s="197">
        <f t="shared" si="239"/>
        <v>6.1668000000000001E-2</v>
      </c>
      <c r="AY370" s="197">
        <f t="shared" si="205"/>
        <v>2.8867476000000005E-3</v>
      </c>
      <c r="AZ370" s="197">
        <f t="shared" si="206"/>
        <v>0</v>
      </c>
      <c r="BA370" s="197">
        <f t="shared" si="240"/>
        <v>7.2596940000000013E-2</v>
      </c>
      <c r="BB370" s="258">
        <f t="shared" si="207"/>
        <v>0.36575210336206115</v>
      </c>
      <c r="BC370" s="197">
        <f t="shared" si="208"/>
        <v>2.2380490766334034E-2</v>
      </c>
      <c r="BD370" s="197">
        <f t="shared" si="241"/>
        <v>4.4760981532668068E-3</v>
      </c>
      <c r="BE370" s="197">
        <f t="shared" si="242"/>
        <v>2.6856588919600841E-2</v>
      </c>
      <c r="BF370" s="197">
        <f t="shared" si="209"/>
        <v>0.20773291256157633</v>
      </c>
      <c r="BG370" s="197">
        <f t="shared" si="210"/>
        <v>5.4608303342508187E-4</v>
      </c>
      <c r="BH370" s="197">
        <f t="shared" si="211"/>
        <v>3.5336687086656722E-2</v>
      </c>
      <c r="BI370" s="197">
        <f t="shared" si="243"/>
        <v>0.44730899017824427</v>
      </c>
      <c r="BJ370" s="197">
        <f t="shared" si="212"/>
        <v>6.769615024661003</v>
      </c>
      <c r="BK370" s="288">
        <f t="shared" si="213"/>
        <v>0.93392401361838984</v>
      </c>
      <c r="BL370" s="197">
        <f t="shared" si="214"/>
        <v>0.37608972359227794</v>
      </c>
      <c r="BM370" s="197">
        <f t="shared" si="215"/>
        <v>7.4353030976985271E-2</v>
      </c>
      <c r="BN370" s="197">
        <f t="shared" si="216"/>
        <v>54.461181858619113</v>
      </c>
      <c r="BO370" s="197">
        <f t="shared" si="244"/>
        <v>0.2082789955950014</v>
      </c>
      <c r="BP370" s="197">
        <f t="shared" si="217"/>
        <v>65.620924669625111</v>
      </c>
      <c r="BQ370" s="197">
        <f t="shared" si="218"/>
        <v>9.9596940000000009E-2</v>
      </c>
      <c r="BR370" s="288">
        <f t="shared" si="219"/>
        <v>0.16008975919012108</v>
      </c>
      <c r="BS370" s="197">
        <f t="shared" si="220"/>
        <v>0.11660930017110901</v>
      </c>
      <c r="BT370" s="197">
        <f t="shared" si="221"/>
        <v>0.36419974881911377</v>
      </c>
      <c r="BU370" s="197">
        <f t="shared" si="222"/>
        <v>0.1713930788771201</v>
      </c>
      <c r="BV370" s="197">
        <f t="shared" si="223"/>
        <v>0.53530306917875781</v>
      </c>
      <c r="BW370" s="194"/>
      <c r="BX370" s="194"/>
      <c r="BY370" s="194"/>
      <c r="BZ370" s="194"/>
      <c r="CA370" s="194"/>
      <c r="CB370" s="194"/>
      <c r="CC370" s="194"/>
      <c r="CD370" s="194"/>
      <c r="CE370" s="194"/>
      <c r="CF370" s="194"/>
      <c r="CG370" s="194"/>
      <c r="CH370" s="194"/>
      <c r="CI370" s="194"/>
      <c r="CJ370" s="194"/>
      <c r="CK370" s="194"/>
      <c r="CL370" s="194"/>
      <c r="CM370" s="194"/>
      <c r="CN370" s="194"/>
      <c r="CO370" s="194"/>
      <c r="CP370" s="194"/>
      <c r="CQ370" s="194"/>
      <c r="CR370" s="194"/>
      <c r="CS370" s="194"/>
      <c r="CT370" s="194"/>
      <c r="CU370" s="194"/>
      <c r="CV370" s="194"/>
      <c r="CW370" s="194"/>
      <c r="CX370" s="194"/>
      <c r="CY370" s="194"/>
      <c r="CZ370" s="194"/>
      <c r="DA370" s="194"/>
      <c r="DB370" s="194"/>
      <c r="DC370" s="194"/>
      <c r="DD370" s="194"/>
      <c r="DE370" s="194"/>
      <c r="DF370" s="194"/>
    </row>
    <row r="371" spans="2:110" s="192" customFormat="1" hidden="1" x14ac:dyDescent="0.35">
      <c r="B371" s="289"/>
      <c r="C371" s="289"/>
      <c r="Q371" s="193"/>
      <c r="R371" s="194">
        <f t="shared" si="224"/>
        <v>18</v>
      </c>
      <c r="S371" s="197">
        <f t="shared" si="190"/>
        <v>0.3888888888888889</v>
      </c>
      <c r="T371" s="194">
        <f t="shared" si="245"/>
        <v>0.69</v>
      </c>
      <c r="U371" s="194">
        <f t="shared" si="246"/>
        <v>1.4999999999999999E-4</v>
      </c>
      <c r="V371" s="197">
        <f t="shared" si="225"/>
        <v>0.3888888888888889</v>
      </c>
      <c r="W371" s="197">
        <f t="shared" si="191"/>
        <v>4.3555555555555561E-3</v>
      </c>
      <c r="X371" s="286">
        <f t="shared" si="192"/>
        <v>1</v>
      </c>
      <c r="Y371" s="286">
        <f t="shared" si="193"/>
        <v>0.17335969315081967</v>
      </c>
      <c r="Z371" s="286">
        <f t="shared" si="194"/>
        <v>0.54964853345132902</v>
      </c>
      <c r="AA371" s="286">
        <f t="shared" si="226"/>
        <v>0.17335969315081967</v>
      </c>
      <c r="AB371" s="197">
        <f t="shared" si="195"/>
        <v>0.36419974881911377</v>
      </c>
      <c r="AC371" s="287">
        <f t="shared" si="196"/>
        <v>4.4451203372005044E-7</v>
      </c>
      <c r="AD371" s="197">
        <f t="shared" si="227"/>
        <v>11.693936048110356</v>
      </c>
      <c r="AE371" s="197">
        <f t="shared" si="228"/>
        <v>35.08180814433107</v>
      </c>
      <c r="AF371" s="197">
        <f t="shared" si="229"/>
        <v>8.5178571428571423E-2</v>
      </c>
      <c r="AG371" s="197">
        <f t="shared" si="230"/>
        <v>0.25553571428571431</v>
      </c>
      <c r="AH371" s="197">
        <f t="shared" si="197"/>
        <v>0.11660930017110901</v>
      </c>
      <c r="AI371" s="197">
        <f t="shared" si="231"/>
        <v>0.11660930017110901</v>
      </c>
      <c r="AJ371" s="218">
        <f t="shared" si="198"/>
        <v>390.00000000000006</v>
      </c>
      <c r="AK371" s="197">
        <f t="shared" si="232"/>
        <v>6.0930617977437734E-2</v>
      </c>
      <c r="AL371" s="197">
        <f t="shared" si="233"/>
        <v>9.6203707235237593E-2</v>
      </c>
      <c r="AM371" s="197">
        <f t="shared" si="234"/>
        <v>4.0790371867740751E-3</v>
      </c>
      <c r="AN371" s="197">
        <f t="shared" si="199"/>
        <v>24.05</v>
      </c>
      <c r="AO371" s="197">
        <f t="shared" si="200"/>
        <v>21.69</v>
      </c>
      <c r="AP371" s="197">
        <f t="shared" si="235"/>
        <v>7.4093290390420161E-2</v>
      </c>
      <c r="AQ371" s="197">
        <f t="shared" si="236"/>
        <v>0.42250439890466829</v>
      </c>
      <c r="AR371" s="197">
        <f t="shared" si="237"/>
        <v>0.30589509873355925</v>
      </c>
      <c r="AS371" s="258">
        <f t="shared" si="238"/>
        <v>0.15228632177729159</v>
      </c>
      <c r="AT371" s="197">
        <f t="shared" si="201"/>
        <v>2.5974058656511614E-4</v>
      </c>
      <c r="AU371" s="194">
        <f t="shared" si="202"/>
        <v>21.19</v>
      </c>
      <c r="AV371" s="197">
        <f t="shared" si="203"/>
        <v>2.7E-2</v>
      </c>
      <c r="AW371" s="197">
        <f t="shared" si="204"/>
        <v>3.4260000000000002E-3</v>
      </c>
      <c r="AX371" s="197">
        <f t="shared" si="239"/>
        <v>6.1668000000000001E-2</v>
      </c>
      <c r="AY371" s="197">
        <f t="shared" si="205"/>
        <v>2.8867476000000005E-3</v>
      </c>
      <c r="AZ371" s="197">
        <f t="shared" si="206"/>
        <v>0</v>
      </c>
      <c r="BA371" s="197">
        <f t="shared" si="240"/>
        <v>7.2596940000000013E-2</v>
      </c>
      <c r="BB371" s="258">
        <f t="shared" si="207"/>
        <v>0.36575210336206115</v>
      </c>
      <c r="BC371" s="197">
        <f t="shared" si="208"/>
        <v>2.2380490766334034E-2</v>
      </c>
      <c r="BD371" s="197">
        <f t="shared" si="241"/>
        <v>4.4760981532668068E-3</v>
      </c>
      <c r="BE371" s="197">
        <f t="shared" si="242"/>
        <v>2.6856588919600841E-2</v>
      </c>
      <c r="BF371" s="197">
        <f t="shared" si="209"/>
        <v>0.20773291256157633</v>
      </c>
      <c r="BG371" s="197">
        <f t="shared" si="210"/>
        <v>5.4608303342508187E-4</v>
      </c>
      <c r="BH371" s="197">
        <f t="shared" si="211"/>
        <v>3.5336687086656722E-2</v>
      </c>
      <c r="BI371" s="197">
        <f t="shared" si="243"/>
        <v>0.44730899017824427</v>
      </c>
      <c r="BJ371" s="197">
        <f t="shared" si="212"/>
        <v>6.769615024661003</v>
      </c>
      <c r="BK371" s="288">
        <f t="shared" si="213"/>
        <v>0.93392401361838984</v>
      </c>
      <c r="BL371" s="197">
        <f t="shared" si="214"/>
        <v>0.37608972359227794</v>
      </c>
      <c r="BM371" s="197">
        <f t="shared" si="215"/>
        <v>7.4353030976985271E-2</v>
      </c>
      <c r="BN371" s="197">
        <f t="shared" si="216"/>
        <v>54.461181858619113</v>
      </c>
      <c r="BO371" s="197">
        <f t="shared" si="244"/>
        <v>0.2082789955950014</v>
      </c>
      <c r="BP371" s="197">
        <f t="shared" si="217"/>
        <v>65.620924669625111</v>
      </c>
      <c r="BQ371" s="197">
        <f t="shared" si="218"/>
        <v>9.9596940000000009E-2</v>
      </c>
      <c r="BR371" s="288">
        <f t="shared" si="219"/>
        <v>0.16008975919012108</v>
      </c>
      <c r="BS371" s="197">
        <f t="shared" si="220"/>
        <v>0.11660930017110901</v>
      </c>
      <c r="BT371" s="197">
        <f t="shared" si="221"/>
        <v>0.36419974881911377</v>
      </c>
      <c r="BU371" s="197">
        <f t="shared" si="222"/>
        <v>0.1713930788771201</v>
      </c>
      <c r="BV371" s="197">
        <f t="shared" si="223"/>
        <v>0.53530306917875781</v>
      </c>
      <c r="BW371" s="194"/>
      <c r="BX371" s="194"/>
      <c r="BY371" s="194"/>
      <c r="BZ371" s="194"/>
      <c r="CA371" s="194"/>
      <c r="CB371" s="194"/>
      <c r="CC371" s="194"/>
      <c r="CD371" s="194"/>
      <c r="CE371" s="194"/>
      <c r="CF371" s="194"/>
      <c r="CG371" s="194"/>
      <c r="CH371" s="194"/>
      <c r="CI371" s="194"/>
      <c r="CJ371" s="194"/>
      <c r="CK371" s="194"/>
      <c r="CL371" s="194"/>
      <c r="CM371" s="194"/>
      <c r="CN371" s="194"/>
      <c r="CO371" s="194"/>
      <c r="CP371" s="194"/>
      <c r="CQ371" s="194"/>
      <c r="CR371" s="194"/>
      <c r="CS371" s="194"/>
      <c r="CT371" s="194"/>
      <c r="CU371" s="194"/>
      <c r="CV371" s="194"/>
      <c r="CW371" s="194"/>
      <c r="CX371" s="194"/>
      <c r="CY371" s="194"/>
      <c r="CZ371" s="194"/>
      <c r="DA371" s="194"/>
      <c r="DB371" s="194"/>
      <c r="DC371" s="194"/>
      <c r="DD371" s="194"/>
      <c r="DE371" s="194"/>
      <c r="DF371" s="194"/>
    </row>
    <row r="372" spans="2:110" s="192" customFormat="1" hidden="1" x14ac:dyDescent="0.35">
      <c r="B372" s="289"/>
      <c r="C372" s="289"/>
      <c r="Q372" s="193"/>
      <c r="R372" s="194">
        <f t="shared" si="224"/>
        <v>18</v>
      </c>
      <c r="S372" s="197">
        <f t="shared" si="190"/>
        <v>0.3888888888888889</v>
      </c>
      <c r="T372" s="194">
        <f t="shared" si="245"/>
        <v>0.69</v>
      </c>
      <c r="U372" s="194">
        <f t="shared" si="246"/>
        <v>1.4999999999999999E-4</v>
      </c>
      <c r="V372" s="197">
        <f t="shared" si="225"/>
        <v>0.3888888888888889</v>
      </c>
      <c r="W372" s="197">
        <f t="shared" si="191"/>
        <v>4.3555555555555561E-3</v>
      </c>
      <c r="X372" s="286">
        <f t="shared" si="192"/>
        <v>1</v>
      </c>
      <c r="Y372" s="286">
        <f t="shared" si="193"/>
        <v>0.17335969315081967</v>
      </c>
      <c r="Z372" s="286">
        <f t="shared" si="194"/>
        <v>0.54964853345132902</v>
      </c>
      <c r="AA372" s="286">
        <f t="shared" si="226"/>
        <v>0.17335969315081967</v>
      </c>
      <c r="AB372" s="197">
        <f t="shared" si="195"/>
        <v>0.36419974881911377</v>
      </c>
      <c r="AC372" s="287">
        <f t="shared" si="196"/>
        <v>4.4451203372005044E-7</v>
      </c>
      <c r="AD372" s="197">
        <f t="shared" si="227"/>
        <v>11.693936048110356</v>
      </c>
      <c r="AE372" s="197">
        <f t="shared" si="228"/>
        <v>35.08180814433107</v>
      </c>
      <c r="AF372" s="197">
        <f t="shared" si="229"/>
        <v>8.5178571428571423E-2</v>
      </c>
      <c r="AG372" s="197">
        <f t="shared" si="230"/>
        <v>0.25553571428571431</v>
      </c>
      <c r="AH372" s="197">
        <f t="shared" si="197"/>
        <v>0.11660930017110901</v>
      </c>
      <c r="AI372" s="197">
        <f t="shared" si="231"/>
        <v>0.11660930017110901</v>
      </c>
      <c r="AJ372" s="218">
        <f t="shared" si="198"/>
        <v>390.00000000000006</v>
      </c>
      <c r="AK372" s="197">
        <f t="shared" si="232"/>
        <v>6.0930617977437734E-2</v>
      </c>
      <c r="AL372" s="197">
        <f t="shared" si="233"/>
        <v>9.6203707235237593E-2</v>
      </c>
      <c r="AM372" s="197">
        <f t="shared" si="234"/>
        <v>4.0790371867740751E-3</v>
      </c>
      <c r="AN372" s="197">
        <f t="shared" si="199"/>
        <v>24.05</v>
      </c>
      <c r="AO372" s="197">
        <f t="shared" si="200"/>
        <v>21.69</v>
      </c>
      <c r="AP372" s="197">
        <f t="shared" si="235"/>
        <v>7.4093290390420161E-2</v>
      </c>
      <c r="AQ372" s="197">
        <f t="shared" si="236"/>
        <v>0.42250439890466829</v>
      </c>
      <c r="AR372" s="197">
        <f t="shared" si="237"/>
        <v>0.30589509873355925</v>
      </c>
      <c r="AS372" s="258">
        <f t="shared" si="238"/>
        <v>0.15228632177729159</v>
      </c>
      <c r="AT372" s="197">
        <f t="shared" si="201"/>
        <v>2.5974058656511614E-4</v>
      </c>
      <c r="AU372" s="194">
        <f t="shared" si="202"/>
        <v>21.19</v>
      </c>
      <c r="AV372" s="197">
        <f t="shared" si="203"/>
        <v>2.7E-2</v>
      </c>
      <c r="AW372" s="197">
        <f t="shared" si="204"/>
        <v>3.4260000000000002E-3</v>
      </c>
      <c r="AX372" s="197">
        <f t="shared" si="239"/>
        <v>6.1668000000000001E-2</v>
      </c>
      <c r="AY372" s="197">
        <f t="shared" si="205"/>
        <v>2.8867476000000005E-3</v>
      </c>
      <c r="AZ372" s="197">
        <f t="shared" si="206"/>
        <v>0</v>
      </c>
      <c r="BA372" s="197">
        <f t="shared" si="240"/>
        <v>7.2596940000000013E-2</v>
      </c>
      <c r="BB372" s="258">
        <f t="shared" si="207"/>
        <v>0.36575210336206115</v>
      </c>
      <c r="BC372" s="197">
        <f t="shared" si="208"/>
        <v>2.2380490766334034E-2</v>
      </c>
      <c r="BD372" s="197">
        <f t="shared" si="241"/>
        <v>4.4760981532668068E-3</v>
      </c>
      <c r="BE372" s="197">
        <f t="shared" si="242"/>
        <v>2.6856588919600841E-2</v>
      </c>
      <c r="BF372" s="197">
        <f t="shared" si="209"/>
        <v>0.20773291256157633</v>
      </c>
      <c r="BG372" s="197">
        <f t="shared" si="210"/>
        <v>5.4608303342508187E-4</v>
      </c>
      <c r="BH372" s="197">
        <f t="shared" si="211"/>
        <v>3.5336687086656722E-2</v>
      </c>
      <c r="BI372" s="197">
        <f t="shared" si="243"/>
        <v>0.44730899017824427</v>
      </c>
      <c r="BJ372" s="197">
        <f t="shared" si="212"/>
        <v>6.769615024661003</v>
      </c>
      <c r="BK372" s="288">
        <f t="shared" si="213"/>
        <v>0.93392401361838984</v>
      </c>
      <c r="BL372" s="197">
        <f t="shared" si="214"/>
        <v>0.37608972359227794</v>
      </c>
      <c r="BM372" s="197">
        <f t="shared" si="215"/>
        <v>7.4353030976985271E-2</v>
      </c>
      <c r="BN372" s="197">
        <f t="shared" si="216"/>
        <v>54.461181858619113</v>
      </c>
      <c r="BO372" s="197">
        <f t="shared" si="244"/>
        <v>0.2082789955950014</v>
      </c>
      <c r="BP372" s="197">
        <f t="shared" si="217"/>
        <v>65.620924669625111</v>
      </c>
      <c r="BQ372" s="197">
        <f t="shared" si="218"/>
        <v>9.9596940000000009E-2</v>
      </c>
      <c r="BR372" s="288">
        <f t="shared" si="219"/>
        <v>0.16008975919012108</v>
      </c>
      <c r="BS372" s="197">
        <f t="shared" si="220"/>
        <v>0.11660930017110901</v>
      </c>
      <c r="BT372" s="197">
        <f t="shared" si="221"/>
        <v>0.36419974881911377</v>
      </c>
      <c r="BU372" s="197">
        <f t="shared" si="222"/>
        <v>0.1713930788771201</v>
      </c>
      <c r="BV372" s="197">
        <f t="shared" si="223"/>
        <v>0.53530306917875781</v>
      </c>
      <c r="BW372" s="194"/>
      <c r="BX372" s="194"/>
      <c r="BY372" s="194"/>
      <c r="BZ372" s="194"/>
      <c r="CA372" s="194"/>
      <c r="CB372" s="194"/>
      <c r="CC372" s="194"/>
      <c r="CD372" s="194"/>
      <c r="CE372" s="194"/>
      <c r="CF372" s="194"/>
      <c r="CG372" s="194"/>
      <c r="CH372" s="194"/>
      <c r="CI372" s="194"/>
      <c r="CJ372" s="194"/>
      <c r="CK372" s="194"/>
      <c r="CL372" s="194"/>
      <c r="CM372" s="194"/>
      <c r="CN372" s="194"/>
      <c r="CO372" s="194"/>
      <c r="CP372" s="194"/>
      <c r="CQ372" s="194"/>
      <c r="CR372" s="194"/>
      <c r="CS372" s="194"/>
      <c r="CT372" s="194"/>
      <c r="CU372" s="194"/>
      <c r="CV372" s="194"/>
      <c r="CW372" s="194"/>
      <c r="CX372" s="194"/>
      <c r="CY372" s="194"/>
      <c r="CZ372" s="194"/>
      <c r="DA372" s="194"/>
      <c r="DB372" s="194"/>
      <c r="DC372" s="194"/>
      <c r="DD372" s="194"/>
      <c r="DE372" s="194"/>
      <c r="DF372" s="194"/>
    </row>
    <row r="373" spans="2:110" s="192" customFormat="1" hidden="1" x14ac:dyDescent="0.35">
      <c r="B373" s="289"/>
      <c r="C373" s="289"/>
      <c r="Q373" s="193"/>
      <c r="R373" s="194">
        <f t="shared" si="224"/>
        <v>18</v>
      </c>
      <c r="S373" s="197">
        <f t="shared" si="190"/>
        <v>0.3888888888888889</v>
      </c>
      <c r="T373" s="194">
        <f t="shared" si="245"/>
        <v>0.69</v>
      </c>
      <c r="U373" s="194">
        <f t="shared" si="246"/>
        <v>1.4999999999999999E-4</v>
      </c>
      <c r="V373" s="197">
        <f t="shared" si="225"/>
        <v>0.3888888888888889</v>
      </c>
      <c r="W373" s="197">
        <f t="shared" si="191"/>
        <v>4.3555555555555561E-3</v>
      </c>
      <c r="X373" s="286">
        <f t="shared" si="192"/>
        <v>1</v>
      </c>
      <c r="Y373" s="286">
        <f t="shared" si="193"/>
        <v>0.17335969315081967</v>
      </c>
      <c r="Z373" s="286">
        <f t="shared" si="194"/>
        <v>0.54964853345132902</v>
      </c>
      <c r="AA373" s="286">
        <f t="shared" si="226"/>
        <v>0.17335969315081967</v>
      </c>
      <c r="AB373" s="197">
        <f t="shared" si="195"/>
        <v>0.36419974881911377</v>
      </c>
      <c r="AC373" s="287">
        <f t="shared" si="196"/>
        <v>4.4451203372005044E-7</v>
      </c>
      <c r="AD373" s="197">
        <f t="shared" si="227"/>
        <v>11.693936048110356</v>
      </c>
      <c r="AE373" s="197">
        <f t="shared" si="228"/>
        <v>35.08180814433107</v>
      </c>
      <c r="AF373" s="197">
        <f t="shared" si="229"/>
        <v>8.5178571428571423E-2</v>
      </c>
      <c r="AG373" s="197">
        <f t="shared" si="230"/>
        <v>0.25553571428571431</v>
      </c>
      <c r="AH373" s="197">
        <f t="shared" si="197"/>
        <v>0.11660930017110901</v>
      </c>
      <c r="AI373" s="197">
        <f t="shared" si="231"/>
        <v>0.11660930017110901</v>
      </c>
      <c r="AJ373" s="218">
        <f t="shared" si="198"/>
        <v>390.00000000000006</v>
      </c>
      <c r="AK373" s="197">
        <f t="shared" si="232"/>
        <v>6.0930617977437734E-2</v>
      </c>
      <c r="AL373" s="197">
        <f t="shared" si="233"/>
        <v>9.6203707235237593E-2</v>
      </c>
      <c r="AM373" s="197">
        <f t="shared" si="234"/>
        <v>4.0790371867740751E-3</v>
      </c>
      <c r="AN373" s="197">
        <f t="shared" si="199"/>
        <v>24.05</v>
      </c>
      <c r="AO373" s="197">
        <f t="shared" si="200"/>
        <v>21.69</v>
      </c>
      <c r="AP373" s="197">
        <f t="shared" si="235"/>
        <v>7.4093290390420161E-2</v>
      </c>
      <c r="AQ373" s="197">
        <f t="shared" si="236"/>
        <v>0.42250439890466829</v>
      </c>
      <c r="AR373" s="197">
        <f t="shared" si="237"/>
        <v>0.30589509873355925</v>
      </c>
      <c r="AS373" s="258">
        <f t="shared" si="238"/>
        <v>0.15228632177729159</v>
      </c>
      <c r="AT373" s="197">
        <f t="shared" si="201"/>
        <v>2.5974058656511614E-4</v>
      </c>
      <c r="AU373" s="194">
        <f t="shared" si="202"/>
        <v>21.19</v>
      </c>
      <c r="AV373" s="197">
        <f t="shared" si="203"/>
        <v>2.7E-2</v>
      </c>
      <c r="AW373" s="197">
        <f t="shared" si="204"/>
        <v>3.4260000000000002E-3</v>
      </c>
      <c r="AX373" s="197">
        <f t="shared" si="239"/>
        <v>6.1668000000000001E-2</v>
      </c>
      <c r="AY373" s="197">
        <f t="shared" si="205"/>
        <v>2.8867476000000005E-3</v>
      </c>
      <c r="AZ373" s="197">
        <f t="shared" si="206"/>
        <v>0</v>
      </c>
      <c r="BA373" s="197">
        <f t="shared" si="240"/>
        <v>7.2596940000000013E-2</v>
      </c>
      <c r="BB373" s="258">
        <f t="shared" si="207"/>
        <v>0.36575210336206115</v>
      </c>
      <c r="BC373" s="197">
        <f t="shared" si="208"/>
        <v>2.2380490766334034E-2</v>
      </c>
      <c r="BD373" s="197">
        <f t="shared" si="241"/>
        <v>4.4760981532668068E-3</v>
      </c>
      <c r="BE373" s="197">
        <f t="shared" si="242"/>
        <v>2.6856588919600841E-2</v>
      </c>
      <c r="BF373" s="197">
        <f t="shared" si="209"/>
        <v>0.20773291256157633</v>
      </c>
      <c r="BG373" s="197">
        <f t="shared" si="210"/>
        <v>5.4608303342508187E-4</v>
      </c>
      <c r="BH373" s="197">
        <f t="shared" si="211"/>
        <v>3.5336687086656722E-2</v>
      </c>
      <c r="BI373" s="197">
        <f t="shared" si="243"/>
        <v>0.44730899017824427</v>
      </c>
      <c r="BJ373" s="197">
        <f t="shared" si="212"/>
        <v>6.769615024661003</v>
      </c>
      <c r="BK373" s="288">
        <f t="shared" si="213"/>
        <v>0.93392401361838984</v>
      </c>
      <c r="BL373" s="197">
        <f t="shared" si="214"/>
        <v>0.37608972359227794</v>
      </c>
      <c r="BM373" s="197">
        <f t="shared" si="215"/>
        <v>7.4353030976985271E-2</v>
      </c>
      <c r="BN373" s="197">
        <f t="shared" si="216"/>
        <v>54.461181858619113</v>
      </c>
      <c r="BO373" s="197">
        <f t="shared" si="244"/>
        <v>0.2082789955950014</v>
      </c>
      <c r="BP373" s="197">
        <f t="shared" si="217"/>
        <v>65.620924669625111</v>
      </c>
      <c r="BQ373" s="197">
        <f t="shared" si="218"/>
        <v>9.9596940000000009E-2</v>
      </c>
      <c r="BR373" s="288">
        <f t="shared" si="219"/>
        <v>0.16008975919012108</v>
      </c>
      <c r="BS373" s="197">
        <f t="shared" si="220"/>
        <v>0.11660930017110901</v>
      </c>
      <c r="BT373" s="197">
        <f t="shared" si="221"/>
        <v>0.36419974881911377</v>
      </c>
      <c r="BU373" s="197">
        <f t="shared" si="222"/>
        <v>0.1713930788771201</v>
      </c>
      <c r="BV373" s="197">
        <f t="shared" si="223"/>
        <v>0.53530306917875781</v>
      </c>
      <c r="BW373" s="194"/>
      <c r="BX373" s="194"/>
      <c r="BY373" s="194"/>
      <c r="BZ373" s="194"/>
      <c r="CA373" s="194"/>
      <c r="CB373" s="194"/>
      <c r="CC373" s="194"/>
      <c r="CD373" s="194"/>
      <c r="CE373" s="194"/>
      <c r="CF373" s="194"/>
      <c r="CG373" s="194"/>
      <c r="CH373" s="194"/>
      <c r="CI373" s="194"/>
      <c r="CJ373" s="194"/>
      <c r="CK373" s="194"/>
      <c r="CL373" s="194"/>
      <c r="CM373" s="194"/>
      <c r="CN373" s="194"/>
      <c r="CO373" s="194"/>
      <c r="CP373" s="194"/>
      <c r="CQ373" s="194"/>
      <c r="CR373" s="194"/>
      <c r="CS373" s="194"/>
      <c r="CT373" s="194"/>
      <c r="CU373" s="194"/>
      <c r="CV373" s="194"/>
      <c r="CW373" s="194"/>
      <c r="CX373" s="194"/>
      <c r="CY373" s="194"/>
      <c r="CZ373" s="194"/>
      <c r="DA373" s="194"/>
      <c r="DB373" s="194"/>
      <c r="DC373" s="194"/>
      <c r="DD373" s="194"/>
      <c r="DE373" s="194"/>
      <c r="DF373" s="194"/>
    </row>
    <row r="374" spans="2:110" s="192" customFormat="1" hidden="1" x14ac:dyDescent="0.35">
      <c r="B374" s="289"/>
      <c r="C374" s="289"/>
      <c r="Q374" s="193"/>
      <c r="R374" s="194">
        <f t="shared" si="224"/>
        <v>18</v>
      </c>
      <c r="S374" s="197">
        <f t="shared" si="190"/>
        <v>0.3888888888888889</v>
      </c>
      <c r="T374" s="194">
        <f t="shared" si="245"/>
        <v>0.69</v>
      </c>
      <c r="U374" s="194">
        <f t="shared" si="246"/>
        <v>1.4999999999999999E-4</v>
      </c>
      <c r="V374" s="197">
        <f t="shared" si="225"/>
        <v>0.3888888888888889</v>
      </c>
      <c r="W374" s="197">
        <f t="shared" si="191"/>
        <v>4.3555555555555561E-3</v>
      </c>
      <c r="X374" s="286">
        <f t="shared" si="192"/>
        <v>1</v>
      </c>
      <c r="Y374" s="286">
        <f t="shared" si="193"/>
        <v>0.17335969315081967</v>
      </c>
      <c r="Z374" s="286">
        <f t="shared" si="194"/>
        <v>0.54964853345132902</v>
      </c>
      <c r="AA374" s="286">
        <f t="shared" si="226"/>
        <v>0.17335969315081967</v>
      </c>
      <c r="AB374" s="197">
        <f t="shared" si="195"/>
        <v>0.36419974881911377</v>
      </c>
      <c r="AC374" s="287">
        <f t="shared" si="196"/>
        <v>4.4451203372005044E-7</v>
      </c>
      <c r="AD374" s="197">
        <f t="shared" si="227"/>
        <v>11.693936048110356</v>
      </c>
      <c r="AE374" s="197">
        <f t="shared" si="228"/>
        <v>35.08180814433107</v>
      </c>
      <c r="AF374" s="197">
        <f t="shared" si="229"/>
        <v>8.5178571428571423E-2</v>
      </c>
      <c r="AG374" s="197">
        <f t="shared" si="230"/>
        <v>0.25553571428571431</v>
      </c>
      <c r="AH374" s="197">
        <f t="shared" si="197"/>
        <v>0.11660930017110901</v>
      </c>
      <c r="AI374" s="197">
        <f t="shared" si="231"/>
        <v>0.11660930017110901</v>
      </c>
      <c r="AJ374" s="218">
        <f t="shared" si="198"/>
        <v>390.00000000000006</v>
      </c>
      <c r="AK374" s="197">
        <f t="shared" si="232"/>
        <v>6.0930617977437734E-2</v>
      </c>
      <c r="AL374" s="197">
        <f t="shared" si="233"/>
        <v>9.6203707235237593E-2</v>
      </c>
      <c r="AM374" s="197">
        <f t="shared" si="234"/>
        <v>4.0790371867740751E-3</v>
      </c>
      <c r="AN374" s="197">
        <f t="shared" si="199"/>
        <v>24.05</v>
      </c>
      <c r="AO374" s="197">
        <f t="shared" si="200"/>
        <v>21.69</v>
      </c>
      <c r="AP374" s="197">
        <f t="shared" si="235"/>
        <v>7.4093290390420161E-2</v>
      </c>
      <c r="AQ374" s="197">
        <f t="shared" si="236"/>
        <v>0.42250439890466829</v>
      </c>
      <c r="AR374" s="197">
        <f t="shared" si="237"/>
        <v>0.30589509873355925</v>
      </c>
      <c r="AS374" s="258">
        <f t="shared" si="238"/>
        <v>0.15228632177729159</v>
      </c>
      <c r="AT374" s="197">
        <f t="shared" si="201"/>
        <v>2.5974058656511614E-4</v>
      </c>
      <c r="AU374" s="194">
        <f t="shared" si="202"/>
        <v>21.19</v>
      </c>
      <c r="AV374" s="197">
        <f t="shared" si="203"/>
        <v>2.7E-2</v>
      </c>
      <c r="AW374" s="197">
        <f t="shared" si="204"/>
        <v>3.4260000000000002E-3</v>
      </c>
      <c r="AX374" s="197">
        <f t="shared" si="239"/>
        <v>6.1668000000000001E-2</v>
      </c>
      <c r="AY374" s="197">
        <f t="shared" si="205"/>
        <v>2.8867476000000005E-3</v>
      </c>
      <c r="AZ374" s="197">
        <f t="shared" si="206"/>
        <v>0</v>
      </c>
      <c r="BA374" s="197">
        <f t="shared" si="240"/>
        <v>7.2596940000000013E-2</v>
      </c>
      <c r="BB374" s="258">
        <f t="shared" si="207"/>
        <v>0.36575210336206115</v>
      </c>
      <c r="BC374" s="197">
        <f t="shared" si="208"/>
        <v>2.2380490766334034E-2</v>
      </c>
      <c r="BD374" s="197">
        <f t="shared" si="241"/>
        <v>4.4760981532668068E-3</v>
      </c>
      <c r="BE374" s="197">
        <f t="shared" si="242"/>
        <v>2.6856588919600841E-2</v>
      </c>
      <c r="BF374" s="197">
        <f t="shared" si="209"/>
        <v>0.20773291256157633</v>
      </c>
      <c r="BG374" s="197">
        <f t="shared" si="210"/>
        <v>5.4608303342508187E-4</v>
      </c>
      <c r="BH374" s="197">
        <f t="shared" si="211"/>
        <v>3.5336687086656722E-2</v>
      </c>
      <c r="BI374" s="197">
        <f t="shared" si="243"/>
        <v>0.44730899017824427</v>
      </c>
      <c r="BJ374" s="197">
        <f t="shared" si="212"/>
        <v>6.769615024661003</v>
      </c>
      <c r="BK374" s="288">
        <f t="shared" si="213"/>
        <v>0.93392401361838984</v>
      </c>
      <c r="BL374" s="197">
        <f t="shared" si="214"/>
        <v>0.37608972359227794</v>
      </c>
      <c r="BM374" s="197">
        <f t="shared" si="215"/>
        <v>7.4353030976985271E-2</v>
      </c>
      <c r="BN374" s="197">
        <f t="shared" si="216"/>
        <v>54.461181858619113</v>
      </c>
      <c r="BO374" s="197">
        <f t="shared" si="244"/>
        <v>0.2082789955950014</v>
      </c>
      <c r="BP374" s="197">
        <f t="shared" si="217"/>
        <v>65.620924669625111</v>
      </c>
      <c r="BQ374" s="197">
        <f t="shared" si="218"/>
        <v>9.9596940000000009E-2</v>
      </c>
      <c r="BR374" s="288">
        <f t="shared" si="219"/>
        <v>0.16008975919012108</v>
      </c>
      <c r="BS374" s="197">
        <f t="shared" si="220"/>
        <v>0.11660930017110901</v>
      </c>
      <c r="BT374" s="197">
        <f t="shared" si="221"/>
        <v>0.36419974881911377</v>
      </c>
      <c r="BU374" s="197">
        <f t="shared" si="222"/>
        <v>0.1713930788771201</v>
      </c>
      <c r="BV374" s="197">
        <f t="shared" si="223"/>
        <v>0.53530306917875781</v>
      </c>
      <c r="BW374" s="194"/>
      <c r="BX374" s="194"/>
      <c r="BY374" s="194"/>
      <c r="BZ374" s="194"/>
      <c r="CA374" s="194"/>
      <c r="CB374" s="194"/>
      <c r="CC374" s="194"/>
      <c r="CD374" s="194"/>
      <c r="CE374" s="194"/>
      <c r="CF374" s="194"/>
      <c r="CG374" s="194"/>
      <c r="CH374" s="194"/>
      <c r="CI374" s="194"/>
      <c r="CJ374" s="194"/>
      <c r="CK374" s="194"/>
      <c r="CL374" s="194"/>
      <c r="CM374" s="194"/>
      <c r="CN374" s="194"/>
      <c r="CO374" s="194"/>
      <c r="CP374" s="194"/>
      <c r="CQ374" s="194"/>
      <c r="CR374" s="194"/>
      <c r="CS374" s="194"/>
      <c r="CT374" s="194"/>
      <c r="CU374" s="194"/>
      <c r="CV374" s="194"/>
      <c r="CW374" s="194"/>
      <c r="CX374" s="194"/>
      <c r="CY374" s="194"/>
      <c r="CZ374" s="194"/>
      <c r="DA374" s="194"/>
      <c r="DB374" s="194"/>
      <c r="DC374" s="194"/>
      <c r="DD374" s="194"/>
      <c r="DE374" s="194"/>
      <c r="DF374" s="194"/>
    </row>
    <row r="375" spans="2:110" s="192" customFormat="1" hidden="1" x14ac:dyDescent="0.35">
      <c r="B375" s="289"/>
      <c r="C375" s="289"/>
      <c r="Q375" s="193"/>
      <c r="R375" s="194">
        <f t="shared" si="224"/>
        <v>18</v>
      </c>
      <c r="S375" s="197">
        <f t="shared" si="190"/>
        <v>0.3888888888888889</v>
      </c>
      <c r="T375" s="194">
        <f t="shared" si="245"/>
        <v>0.69</v>
      </c>
      <c r="U375" s="194">
        <f t="shared" si="246"/>
        <v>1.4999999999999999E-4</v>
      </c>
      <c r="V375" s="197">
        <f t="shared" si="225"/>
        <v>0.3888888888888889</v>
      </c>
      <c r="W375" s="197">
        <f t="shared" si="191"/>
        <v>4.3555555555555561E-3</v>
      </c>
      <c r="X375" s="286">
        <f t="shared" si="192"/>
        <v>1</v>
      </c>
      <c r="Y375" s="286">
        <f t="shared" si="193"/>
        <v>0.17335969315081967</v>
      </c>
      <c r="Z375" s="286">
        <f t="shared" si="194"/>
        <v>0.54964853345132902</v>
      </c>
      <c r="AA375" s="286">
        <f t="shared" si="226"/>
        <v>0.17335969315081967</v>
      </c>
      <c r="AB375" s="197">
        <f t="shared" si="195"/>
        <v>0.36419974881911377</v>
      </c>
      <c r="AC375" s="287">
        <f t="shared" si="196"/>
        <v>4.4451203372005044E-7</v>
      </c>
      <c r="AD375" s="197">
        <f t="shared" si="227"/>
        <v>11.693936048110356</v>
      </c>
      <c r="AE375" s="197">
        <f t="shared" si="228"/>
        <v>35.08180814433107</v>
      </c>
      <c r="AF375" s="197">
        <f t="shared" si="229"/>
        <v>8.5178571428571423E-2</v>
      </c>
      <c r="AG375" s="197">
        <f t="shared" si="230"/>
        <v>0.25553571428571431</v>
      </c>
      <c r="AH375" s="197">
        <f t="shared" si="197"/>
        <v>0.11660930017110901</v>
      </c>
      <c r="AI375" s="197">
        <f t="shared" si="231"/>
        <v>0.11660930017110901</v>
      </c>
      <c r="AJ375" s="218">
        <f t="shared" si="198"/>
        <v>390.00000000000006</v>
      </c>
      <c r="AK375" s="197">
        <f t="shared" si="232"/>
        <v>6.0930617977437734E-2</v>
      </c>
      <c r="AL375" s="197">
        <f t="shared" si="233"/>
        <v>9.6203707235237593E-2</v>
      </c>
      <c r="AM375" s="197">
        <f t="shared" si="234"/>
        <v>4.0790371867740751E-3</v>
      </c>
      <c r="AN375" s="197">
        <f t="shared" si="199"/>
        <v>24.05</v>
      </c>
      <c r="AO375" s="197">
        <f t="shared" si="200"/>
        <v>21.69</v>
      </c>
      <c r="AP375" s="197">
        <f t="shared" si="235"/>
        <v>7.4093290390420161E-2</v>
      </c>
      <c r="AQ375" s="197">
        <f t="shared" si="236"/>
        <v>0.42250439890466829</v>
      </c>
      <c r="AR375" s="197">
        <f t="shared" si="237"/>
        <v>0.30589509873355925</v>
      </c>
      <c r="AS375" s="258">
        <f t="shared" si="238"/>
        <v>0.15228632177729159</v>
      </c>
      <c r="AT375" s="197">
        <f t="shared" si="201"/>
        <v>2.5974058656511614E-4</v>
      </c>
      <c r="AU375" s="194">
        <f t="shared" si="202"/>
        <v>21.19</v>
      </c>
      <c r="AV375" s="197">
        <f t="shared" si="203"/>
        <v>2.7E-2</v>
      </c>
      <c r="AW375" s="197">
        <f t="shared" si="204"/>
        <v>3.4260000000000002E-3</v>
      </c>
      <c r="AX375" s="197">
        <f t="shared" si="239"/>
        <v>6.1668000000000001E-2</v>
      </c>
      <c r="AY375" s="197">
        <f t="shared" si="205"/>
        <v>2.8867476000000005E-3</v>
      </c>
      <c r="AZ375" s="197">
        <f t="shared" si="206"/>
        <v>0</v>
      </c>
      <c r="BA375" s="197">
        <f t="shared" si="240"/>
        <v>7.2596940000000013E-2</v>
      </c>
      <c r="BB375" s="258">
        <f t="shared" si="207"/>
        <v>0.36575210336206115</v>
      </c>
      <c r="BC375" s="197">
        <f t="shared" si="208"/>
        <v>2.2380490766334034E-2</v>
      </c>
      <c r="BD375" s="197">
        <f t="shared" si="241"/>
        <v>4.4760981532668068E-3</v>
      </c>
      <c r="BE375" s="197">
        <f t="shared" si="242"/>
        <v>2.6856588919600841E-2</v>
      </c>
      <c r="BF375" s="197">
        <f t="shared" si="209"/>
        <v>0.20773291256157633</v>
      </c>
      <c r="BG375" s="197">
        <f t="shared" si="210"/>
        <v>5.4608303342508187E-4</v>
      </c>
      <c r="BH375" s="197">
        <f t="shared" si="211"/>
        <v>3.5336687086656722E-2</v>
      </c>
      <c r="BI375" s="197">
        <f t="shared" si="243"/>
        <v>0.44730899017824427</v>
      </c>
      <c r="BJ375" s="197">
        <f t="shared" si="212"/>
        <v>6.769615024661003</v>
      </c>
      <c r="BK375" s="288">
        <f t="shared" si="213"/>
        <v>0.93392401361838984</v>
      </c>
      <c r="BL375" s="197">
        <f t="shared" si="214"/>
        <v>0.37608972359227794</v>
      </c>
      <c r="BM375" s="197">
        <f t="shared" si="215"/>
        <v>7.4353030976985271E-2</v>
      </c>
      <c r="BN375" s="197">
        <f t="shared" si="216"/>
        <v>54.461181858619113</v>
      </c>
      <c r="BO375" s="197">
        <f t="shared" si="244"/>
        <v>0.2082789955950014</v>
      </c>
      <c r="BP375" s="197">
        <f t="shared" si="217"/>
        <v>65.620924669625111</v>
      </c>
      <c r="BQ375" s="197">
        <f t="shared" si="218"/>
        <v>9.9596940000000009E-2</v>
      </c>
      <c r="BR375" s="288">
        <f t="shared" si="219"/>
        <v>0.16008975919012108</v>
      </c>
      <c r="BS375" s="197">
        <f t="shared" si="220"/>
        <v>0.11660930017110901</v>
      </c>
      <c r="BT375" s="197">
        <f t="shared" si="221"/>
        <v>0.36419974881911377</v>
      </c>
      <c r="BU375" s="197">
        <f t="shared" si="222"/>
        <v>0.1713930788771201</v>
      </c>
      <c r="BV375" s="197">
        <f t="shared" si="223"/>
        <v>0.53530306917875781</v>
      </c>
      <c r="BW375" s="194"/>
      <c r="BX375" s="194"/>
      <c r="BY375" s="194"/>
      <c r="BZ375" s="194"/>
      <c r="CA375" s="194"/>
      <c r="CB375" s="194"/>
      <c r="CC375" s="194"/>
      <c r="CD375" s="194"/>
      <c r="CE375" s="194"/>
      <c r="CF375" s="194"/>
      <c r="CG375" s="194"/>
      <c r="CH375" s="194"/>
      <c r="CI375" s="194"/>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row>
    <row r="376" spans="2:110" s="192" customFormat="1" hidden="1" x14ac:dyDescent="0.35">
      <c r="B376" s="289"/>
      <c r="C376" s="289"/>
      <c r="Q376" s="193"/>
      <c r="R376" s="194">
        <f t="shared" si="224"/>
        <v>18</v>
      </c>
      <c r="S376" s="197">
        <f t="shared" ref="S376:S439" si="247">(VLEDS/R376)*ILED/0.9</f>
        <v>0.3888888888888889</v>
      </c>
      <c r="T376" s="194">
        <f t="shared" si="245"/>
        <v>0.69</v>
      </c>
      <c r="U376" s="194">
        <f t="shared" si="246"/>
        <v>1.4999999999999999E-4</v>
      </c>
      <c r="V376" s="197">
        <f t="shared" si="225"/>
        <v>0.3888888888888889</v>
      </c>
      <c r="W376" s="197">
        <f t="shared" ref="W376:W439" si="248">V376*RON</f>
        <v>4.3555555555555561E-3</v>
      </c>
      <c r="X376" s="286">
        <f t="shared" ref="X376:X439" si="249">IF((VLEDS+T376+ILEDF*(RON+RCOIL))/(R376+T376-W376)&gt;1,1,(VLEDS+T376+ILEDF*(RON+RCOIL))/(R376+T376-W376))</f>
        <v>1</v>
      </c>
      <c r="Y376" s="286">
        <f t="shared" ref="Y376:Y439" si="250">IF((VLEDS-R376+T376+S376*(RON+RCOIL))/(VLEDS+T376-W376)&lt;0,0,(VLEDS-R376+T376+S376*(RON+RCOIL))/(VLEDS+T376-W376))</f>
        <v>0.17335969315081967</v>
      </c>
      <c r="Z376" s="286">
        <f t="shared" ref="Z376:Z439" si="251">(VLEDS+T376+(S376+ILEDF)*(RON+RCOIL))/(VLEDS+R376+T376-W376)</f>
        <v>0.54964853345132902</v>
      </c>
      <c r="AA376" s="286">
        <f t="shared" si="226"/>
        <v>0.17335969315081967</v>
      </c>
      <c r="AB376" s="197">
        <f t="shared" ref="AB376:AB439" si="252">IF(CONFIG="BUCK",ILEDF,ILEDF/(1-AA376))</f>
        <v>0.36419974881911377</v>
      </c>
      <c r="AC376" s="287">
        <f t="shared" ref="AC376:AC439" si="253">AA376/(FINIT*1000)</f>
        <v>4.4451203372005044E-7</v>
      </c>
      <c r="AD376" s="197">
        <f t="shared" si="227"/>
        <v>11.693936048110356</v>
      </c>
      <c r="AE376" s="197">
        <f t="shared" si="228"/>
        <v>35.08180814433107</v>
      </c>
      <c r="AF376" s="197">
        <f t="shared" si="229"/>
        <v>8.5178571428571423E-2</v>
      </c>
      <c r="AG376" s="197">
        <f t="shared" si="230"/>
        <v>0.25553571428571431</v>
      </c>
      <c r="AH376" s="197">
        <f t="shared" ref="AH376:AH439" si="254">IF(CONFIG="BUCK",R376-VLEDS-AB376*(RS+RCOIL)-W376,R376-AB376*(RS+RCOIL)-W376)*AC376/(L*0.000001)</f>
        <v>0.11660930017110901</v>
      </c>
      <c r="AI376" s="197">
        <f t="shared" si="231"/>
        <v>0.11660930017110901</v>
      </c>
      <c r="AJ376" s="218">
        <f t="shared" ref="AJ376:AJ439" si="255">0.001*AA376*AH376/(AI376*AC376)</f>
        <v>390.00000000000006</v>
      </c>
      <c r="AK376" s="197">
        <f t="shared" si="232"/>
        <v>6.0930617977437734E-2</v>
      </c>
      <c r="AL376" s="197">
        <f t="shared" si="233"/>
        <v>9.6203707235237593E-2</v>
      </c>
      <c r="AM376" s="197">
        <f t="shared" si="234"/>
        <v>4.0790371867740751E-3</v>
      </c>
      <c r="AN376" s="197">
        <f t="shared" ref="AN376:AN439" si="256">(QGSW/IGATE)+($D$37+$D$38)/2</f>
        <v>24.05</v>
      </c>
      <c r="AO376" s="197">
        <f t="shared" ref="AO376:AO439" si="257">IF(CONFIG="BUCK",R376+T376,IF(CONFIG="BOOST",VLEDS+T376,R376+VLEDS+T376))</f>
        <v>21.69</v>
      </c>
      <c r="AP376" s="197">
        <f t="shared" si="235"/>
        <v>7.4093290390420161E-2</v>
      </c>
      <c r="AQ376" s="197">
        <f t="shared" si="236"/>
        <v>0.42250439890466829</v>
      </c>
      <c r="AR376" s="197">
        <f t="shared" si="237"/>
        <v>0.30589509873355925</v>
      </c>
      <c r="AS376" s="258">
        <f t="shared" si="238"/>
        <v>0.15228632177729159</v>
      </c>
      <c r="AT376" s="197">
        <f t="shared" ref="AT376:AT439" si="258">(AS376^2)*RON</f>
        <v>2.5974058656511614E-4</v>
      </c>
      <c r="AU376" s="194">
        <f t="shared" ref="AU376:AU439" si="259">IF(LOWV,AO376-0.5,IF(DISSLIM,IF(R376&lt;_VZD3,R376,_VZD3),R376))</f>
        <v>21.19</v>
      </c>
      <c r="AV376" s="197">
        <f t="shared" ref="AV376:AV439" si="260">R376*IQ</f>
        <v>2.7E-2</v>
      </c>
      <c r="AW376" s="197">
        <f t="shared" ref="AW376:AW439" si="261">IQAUX+QGTOT*AJ376*0.000001</f>
        <v>3.4260000000000002E-3</v>
      </c>
      <c r="AX376" s="197">
        <f t="shared" si="239"/>
        <v>6.1668000000000001E-2</v>
      </c>
      <c r="AY376" s="197">
        <f t="shared" ref="AY376:AY439" si="262">IF(LOWV,((AW376^2)*100)+0.5*AW376,0)</f>
        <v>2.8867476000000005E-3</v>
      </c>
      <c r="AZ376" s="197">
        <f t="shared" ref="AZ376:AZ439" si="263">IF(DISSLIM,((R376-AU376)^2/5000)+AU376*(((R376-AU376)/5000)-AW376),0)</f>
        <v>0</v>
      </c>
      <c r="BA376" s="197">
        <f t="shared" si="240"/>
        <v>7.2596940000000013E-2</v>
      </c>
      <c r="BB376" s="258">
        <f t="shared" ref="BB376:BB439" si="264">SQRT((1/3)*(AQ376^2+AQ376*AR376+AR376^2))</f>
        <v>0.36575210336206115</v>
      </c>
      <c r="BC376" s="197">
        <f t="shared" ref="BC376:BC439" si="265">BB376^2*RCOIL</f>
        <v>2.2380490766334034E-2</v>
      </c>
      <c r="BD376" s="197">
        <f t="shared" si="241"/>
        <v>4.4760981532668068E-3</v>
      </c>
      <c r="BE376" s="197">
        <f t="shared" si="242"/>
        <v>2.6856588919600841E-2</v>
      </c>
      <c r="BF376" s="197">
        <f t="shared" ref="BF376:BF439" si="266">T376*AB376*(1-AA376)</f>
        <v>0.20773291256157633</v>
      </c>
      <c r="BG376" s="197">
        <f t="shared" ref="BG376:BG439" si="267">U376*AA376*IF(CONFIG="BUCK",R376,IF(CONFIG="BOOST",VLEDS,R376+VLEDS))</f>
        <v>5.4608303342508187E-4</v>
      </c>
      <c r="BH376" s="197">
        <f t="shared" ref="BH376:BH439" si="268">BB376^2*RS</f>
        <v>3.5336687086656722E-2</v>
      </c>
      <c r="BI376" s="197">
        <f t="shared" si="243"/>
        <v>0.44730899017824427</v>
      </c>
      <c r="BJ376" s="197">
        <f t="shared" ref="BJ376:BJ439" si="269">PLEDS+BI376</f>
        <v>6.769615024661003</v>
      </c>
      <c r="BK376" s="288">
        <f t="shared" ref="BK376:BK439" si="270">PLEDS/BJ376</f>
        <v>0.93392401361838984</v>
      </c>
      <c r="BL376" s="197">
        <f t="shared" ref="BL376:BL439" si="271">BJ376/R376</f>
        <v>0.37608972359227794</v>
      </c>
      <c r="BM376" s="197">
        <f t="shared" ref="BM376:BM439" si="272">AP376+AT376</f>
        <v>7.4353030976985271E-2</v>
      </c>
      <c r="BN376" s="197">
        <f t="shared" ref="BN376:BN439" si="273">TAMB+BM376*RTHMOS</f>
        <v>54.461181858619113</v>
      </c>
      <c r="BO376" s="197">
        <f t="shared" si="244"/>
        <v>0.2082789955950014</v>
      </c>
      <c r="BP376" s="197">
        <f t="shared" ref="BP376:BP439" si="274">TAMB+BO376*RTHFW</f>
        <v>65.620924669625111</v>
      </c>
      <c r="BQ376" s="197">
        <f t="shared" ref="BQ376:BQ439" si="275">AV376+BA376</f>
        <v>9.9596940000000009E-2</v>
      </c>
      <c r="BR376" s="288">
        <f t="shared" ref="BR376:BR439" si="276">0.5*AI376/AB376</f>
        <v>0.16008975919012108</v>
      </c>
      <c r="BS376" s="197">
        <f t="shared" ref="BS376:BS439" si="277">IF(CONFIG="BOOST",AI376,AB376)</f>
        <v>0.11660930017110901</v>
      </c>
      <c r="BT376" s="197">
        <f t="shared" ref="BT376:BT439" si="278">IF(CONFIG="BUCK",AI376,AB376)</f>
        <v>0.36419974881911377</v>
      </c>
      <c r="BU376" s="197">
        <f t="shared" ref="BU376:BU439" si="279">1000*BS376*(1-AA376)*AA376/(AJ376*VRIPIN)</f>
        <v>0.1713930788771201</v>
      </c>
      <c r="BV376" s="197">
        <f t="shared" ref="BV376:BV439" si="280">1000*BT376*(1-AA376)*AA376/(AJ376*VRIPOUT)</f>
        <v>0.53530306917875781</v>
      </c>
      <c r="BW376" s="194"/>
      <c r="BX376" s="194"/>
      <c r="BY376" s="194"/>
      <c r="BZ376" s="194"/>
      <c r="CA376" s="194"/>
      <c r="CB376" s="194"/>
      <c r="CC376" s="194"/>
      <c r="CD376" s="194"/>
      <c r="CE376" s="194"/>
      <c r="CF376" s="194"/>
      <c r="CG376" s="194"/>
      <c r="CH376" s="194"/>
      <c r="CI376" s="194"/>
      <c r="CJ376" s="194"/>
      <c r="CK376" s="194"/>
      <c r="CL376" s="194"/>
      <c r="CM376" s="194"/>
      <c r="CN376" s="194"/>
      <c r="CO376" s="194"/>
      <c r="CP376" s="194"/>
      <c r="CQ376" s="194"/>
      <c r="CR376" s="194"/>
      <c r="CS376" s="194"/>
      <c r="CT376" s="194"/>
      <c r="CU376" s="194"/>
      <c r="CV376" s="194"/>
      <c r="CW376" s="194"/>
      <c r="CX376" s="194"/>
      <c r="CY376" s="194"/>
      <c r="CZ376" s="194"/>
      <c r="DA376" s="194"/>
      <c r="DB376" s="194"/>
      <c r="DC376" s="194"/>
      <c r="DD376" s="194"/>
      <c r="DE376" s="194"/>
      <c r="DF376" s="194"/>
    </row>
    <row r="377" spans="2:110" s="192" customFormat="1" hidden="1" x14ac:dyDescent="0.35">
      <c r="B377" s="289"/>
      <c r="C377" s="289"/>
      <c r="Q377" s="193"/>
      <c r="R377" s="194">
        <f t="shared" ref="R377:R440" si="281">MIN(R376+0.1,VINMAX)</f>
        <v>18</v>
      </c>
      <c r="S377" s="197">
        <f t="shared" si="247"/>
        <v>0.3888888888888889</v>
      </c>
      <c r="T377" s="194">
        <f t="shared" si="245"/>
        <v>0.69</v>
      </c>
      <c r="U377" s="194">
        <f t="shared" si="246"/>
        <v>1.4999999999999999E-4</v>
      </c>
      <c r="V377" s="197">
        <f t="shared" ref="V377:V440" si="282">IF(CONFIG="BUCK",ILED,IF(CONFIG="BOOST",S377,ILED+S377))</f>
        <v>0.3888888888888889</v>
      </c>
      <c r="W377" s="197">
        <f t="shared" si="248"/>
        <v>4.3555555555555561E-3</v>
      </c>
      <c r="X377" s="286">
        <f t="shared" si="249"/>
        <v>1</v>
      </c>
      <c r="Y377" s="286">
        <f t="shared" si="250"/>
        <v>0.17335969315081967</v>
      </c>
      <c r="Z377" s="286">
        <f t="shared" si="251"/>
        <v>0.54964853345132902</v>
      </c>
      <c r="AA377" s="286">
        <f t="shared" ref="AA377:AA440" si="283">IF(CONFIG="BUCK",X377,IF(CONFIG="BOOST",Y377,Z377))</f>
        <v>0.17335969315081967</v>
      </c>
      <c r="AB377" s="197">
        <f t="shared" si="252"/>
        <v>0.36419974881911377</v>
      </c>
      <c r="AC377" s="287">
        <f t="shared" si="253"/>
        <v>4.4451203372005044E-7</v>
      </c>
      <c r="AD377" s="197">
        <f t="shared" ref="AD377:AD440" si="284">IF(CONFIG="BUCK",RIPLOW,RIPLOW*(1-AA377)/GI_ADJ)</f>
        <v>11.693936048110356</v>
      </c>
      <c r="AE377" s="197">
        <f t="shared" ref="AE377:AE440" si="285">IF(CONFIG="BUCK",RIPHIGH,RIPHIGH*(1-AA377)/GI_ADJ)</f>
        <v>35.08180814433107</v>
      </c>
      <c r="AF377" s="197">
        <f t="shared" ref="AF377:AF440" si="286">(AD377*2/100)*AB377</f>
        <v>8.5178571428571423E-2</v>
      </c>
      <c r="AG377" s="197">
        <f t="shared" ref="AG377:AG440" si="287">(AE377*2/100)*AB377</f>
        <v>0.25553571428571431</v>
      </c>
      <c r="AH377" s="197">
        <f t="shared" si="254"/>
        <v>0.11660930017110901</v>
      </c>
      <c r="AI377" s="197">
        <f t="shared" ref="AI377:AI440" si="288">IF(AH377&lt;AF377,AF377,IF(AH377&gt;AG377,AG377,AH377))</f>
        <v>0.11660930017110901</v>
      </c>
      <c r="AJ377" s="218">
        <f t="shared" si="255"/>
        <v>390.00000000000006</v>
      </c>
      <c r="AK377" s="197">
        <f t="shared" ref="AK377:AK440" si="289">AB377*RCOIL</f>
        <v>6.0930617977437734E-2</v>
      </c>
      <c r="AL377" s="197">
        <f t="shared" ref="AL377:AL440" si="290">AB377*RS</f>
        <v>9.6203707235237593E-2</v>
      </c>
      <c r="AM377" s="197">
        <f t="shared" ref="AM377:AM440" si="291">AB377*RON</f>
        <v>4.0790371867740751E-3</v>
      </c>
      <c r="AN377" s="197">
        <f t="shared" si="256"/>
        <v>24.05</v>
      </c>
      <c r="AO377" s="197">
        <f t="shared" si="257"/>
        <v>21.69</v>
      </c>
      <c r="AP377" s="197">
        <f t="shared" ref="AP377:AP440" si="292">AB377*AO377*AN377*AJ377*0.000001</f>
        <v>7.4093290390420161E-2</v>
      </c>
      <c r="AQ377" s="197">
        <f t="shared" ref="AQ377:AQ440" si="293">AB377+AI377/2</f>
        <v>0.42250439890466829</v>
      </c>
      <c r="AR377" s="197">
        <f t="shared" ref="AR377:AR440" si="294">AB377-AI377/2</f>
        <v>0.30589509873355925</v>
      </c>
      <c r="AS377" s="258">
        <f t="shared" ref="AS377:AS440" si="295">SQRT((AA377/3)*(AQ377^2+AQ377*AR377+AR377^2))</f>
        <v>0.15228632177729159</v>
      </c>
      <c r="AT377" s="197">
        <f t="shared" si="258"/>
        <v>2.5974058656511614E-4</v>
      </c>
      <c r="AU377" s="194">
        <f t="shared" si="259"/>
        <v>21.19</v>
      </c>
      <c r="AV377" s="197">
        <f t="shared" si="260"/>
        <v>2.7E-2</v>
      </c>
      <c r="AW377" s="197">
        <f t="shared" si="261"/>
        <v>3.4260000000000002E-3</v>
      </c>
      <c r="AX377" s="197">
        <f t="shared" ref="AX377:AX440" si="296">R377*(IQAUX+QGTOT*AJ377*0.000001)</f>
        <v>6.1668000000000001E-2</v>
      </c>
      <c r="AY377" s="197">
        <f t="shared" si="262"/>
        <v>2.8867476000000005E-3</v>
      </c>
      <c r="AZ377" s="197">
        <f t="shared" si="263"/>
        <v>0</v>
      </c>
      <c r="BA377" s="197">
        <f t="shared" ref="BA377:BA440" si="297">AU377*AW377</f>
        <v>7.2596940000000013E-2</v>
      </c>
      <c r="BB377" s="258">
        <f t="shared" si="264"/>
        <v>0.36575210336206115</v>
      </c>
      <c r="BC377" s="197">
        <f t="shared" si="265"/>
        <v>2.2380490766334034E-2</v>
      </c>
      <c r="BD377" s="197">
        <f t="shared" ref="BD377:BD440" si="298">BC377*0.2</f>
        <v>4.4760981532668068E-3</v>
      </c>
      <c r="BE377" s="197">
        <f t="shared" ref="BE377:BE440" si="299">BC377+BD377</f>
        <v>2.6856588919600841E-2</v>
      </c>
      <c r="BF377" s="197">
        <f t="shared" si="266"/>
        <v>0.20773291256157633</v>
      </c>
      <c r="BG377" s="197">
        <f t="shared" si="267"/>
        <v>5.4608303342508187E-4</v>
      </c>
      <c r="BH377" s="197">
        <f t="shared" si="268"/>
        <v>3.5336687086656722E-2</v>
      </c>
      <c r="BI377" s="197">
        <f t="shared" ref="BI377:BI440" si="300">AP377+AT377+AV377+AY377+BA377+BE377+BF377+BG377+BH377</f>
        <v>0.44730899017824427</v>
      </c>
      <c r="BJ377" s="197">
        <f t="shared" si="269"/>
        <v>6.769615024661003</v>
      </c>
      <c r="BK377" s="288">
        <f t="shared" si="270"/>
        <v>0.93392401361838984</v>
      </c>
      <c r="BL377" s="197">
        <f t="shared" si="271"/>
        <v>0.37608972359227794</v>
      </c>
      <c r="BM377" s="197">
        <f t="shared" si="272"/>
        <v>7.4353030976985271E-2</v>
      </c>
      <c r="BN377" s="197">
        <f t="shared" si="273"/>
        <v>54.461181858619113</v>
      </c>
      <c r="BO377" s="197">
        <f t="shared" ref="BO377:BO440" si="301">BF377+BG377</f>
        <v>0.2082789955950014</v>
      </c>
      <c r="BP377" s="197">
        <f t="shared" si="274"/>
        <v>65.620924669625111</v>
      </c>
      <c r="BQ377" s="197">
        <f t="shared" si="275"/>
        <v>9.9596940000000009E-2</v>
      </c>
      <c r="BR377" s="288">
        <f t="shared" si="276"/>
        <v>0.16008975919012108</v>
      </c>
      <c r="BS377" s="197">
        <f t="shared" si="277"/>
        <v>0.11660930017110901</v>
      </c>
      <c r="BT377" s="197">
        <f t="shared" si="278"/>
        <v>0.36419974881911377</v>
      </c>
      <c r="BU377" s="197">
        <f t="shared" si="279"/>
        <v>0.1713930788771201</v>
      </c>
      <c r="BV377" s="197">
        <f t="shared" si="280"/>
        <v>0.53530306917875781</v>
      </c>
      <c r="BW377" s="194"/>
      <c r="BX377" s="194"/>
      <c r="BY377" s="194"/>
      <c r="BZ377" s="194"/>
      <c r="CA377" s="194"/>
      <c r="CB377" s="194"/>
      <c r="CC377" s="194"/>
      <c r="CD377" s="194"/>
      <c r="CE377" s="194"/>
      <c r="CF377" s="194"/>
      <c r="CG377" s="194"/>
      <c r="CH377" s="194"/>
      <c r="CI377" s="194"/>
      <c r="CJ377" s="194"/>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row>
    <row r="378" spans="2:110" s="192" customFormat="1" hidden="1" x14ac:dyDescent="0.35">
      <c r="B378" s="289"/>
      <c r="C378" s="289"/>
      <c r="Q378" s="193"/>
      <c r="R378" s="194">
        <f t="shared" si="281"/>
        <v>18</v>
      </c>
      <c r="S378" s="197">
        <f t="shared" si="247"/>
        <v>0.3888888888888889</v>
      </c>
      <c r="T378" s="194">
        <f t="shared" ref="T378:T441" si="302">$D$45</f>
        <v>0.69</v>
      </c>
      <c r="U378" s="194">
        <f t="shared" ref="U378:U441" si="303">$D$48*0.001</f>
        <v>1.4999999999999999E-4</v>
      </c>
      <c r="V378" s="197">
        <f t="shared" si="282"/>
        <v>0.3888888888888889</v>
      </c>
      <c r="W378" s="197">
        <f t="shared" si="248"/>
        <v>4.3555555555555561E-3</v>
      </c>
      <c r="X378" s="286">
        <f t="shared" si="249"/>
        <v>1</v>
      </c>
      <c r="Y378" s="286">
        <f t="shared" si="250"/>
        <v>0.17335969315081967</v>
      </c>
      <c r="Z378" s="286">
        <f t="shared" si="251"/>
        <v>0.54964853345132902</v>
      </c>
      <c r="AA378" s="286">
        <f t="shared" si="283"/>
        <v>0.17335969315081967</v>
      </c>
      <c r="AB378" s="197">
        <f t="shared" si="252"/>
        <v>0.36419974881911377</v>
      </c>
      <c r="AC378" s="287">
        <f t="shared" si="253"/>
        <v>4.4451203372005044E-7</v>
      </c>
      <c r="AD378" s="197">
        <f t="shared" si="284"/>
        <v>11.693936048110356</v>
      </c>
      <c r="AE378" s="197">
        <f t="shared" si="285"/>
        <v>35.08180814433107</v>
      </c>
      <c r="AF378" s="197">
        <f t="shared" si="286"/>
        <v>8.5178571428571423E-2</v>
      </c>
      <c r="AG378" s="197">
        <f t="shared" si="287"/>
        <v>0.25553571428571431</v>
      </c>
      <c r="AH378" s="197">
        <f t="shared" si="254"/>
        <v>0.11660930017110901</v>
      </c>
      <c r="AI378" s="197">
        <f t="shared" si="288"/>
        <v>0.11660930017110901</v>
      </c>
      <c r="AJ378" s="218">
        <f t="shared" si="255"/>
        <v>390.00000000000006</v>
      </c>
      <c r="AK378" s="197">
        <f t="shared" si="289"/>
        <v>6.0930617977437734E-2</v>
      </c>
      <c r="AL378" s="197">
        <f t="shared" si="290"/>
        <v>9.6203707235237593E-2</v>
      </c>
      <c r="AM378" s="197">
        <f t="shared" si="291"/>
        <v>4.0790371867740751E-3</v>
      </c>
      <c r="AN378" s="197">
        <f t="shared" si="256"/>
        <v>24.05</v>
      </c>
      <c r="AO378" s="197">
        <f t="shared" si="257"/>
        <v>21.69</v>
      </c>
      <c r="AP378" s="197">
        <f t="shared" si="292"/>
        <v>7.4093290390420161E-2</v>
      </c>
      <c r="AQ378" s="197">
        <f t="shared" si="293"/>
        <v>0.42250439890466829</v>
      </c>
      <c r="AR378" s="197">
        <f t="shared" si="294"/>
        <v>0.30589509873355925</v>
      </c>
      <c r="AS378" s="258">
        <f t="shared" si="295"/>
        <v>0.15228632177729159</v>
      </c>
      <c r="AT378" s="197">
        <f t="shared" si="258"/>
        <v>2.5974058656511614E-4</v>
      </c>
      <c r="AU378" s="194">
        <f t="shared" si="259"/>
        <v>21.19</v>
      </c>
      <c r="AV378" s="197">
        <f t="shared" si="260"/>
        <v>2.7E-2</v>
      </c>
      <c r="AW378" s="197">
        <f t="shared" si="261"/>
        <v>3.4260000000000002E-3</v>
      </c>
      <c r="AX378" s="197">
        <f t="shared" si="296"/>
        <v>6.1668000000000001E-2</v>
      </c>
      <c r="AY378" s="197">
        <f t="shared" si="262"/>
        <v>2.8867476000000005E-3</v>
      </c>
      <c r="AZ378" s="197">
        <f t="shared" si="263"/>
        <v>0</v>
      </c>
      <c r="BA378" s="197">
        <f t="shared" si="297"/>
        <v>7.2596940000000013E-2</v>
      </c>
      <c r="BB378" s="258">
        <f t="shared" si="264"/>
        <v>0.36575210336206115</v>
      </c>
      <c r="BC378" s="197">
        <f t="shared" si="265"/>
        <v>2.2380490766334034E-2</v>
      </c>
      <c r="BD378" s="197">
        <f t="shared" si="298"/>
        <v>4.4760981532668068E-3</v>
      </c>
      <c r="BE378" s="197">
        <f t="shared" si="299"/>
        <v>2.6856588919600841E-2</v>
      </c>
      <c r="BF378" s="197">
        <f t="shared" si="266"/>
        <v>0.20773291256157633</v>
      </c>
      <c r="BG378" s="197">
        <f t="shared" si="267"/>
        <v>5.4608303342508187E-4</v>
      </c>
      <c r="BH378" s="197">
        <f t="shared" si="268"/>
        <v>3.5336687086656722E-2</v>
      </c>
      <c r="BI378" s="197">
        <f t="shared" si="300"/>
        <v>0.44730899017824427</v>
      </c>
      <c r="BJ378" s="197">
        <f t="shared" si="269"/>
        <v>6.769615024661003</v>
      </c>
      <c r="BK378" s="288">
        <f t="shared" si="270"/>
        <v>0.93392401361838984</v>
      </c>
      <c r="BL378" s="197">
        <f t="shared" si="271"/>
        <v>0.37608972359227794</v>
      </c>
      <c r="BM378" s="197">
        <f t="shared" si="272"/>
        <v>7.4353030976985271E-2</v>
      </c>
      <c r="BN378" s="197">
        <f t="shared" si="273"/>
        <v>54.461181858619113</v>
      </c>
      <c r="BO378" s="197">
        <f t="shared" si="301"/>
        <v>0.2082789955950014</v>
      </c>
      <c r="BP378" s="197">
        <f t="shared" si="274"/>
        <v>65.620924669625111</v>
      </c>
      <c r="BQ378" s="197">
        <f t="shared" si="275"/>
        <v>9.9596940000000009E-2</v>
      </c>
      <c r="BR378" s="288">
        <f t="shared" si="276"/>
        <v>0.16008975919012108</v>
      </c>
      <c r="BS378" s="197">
        <f t="shared" si="277"/>
        <v>0.11660930017110901</v>
      </c>
      <c r="BT378" s="197">
        <f t="shared" si="278"/>
        <v>0.36419974881911377</v>
      </c>
      <c r="BU378" s="197">
        <f t="shared" si="279"/>
        <v>0.1713930788771201</v>
      </c>
      <c r="BV378" s="197">
        <f t="shared" si="280"/>
        <v>0.53530306917875781</v>
      </c>
      <c r="BW378" s="194"/>
      <c r="BX378" s="194"/>
      <c r="BY378" s="194"/>
      <c r="BZ378" s="194"/>
      <c r="CA378" s="194"/>
      <c r="CB378" s="194"/>
      <c r="CC378" s="194"/>
      <c r="CD378" s="194"/>
      <c r="CE378" s="194"/>
      <c r="CF378" s="194"/>
      <c r="CG378" s="194"/>
      <c r="CH378" s="194"/>
      <c r="CI378" s="194"/>
      <c r="CJ378" s="194"/>
      <c r="CK378" s="194"/>
      <c r="CL378" s="194"/>
      <c r="CM378" s="194"/>
      <c r="CN378" s="194"/>
      <c r="CO378" s="194"/>
      <c r="CP378" s="194"/>
      <c r="CQ378" s="194"/>
      <c r="CR378" s="194"/>
      <c r="CS378" s="194"/>
      <c r="CT378" s="194"/>
      <c r="CU378" s="194"/>
      <c r="CV378" s="194"/>
      <c r="CW378" s="194"/>
      <c r="CX378" s="194"/>
      <c r="CY378" s="194"/>
      <c r="CZ378" s="194"/>
      <c r="DA378" s="194"/>
      <c r="DB378" s="194"/>
      <c r="DC378" s="194"/>
      <c r="DD378" s="194"/>
      <c r="DE378" s="194"/>
      <c r="DF378" s="194"/>
    </row>
    <row r="379" spans="2:110" s="192" customFormat="1" hidden="1" x14ac:dyDescent="0.35">
      <c r="B379" s="289"/>
      <c r="C379" s="289"/>
      <c r="Q379" s="193"/>
      <c r="R379" s="194">
        <f t="shared" si="281"/>
        <v>18</v>
      </c>
      <c r="S379" s="197">
        <f t="shared" si="247"/>
        <v>0.3888888888888889</v>
      </c>
      <c r="T379" s="194">
        <f t="shared" si="302"/>
        <v>0.69</v>
      </c>
      <c r="U379" s="194">
        <f t="shared" si="303"/>
        <v>1.4999999999999999E-4</v>
      </c>
      <c r="V379" s="197">
        <f t="shared" si="282"/>
        <v>0.3888888888888889</v>
      </c>
      <c r="W379" s="197">
        <f t="shared" si="248"/>
        <v>4.3555555555555561E-3</v>
      </c>
      <c r="X379" s="286">
        <f t="shared" si="249"/>
        <v>1</v>
      </c>
      <c r="Y379" s="286">
        <f t="shared" si="250"/>
        <v>0.17335969315081967</v>
      </c>
      <c r="Z379" s="286">
        <f t="shared" si="251"/>
        <v>0.54964853345132902</v>
      </c>
      <c r="AA379" s="286">
        <f t="shared" si="283"/>
        <v>0.17335969315081967</v>
      </c>
      <c r="AB379" s="197">
        <f t="shared" si="252"/>
        <v>0.36419974881911377</v>
      </c>
      <c r="AC379" s="287">
        <f t="shared" si="253"/>
        <v>4.4451203372005044E-7</v>
      </c>
      <c r="AD379" s="197">
        <f t="shared" si="284"/>
        <v>11.693936048110356</v>
      </c>
      <c r="AE379" s="197">
        <f t="shared" si="285"/>
        <v>35.08180814433107</v>
      </c>
      <c r="AF379" s="197">
        <f t="shared" si="286"/>
        <v>8.5178571428571423E-2</v>
      </c>
      <c r="AG379" s="197">
        <f t="shared" si="287"/>
        <v>0.25553571428571431</v>
      </c>
      <c r="AH379" s="197">
        <f t="shared" si="254"/>
        <v>0.11660930017110901</v>
      </c>
      <c r="AI379" s="197">
        <f t="shared" si="288"/>
        <v>0.11660930017110901</v>
      </c>
      <c r="AJ379" s="218">
        <f t="shared" si="255"/>
        <v>390.00000000000006</v>
      </c>
      <c r="AK379" s="197">
        <f t="shared" si="289"/>
        <v>6.0930617977437734E-2</v>
      </c>
      <c r="AL379" s="197">
        <f t="shared" si="290"/>
        <v>9.6203707235237593E-2</v>
      </c>
      <c r="AM379" s="197">
        <f t="shared" si="291"/>
        <v>4.0790371867740751E-3</v>
      </c>
      <c r="AN379" s="197">
        <f t="shared" si="256"/>
        <v>24.05</v>
      </c>
      <c r="AO379" s="197">
        <f t="shared" si="257"/>
        <v>21.69</v>
      </c>
      <c r="AP379" s="197">
        <f t="shared" si="292"/>
        <v>7.4093290390420161E-2</v>
      </c>
      <c r="AQ379" s="197">
        <f t="shared" si="293"/>
        <v>0.42250439890466829</v>
      </c>
      <c r="AR379" s="197">
        <f t="shared" si="294"/>
        <v>0.30589509873355925</v>
      </c>
      <c r="AS379" s="258">
        <f t="shared" si="295"/>
        <v>0.15228632177729159</v>
      </c>
      <c r="AT379" s="197">
        <f t="shared" si="258"/>
        <v>2.5974058656511614E-4</v>
      </c>
      <c r="AU379" s="194">
        <f t="shared" si="259"/>
        <v>21.19</v>
      </c>
      <c r="AV379" s="197">
        <f t="shared" si="260"/>
        <v>2.7E-2</v>
      </c>
      <c r="AW379" s="197">
        <f t="shared" si="261"/>
        <v>3.4260000000000002E-3</v>
      </c>
      <c r="AX379" s="197">
        <f t="shared" si="296"/>
        <v>6.1668000000000001E-2</v>
      </c>
      <c r="AY379" s="197">
        <f t="shared" si="262"/>
        <v>2.8867476000000005E-3</v>
      </c>
      <c r="AZ379" s="197">
        <f t="shared" si="263"/>
        <v>0</v>
      </c>
      <c r="BA379" s="197">
        <f t="shared" si="297"/>
        <v>7.2596940000000013E-2</v>
      </c>
      <c r="BB379" s="258">
        <f t="shared" si="264"/>
        <v>0.36575210336206115</v>
      </c>
      <c r="BC379" s="197">
        <f t="shared" si="265"/>
        <v>2.2380490766334034E-2</v>
      </c>
      <c r="BD379" s="197">
        <f t="shared" si="298"/>
        <v>4.4760981532668068E-3</v>
      </c>
      <c r="BE379" s="197">
        <f t="shared" si="299"/>
        <v>2.6856588919600841E-2</v>
      </c>
      <c r="BF379" s="197">
        <f t="shared" si="266"/>
        <v>0.20773291256157633</v>
      </c>
      <c r="BG379" s="197">
        <f t="shared" si="267"/>
        <v>5.4608303342508187E-4</v>
      </c>
      <c r="BH379" s="197">
        <f t="shared" si="268"/>
        <v>3.5336687086656722E-2</v>
      </c>
      <c r="BI379" s="197">
        <f t="shared" si="300"/>
        <v>0.44730899017824427</v>
      </c>
      <c r="BJ379" s="197">
        <f t="shared" si="269"/>
        <v>6.769615024661003</v>
      </c>
      <c r="BK379" s="288">
        <f t="shared" si="270"/>
        <v>0.93392401361838984</v>
      </c>
      <c r="BL379" s="197">
        <f t="shared" si="271"/>
        <v>0.37608972359227794</v>
      </c>
      <c r="BM379" s="197">
        <f t="shared" si="272"/>
        <v>7.4353030976985271E-2</v>
      </c>
      <c r="BN379" s="197">
        <f t="shared" si="273"/>
        <v>54.461181858619113</v>
      </c>
      <c r="BO379" s="197">
        <f t="shared" si="301"/>
        <v>0.2082789955950014</v>
      </c>
      <c r="BP379" s="197">
        <f t="shared" si="274"/>
        <v>65.620924669625111</v>
      </c>
      <c r="BQ379" s="197">
        <f t="shared" si="275"/>
        <v>9.9596940000000009E-2</v>
      </c>
      <c r="BR379" s="288">
        <f t="shared" si="276"/>
        <v>0.16008975919012108</v>
      </c>
      <c r="BS379" s="197">
        <f t="shared" si="277"/>
        <v>0.11660930017110901</v>
      </c>
      <c r="BT379" s="197">
        <f t="shared" si="278"/>
        <v>0.36419974881911377</v>
      </c>
      <c r="BU379" s="197">
        <f t="shared" si="279"/>
        <v>0.1713930788771201</v>
      </c>
      <c r="BV379" s="197">
        <f t="shared" si="280"/>
        <v>0.53530306917875781</v>
      </c>
      <c r="BW379" s="194"/>
      <c r="BX379" s="194"/>
      <c r="BY379" s="194"/>
      <c r="BZ379" s="194"/>
      <c r="CA379" s="194"/>
      <c r="CB379" s="194"/>
      <c r="CC379" s="194"/>
      <c r="CD379" s="194"/>
      <c r="CE379" s="194"/>
      <c r="CF379" s="194"/>
      <c r="CG379" s="194"/>
      <c r="CH379" s="194"/>
      <c r="CI379" s="194"/>
      <c r="CJ379" s="194"/>
      <c r="CK379" s="194"/>
      <c r="CL379" s="194"/>
      <c r="CM379" s="194"/>
      <c r="CN379" s="194"/>
      <c r="CO379" s="194"/>
      <c r="CP379" s="194"/>
      <c r="CQ379" s="194"/>
      <c r="CR379" s="194"/>
      <c r="CS379" s="194"/>
      <c r="CT379" s="194"/>
      <c r="CU379" s="194"/>
      <c r="CV379" s="194"/>
      <c r="CW379" s="194"/>
      <c r="CX379" s="194"/>
      <c r="CY379" s="194"/>
      <c r="CZ379" s="194"/>
      <c r="DA379" s="194"/>
      <c r="DB379" s="194"/>
      <c r="DC379" s="194"/>
      <c r="DD379" s="194"/>
      <c r="DE379" s="194"/>
      <c r="DF379" s="194"/>
    </row>
    <row r="380" spans="2:110" s="192" customFormat="1" hidden="1" x14ac:dyDescent="0.35">
      <c r="B380" s="289"/>
      <c r="C380" s="289"/>
      <c r="Q380" s="193"/>
      <c r="R380" s="194">
        <f t="shared" si="281"/>
        <v>18</v>
      </c>
      <c r="S380" s="197">
        <f t="shared" si="247"/>
        <v>0.3888888888888889</v>
      </c>
      <c r="T380" s="194">
        <f t="shared" si="302"/>
        <v>0.69</v>
      </c>
      <c r="U380" s="194">
        <f t="shared" si="303"/>
        <v>1.4999999999999999E-4</v>
      </c>
      <c r="V380" s="197">
        <f t="shared" si="282"/>
        <v>0.3888888888888889</v>
      </c>
      <c r="W380" s="197">
        <f t="shared" si="248"/>
        <v>4.3555555555555561E-3</v>
      </c>
      <c r="X380" s="286">
        <f t="shared" si="249"/>
        <v>1</v>
      </c>
      <c r="Y380" s="286">
        <f t="shared" si="250"/>
        <v>0.17335969315081967</v>
      </c>
      <c r="Z380" s="286">
        <f t="shared" si="251"/>
        <v>0.54964853345132902</v>
      </c>
      <c r="AA380" s="286">
        <f t="shared" si="283"/>
        <v>0.17335969315081967</v>
      </c>
      <c r="AB380" s="197">
        <f t="shared" si="252"/>
        <v>0.36419974881911377</v>
      </c>
      <c r="AC380" s="287">
        <f t="shared" si="253"/>
        <v>4.4451203372005044E-7</v>
      </c>
      <c r="AD380" s="197">
        <f t="shared" si="284"/>
        <v>11.693936048110356</v>
      </c>
      <c r="AE380" s="197">
        <f t="shared" si="285"/>
        <v>35.08180814433107</v>
      </c>
      <c r="AF380" s="197">
        <f t="shared" si="286"/>
        <v>8.5178571428571423E-2</v>
      </c>
      <c r="AG380" s="197">
        <f t="shared" si="287"/>
        <v>0.25553571428571431</v>
      </c>
      <c r="AH380" s="197">
        <f t="shared" si="254"/>
        <v>0.11660930017110901</v>
      </c>
      <c r="AI380" s="197">
        <f t="shared" si="288"/>
        <v>0.11660930017110901</v>
      </c>
      <c r="AJ380" s="218">
        <f t="shared" si="255"/>
        <v>390.00000000000006</v>
      </c>
      <c r="AK380" s="197">
        <f t="shared" si="289"/>
        <v>6.0930617977437734E-2</v>
      </c>
      <c r="AL380" s="197">
        <f t="shared" si="290"/>
        <v>9.6203707235237593E-2</v>
      </c>
      <c r="AM380" s="197">
        <f t="shared" si="291"/>
        <v>4.0790371867740751E-3</v>
      </c>
      <c r="AN380" s="197">
        <f t="shared" si="256"/>
        <v>24.05</v>
      </c>
      <c r="AO380" s="197">
        <f t="shared" si="257"/>
        <v>21.69</v>
      </c>
      <c r="AP380" s="197">
        <f t="shared" si="292"/>
        <v>7.4093290390420161E-2</v>
      </c>
      <c r="AQ380" s="197">
        <f t="shared" si="293"/>
        <v>0.42250439890466829</v>
      </c>
      <c r="AR380" s="197">
        <f t="shared" si="294"/>
        <v>0.30589509873355925</v>
      </c>
      <c r="AS380" s="258">
        <f t="shared" si="295"/>
        <v>0.15228632177729159</v>
      </c>
      <c r="AT380" s="197">
        <f t="shared" si="258"/>
        <v>2.5974058656511614E-4</v>
      </c>
      <c r="AU380" s="194">
        <f t="shared" si="259"/>
        <v>21.19</v>
      </c>
      <c r="AV380" s="197">
        <f t="shared" si="260"/>
        <v>2.7E-2</v>
      </c>
      <c r="AW380" s="197">
        <f t="shared" si="261"/>
        <v>3.4260000000000002E-3</v>
      </c>
      <c r="AX380" s="197">
        <f t="shared" si="296"/>
        <v>6.1668000000000001E-2</v>
      </c>
      <c r="AY380" s="197">
        <f t="shared" si="262"/>
        <v>2.8867476000000005E-3</v>
      </c>
      <c r="AZ380" s="197">
        <f t="shared" si="263"/>
        <v>0</v>
      </c>
      <c r="BA380" s="197">
        <f t="shared" si="297"/>
        <v>7.2596940000000013E-2</v>
      </c>
      <c r="BB380" s="258">
        <f t="shared" si="264"/>
        <v>0.36575210336206115</v>
      </c>
      <c r="BC380" s="197">
        <f t="shared" si="265"/>
        <v>2.2380490766334034E-2</v>
      </c>
      <c r="BD380" s="197">
        <f t="shared" si="298"/>
        <v>4.4760981532668068E-3</v>
      </c>
      <c r="BE380" s="197">
        <f t="shared" si="299"/>
        <v>2.6856588919600841E-2</v>
      </c>
      <c r="BF380" s="197">
        <f t="shared" si="266"/>
        <v>0.20773291256157633</v>
      </c>
      <c r="BG380" s="197">
        <f t="shared" si="267"/>
        <v>5.4608303342508187E-4</v>
      </c>
      <c r="BH380" s="197">
        <f t="shared" si="268"/>
        <v>3.5336687086656722E-2</v>
      </c>
      <c r="BI380" s="197">
        <f t="shared" si="300"/>
        <v>0.44730899017824427</v>
      </c>
      <c r="BJ380" s="197">
        <f t="shared" si="269"/>
        <v>6.769615024661003</v>
      </c>
      <c r="BK380" s="288">
        <f t="shared" si="270"/>
        <v>0.93392401361838984</v>
      </c>
      <c r="BL380" s="197">
        <f t="shared" si="271"/>
        <v>0.37608972359227794</v>
      </c>
      <c r="BM380" s="197">
        <f t="shared" si="272"/>
        <v>7.4353030976985271E-2</v>
      </c>
      <c r="BN380" s="197">
        <f t="shared" si="273"/>
        <v>54.461181858619113</v>
      </c>
      <c r="BO380" s="197">
        <f t="shared" si="301"/>
        <v>0.2082789955950014</v>
      </c>
      <c r="BP380" s="197">
        <f t="shared" si="274"/>
        <v>65.620924669625111</v>
      </c>
      <c r="BQ380" s="197">
        <f t="shared" si="275"/>
        <v>9.9596940000000009E-2</v>
      </c>
      <c r="BR380" s="288">
        <f t="shared" si="276"/>
        <v>0.16008975919012108</v>
      </c>
      <c r="BS380" s="197">
        <f t="shared" si="277"/>
        <v>0.11660930017110901</v>
      </c>
      <c r="BT380" s="197">
        <f t="shared" si="278"/>
        <v>0.36419974881911377</v>
      </c>
      <c r="BU380" s="197">
        <f t="shared" si="279"/>
        <v>0.1713930788771201</v>
      </c>
      <c r="BV380" s="197">
        <f t="shared" si="280"/>
        <v>0.53530306917875781</v>
      </c>
      <c r="BW380" s="194"/>
      <c r="BX380" s="194"/>
      <c r="BY380" s="194"/>
      <c r="BZ380" s="194"/>
      <c r="CA380" s="194"/>
      <c r="CB380" s="194"/>
      <c r="CC380" s="194"/>
      <c r="CD380" s="194"/>
      <c r="CE380" s="194"/>
      <c r="CF380" s="194"/>
      <c r="CG380" s="194"/>
      <c r="CH380" s="194"/>
      <c r="CI380" s="194"/>
      <c r="CJ380" s="194"/>
      <c r="CK380" s="194"/>
      <c r="CL380" s="194"/>
      <c r="CM380" s="194"/>
      <c r="CN380" s="194"/>
      <c r="CO380" s="194"/>
      <c r="CP380" s="194"/>
      <c r="CQ380" s="194"/>
      <c r="CR380" s="194"/>
      <c r="CS380" s="194"/>
      <c r="CT380" s="194"/>
      <c r="CU380" s="194"/>
      <c r="CV380" s="194"/>
      <c r="CW380" s="194"/>
      <c r="CX380" s="194"/>
      <c r="CY380" s="194"/>
      <c r="CZ380" s="194"/>
      <c r="DA380" s="194"/>
      <c r="DB380" s="194"/>
      <c r="DC380" s="194"/>
      <c r="DD380" s="194"/>
      <c r="DE380" s="194"/>
      <c r="DF380" s="194"/>
    </row>
    <row r="381" spans="2:110" s="192" customFormat="1" hidden="1" x14ac:dyDescent="0.35">
      <c r="B381" s="289"/>
      <c r="C381" s="289"/>
      <c r="Q381" s="193"/>
      <c r="R381" s="194">
        <f t="shared" si="281"/>
        <v>18</v>
      </c>
      <c r="S381" s="197">
        <f t="shared" si="247"/>
        <v>0.3888888888888889</v>
      </c>
      <c r="T381" s="194">
        <f t="shared" si="302"/>
        <v>0.69</v>
      </c>
      <c r="U381" s="194">
        <f t="shared" si="303"/>
        <v>1.4999999999999999E-4</v>
      </c>
      <c r="V381" s="197">
        <f t="shared" si="282"/>
        <v>0.3888888888888889</v>
      </c>
      <c r="W381" s="197">
        <f t="shared" si="248"/>
        <v>4.3555555555555561E-3</v>
      </c>
      <c r="X381" s="286">
        <f t="shared" si="249"/>
        <v>1</v>
      </c>
      <c r="Y381" s="286">
        <f t="shared" si="250"/>
        <v>0.17335969315081967</v>
      </c>
      <c r="Z381" s="286">
        <f t="shared" si="251"/>
        <v>0.54964853345132902</v>
      </c>
      <c r="AA381" s="286">
        <f t="shared" si="283"/>
        <v>0.17335969315081967</v>
      </c>
      <c r="AB381" s="197">
        <f t="shared" si="252"/>
        <v>0.36419974881911377</v>
      </c>
      <c r="AC381" s="287">
        <f t="shared" si="253"/>
        <v>4.4451203372005044E-7</v>
      </c>
      <c r="AD381" s="197">
        <f t="shared" si="284"/>
        <v>11.693936048110356</v>
      </c>
      <c r="AE381" s="197">
        <f t="shared" si="285"/>
        <v>35.08180814433107</v>
      </c>
      <c r="AF381" s="197">
        <f t="shared" si="286"/>
        <v>8.5178571428571423E-2</v>
      </c>
      <c r="AG381" s="197">
        <f t="shared" si="287"/>
        <v>0.25553571428571431</v>
      </c>
      <c r="AH381" s="197">
        <f t="shared" si="254"/>
        <v>0.11660930017110901</v>
      </c>
      <c r="AI381" s="197">
        <f t="shared" si="288"/>
        <v>0.11660930017110901</v>
      </c>
      <c r="AJ381" s="218">
        <f t="shared" si="255"/>
        <v>390.00000000000006</v>
      </c>
      <c r="AK381" s="197">
        <f t="shared" si="289"/>
        <v>6.0930617977437734E-2</v>
      </c>
      <c r="AL381" s="197">
        <f t="shared" si="290"/>
        <v>9.6203707235237593E-2</v>
      </c>
      <c r="AM381" s="197">
        <f t="shared" si="291"/>
        <v>4.0790371867740751E-3</v>
      </c>
      <c r="AN381" s="197">
        <f t="shared" si="256"/>
        <v>24.05</v>
      </c>
      <c r="AO381" s="197">
        <f t="shared" si="257"/>
        <v>21.69</v>
      </c>
      <c r="AP381" s="197">
        <f t="shared" si="292"/>
        <v>7.4093290390420161E-2</v>
      </c>
      <c r="AQ381" s="197">
        <f t="shared" si="293"/>
        <v>0.42250439890466829</v>
      </c>
      <c r="AR381" s="197">
        <f t="shared" si="294"/>
        <v>0.30589509873355925</v>
      </c>
      <c r="AS381" s="258">
        <f t="shared" si="295"/>
        <v>0.15228632177729159</v>
      </c>
      <c r="AT381" s="197">
        <f t="shared" si="258"/>
        <v>2.5974058656511614E-4</v>
      </c>
      <c r="AU381" s="194">
        <f t="shared" si="259"/>
        <v>21.19</v>
      </c>
      <c r="AV381" s="197">
        <f t="shared" si="260"/>
        <v>2.7E-2</v>
      </c>
      <c r="AW381" s="197">
        <f t="shared" si="261"/>
        <v>3.4260000000000002E-3</v>
      </c>
      <c r="AX381" s="197">
        <f t="shared" si="296"/>
        <v>6.1668000000000001E-2</v>
      </c>
      <c r="AY381" s="197">
        <f t="shared" si="262"/>
        <v>2.8867476000000005E-3</v>
      </c>
      <c r="AZ381" s="197">
        <f t="shared" si="263"/>
        <v>0</v>
      </c>
      <c r="BA381" s="197">
        <f t="shared" si="297"/>
        <v>7.2596940000000013E-2</v>
      </c>
      <c r="BB381" s="258">
        <f t="shared" si="264"/>
        <v>0.36575210336206115</v>
      </c>
      <c r="BC381" s="197">
        <f t="shared" si="265"/>
        <v>2.2380490766334034E-2</v>
      </c>
      <c r="BD381" s="197">
        <f t="shared" si="298"/>
        <v>4.4760981532668068E-3</v>
      </c>
      <c r="BE381" s="197">
        <f t="shared" si="299"/>
        <v>2.6856588919600841E-2</v>
      </c>
      <c r="BF381" s="197">
        <f t="shared" si="266"/>
        <v>0.20773291256157633</v>
      </c>
      <c r="BG381" s="197">
        <f t="shared" si="267"/>
        <v>5.4608303342508187E-4</v>
      </c>
      <c r="BH381" s="197">
        <f t="shared" si="268"/>
        <v>3.5336687086656722E-2</v>
      </c>
      <c r="BI381" s="197">
        <f t="shared" si="300"/>
        <v>0.44730899017824427</v>
      </c>
      <c r="BJ381" s="197">
        <f t="shared" si="269"/>
        <v>6.769615024661003</v>
      </c>
      <c r="BK381" s="288">
        <f t="shared" si="270"/>
        <v>0.93392401361838984</v>
      </c>
      <c r="BL381" s="197">
        <f t="shared" si="271"/>
        <v>0.37608972359227794</v>
      </c>
      <c r="BM381" s="197">
        <f t="shared" si="272"/>
        <v>7.4353030976985271E-2</v>
      </c>
      <c r="BN381" s="197">
        <f t="shared" si="273"/>
        <v>54.461181858619113</v>
      </c>
      <c r="BO381" s="197">
        <f t="shared" si="301"/>
        <v>0.2082789955950014</v>
      </c>
      <c r="BP381" s="197">
        <f t="shared" si="274"/>
        <v>65.620924669625111</v>
      </c>
      <c r="BQ381" s="197">
        <f t="shared" si="275"/>
        <v>9.9596940000000009E-2</v>
      </c>
      <c r="BR381" s="288">
        <f t="shared" si="276"/>
        <v>0.16008975919012108</v>
      </c>
      <c r="BS381" s="197">
        <f t="shared" si="277"/>
        <v>0.11660930017110901</v>
      </c>
      <c r="BT381" s="197">
        <f t="shared" si="278"/>
        <v>0.36419974881911377</v>
      </c>
      <c r="BU381" s="197">
        <f t="shared" si="279"/>
        <v>0.1713930788771201</v>
      </c>
      <c r="BV381" s="197">
        <f t="shared" si="280"/>
        <v>0.53530306917875781</v>
      </c>
      <c r="BW381" s="194"/>
      <c r="BX381" s="194"/>
      <c r="BY381" s="194"/>
      <c r="BZ381" s="194"/>
      <c r="CA381" s="194"/>
      <c r="CB381" s="194"/>
      <c r="CC381" s="194"/>
      <c r="CD381" s="194"/>
      <c r="CE381" s="194"/>
      <c r="CF381" s="194"/>
      <c r="CG381" s="194"/>
      <c r="CH381" s="194"/>
      <c r="CI381" s="194"/>
      <c r="CJ381" s="194"/>
      <c r="CK381" s="194"/>
      <c r="CL381" s="194"/>
      <c r="CM381" s="194"/>
      <c r="CN381" s="194"/>
      <c r="CO381" s="194"/>
      <c r="CP381" s="194"/>
      <c r="CQ381" s="194"/>
      <c r="CR381" s="194"/>
      <c r="CS381" s="194"/>
      <c r="CT381" s="194"/>
      <c r="CU381" s="194"/>
      <c r="CV381" s="194"/>
      <c r="CW381" s="194"/>
      <c r="CX381" s="194"/>
      <c r="CY381" s="194"/>
      <c r="CZ381" s="194"/>
      <c r="DA381" s="194"/>
      <c r="DB381" s="194"/>
      <c r="DC381" s="194"/>
      <c r="DD381" s="194"/>
      <c r="DE381" s="194"/>
      <c r="DF381" s="194"/>
    </row>
    <row r="382" spans="2:110" s="192" customFormat="1" hidden="1" x14ac:dyDescent="0.35">
      <c r="B382" s="289"/>
      <c r="C382" s="289"/>
      <c r="Q382" s="193"/>
      <c r="R382" s="194">
        <f t="shared" si="281"/>
        <v>18</v>
      </c>
      <c r="S382" s="197">
        <f t="shared" si="247"/>
        <v>0.3888888888888889</v>
      </c>
      <c r="T382" s="194">
        <f t="shared" si="302"/>
        <v>0.69</v>
      </c>
      <c r="U382" s="194">
        <f t="shared" si="303"/>
        <v>1.4999999999999999E-4</v>
      </c>
      <c r="V382" s="197">
        <f t="shared" si="282"/>
        <v>0.3888888888888889</v>
      </c>
      <c r="W382" s="197">
        <f t="shared" si="248"/>
        <v>4.3555555555555561E-3</v>
      </c>
      <c r="X382" s="286">
        <f t="shared" si="249"/>
        <v>1</v>
      </c>
      <c r="Y382" s="286">
        <f t="shared" si="250"/>
        <v>0.17335969315081967</v>
      </c>
      <c r="Z382" s="286">
        <f t="shared" si="251"/>
        <v>0.54964853345132902</v>
      </c>
      <c r="AA382" s="286">
        <f t="shared" si="283"/>
        <v>0.17335969315081967</v>
      </c>
      <c r="AB382" s="197">
        <f t="shared" si="252"/>
        <v>0.36419974881911377</v>
      </c>
      <c r="AC382" s="287">
        <f t="shared" si="253"/>
        <v>4.4451203372005044E-7</v>
      </c>
      <c r="AD382" s="197">
        <f t="shared" si="284"/>
        <v>11.693936048110356</v>
      </c>
      <c r="AE382" s="197">
        <f t="shared" si="285"/>
        <v>35.08180814433107</v>
      </c>
      <c r="AF382" s="197">
        <f t="shared" si="286"/>
        <v>8.5178571428571423E-2</v>
      </c>
      <c r="AG382" s="197">
        <f t="shared" si="287"/>
        <v>0.25553571428571431</v>
      </c>
      <c r="AH382" s="197">
        <f t="shared" si="254"/>
        <v>0.11660930017110901</v>
      </c>
      <c r="AI382" s="197">
        <f t="shared" si="288"/>
        <v>0.11660930017110901</v>
      </c>
      <c r="AJ382" s="218">
        <f t="shared" si="255"/>
        <v>390.00000000000006</v>
      </c>
      <c r="AK382" s="197">
        <f t="shared" si="289"/>
        <v>6.0930617977437734E-2</v>
      </c>
      <c r="AL382" s="197">
        <f t="shared" si="290"/>
        <v>9.6203707235237593E-2</v>
      </c>
      <c r="AM382" s="197">
        <f t="shared" si="291"/>
        <v>4.0790371867740751E-3</v>
      </c>
      <c r="AN382" s="197">
        <f t="shared" si="256"/>
        <v>24.05</v>
      </c>
      <c r="AO382" s="197">
        <f t="shared" si="257"/>
        <v>21.69</v>
      </c>
      <c r="AP382" s="197">
        <f t="shared" si="292"/>
        <v>7.4093290390420161E-2</v>
      </c>
      <c r="AQ382" s="197">
        <f t="shared" si="293"/>
        <v>0.42250439890466829</v>
      </c>
      <c r="AR382" s="197">
        <f t="shared" si="294"/>
        <v>0.30589509873355925</v>
      </c>
      <c r="AS382" s="258">
        <f t="shared" si="295"/>
        <v>0.15228632177729159</v>
      </c>
      <c r="AT382" s="197">
        <f t="shared" si="258"/>
        <v>2.5974058656511614E-4</v>
      </c>
      <c r="AU382" s="194">
        <f t="shared" si="259"/>
        <v>21.19</v>
      </c>
      <c r="AV382" s="197">
        <f t="shared" si="260"/>
        <v>2.7E-2</v>
      </c>
      <c r="AW382" s="197">
        <f t="shared" si="261"/>
        <v>3.4260000000000002E-3</v>
      </c>
      <c r="AX382" s="197">
        <f t="shared" si="296"/>
        <v>6.1668000000000001E-2</v>
      </c>
      <c r="AY382" s="197">
        <f t="shared" si="262"/>
        <v>2.8867476000000005E-3</v>
      </c>
      <c r="AZ382" s="197">
        <f t="shared" si="263"/>
        <v>0</v>
      </c>
      <c r="BA382" s="197">
        <f t="shared" si="297"/>
        <v>7.2596940000000013E-2</v>
      </c>
      <c r="BB382" s="258">
        <f t="shared" si="264"/>
        <v>0.36575210336206115</v>
      </c>
      <c r="BC382" s="197">
        <f t="shared" si="265"/>
        <v>2.2380490766334034E-2</v>
      </c>
      <c r="BD382" s="197">
        <f t="shared" si="298"/>
        <v>4.4760981532668068E-3</v>
      </c>
      <c r="BE382" s="197">
        <f t="shared" si="299"/>
        <v>2.6856588919600841E-2</v>
      </c>
      <c r="BF382" s="197">
        <f t="shared" si="266"/>
        <v>0.20773291256157633</v>
      </c>
      <c r="BG382" s="197">
        <f t="shared" si="267"/>
        <v>5.4608303342508187E-4</v>
      </c>
      <c r="BH382" s="197">
        <f t="shared" si="268"/>
        <v>3.5336687086656722E-2</v>
      </c>
      <c r="BI382" s="197">
        <f t="shared" si="300"/>
        <v>0.44730899017824427</v>
      </c>
      <c r="BJ382" s="197">
        <f t="shared" si="269"/>
        <v>6.769615024661003</v>
      </c>
      <c r="BK382" s="288">
        <f t="shared" si="270"/>
        <v>0.93392401361838984</v>
      </c>
      <c r="BL382" s="197">
        <f t="shared" si="271"/>
        <v>0.37608972359227794</v>
      </c>
      <c r="BM382" s="197">
        <f t="shared" si="272"/>
        <v>7.4353030976985271E-2</v>
      </c>
      <c r="BN382" s="197">
        <f t="shared" si="273"/>
        <v>54.461181858619113</v>
      </c>
      <c r="BO382" s="197">
        <f t="shared" si="301"/>
        <v>0.2082789955950014</v>
      </c>
      <c r="BP382" s="197">
        <f t="shared" si="274"/>
        <v>65.620924669625111</v>
      </c>
      <c r="BQ382" s="197">
        <f t="shared" si="275"/>
        <v>9.9596940000000009E-2</v>
      </c>
      <c r="BR382" s="288">
        <f t="shared" si="276"/>
        <v>0.16008975919012108</v>
      </c>
      <c r="BS382" s="197">
        <f t="shared" si="277"/>
        <v>0.11660930017110901</v>
      </c>
      <c r="BT382" s="197">
        <f t="shared" si="278"/>
        <v>0.36419974881911377</v>
      </c>
      <c r="BU382" s="197">
        <f t="shared" si="279"/>
        <v>0.1713930788771201</v>
      </c>
      <c r="BV382" s="197">
        <f t="shared" si="280"/>
        <v>0.53530306917875781</v>
      </c>
      <c r="BW382" s="194"/>
      <c r="BX382" s="194"/>
      <c r="BY382" s="194"/>
      <c r="BZ382" s="194"/>
      <c r="CA382" s="194"/>
      <c r="CB382" s="194"/>
      <c r="CC382" s="194"/>
      <c r="CD382" s="194"/>
      <c r="CE382" s="194"/>
      <c r="CF382" s="194"/>
      <c r="CG382" s="194"/>
      <c r="CH382" s="194"/>
      <c r="CI382" s="194"/>
      <c r="CJ382" s="194"/>
      <c r="CK382" s="194"/>
      <c r="CL382" s="194"/>
      <c r="CM382" s="194"/>
      <c r="CN382" s="194"/>
      <c r="CO382" s="194"/>
      <c r="CP382" s="194"/>
      <c r="CQ382" s="194"/>
      <c r="CR382" s="194"/>
      <c r="CS382" s="194"/>
      <c r="CT382" s="194"/>
      <c r="CU382" s="194"/>
      <c r="CV382" s="194"/>
      <c r="CW382" s="194"/>
      <c r="CX382" s="194"/>
      <c r="CY382" s="194"/>
      <c r="CZ382" s="194"/>
      <c r="DA382" s="194"/>
      <c r="DB382" s="194"/>
      <c r="DC382" s="194"/>
      <c r="DD382" s="194"/>
      <c r="DE382" s="194"/>
      <c r="DF382" s="194"/>
    </row>
    <row r="383" spans="2:110" s="192" customFormat="1" hidden="1" x14ac:dyDescent="0.35">
      <c r="B383" s="289"/>
      <c r="C383" s="289"/>
      <c r="Q383" s="193"/>
      <c r="R383" s="194">
        <f t="shared" si="281"/>
        <v>18</v>
      </c>
      <c r="S383" s="197">
        <f t="shared" si="247"/>
        <v>0.3888888888888889</v>
      </c>
      <c r="T383" s="194">
        <f t="shared" si="302"/>
        <v>0.69</v>
      </c>
      <c r="U383" s="194">
        <f t="shared" si="303"/>
        <v>1.4999999999999999E-4</v>
      </c>
      <c r="V383" s="197">
        <f t="shared" si="282"/>
        <v>0.3888888888888889</v>
      </c>
      <c r="W383" s="197">
        <f t="shared" si="248"/>
        <v>4.3555555555555561E-3</v>
      </c>
      <c r="X383" s="286">
        <f t="shared" si="249"/>
        <v>1</v>
      </c>
      <c r="Y383" s="286">
        <f t="shared" si="250"/>
        <v>0.17335969315081967</v>
      </c>
      <c r="Z383" s="286">
        <f t="shared" si="251"/>
        <v>0.54964853345132902</v>
      </c>
      <c r="AA383" s="286">
        <f t="shared" si="283"/>
        <v>0.17335969315081967</v>
      </c>
      <c r="AB383" s="197">
        <f t="shared" si="252"/>
        <v>0.36419974881911377</v>
      </c>
      <c r="AC383" s="287">
        <f t="shared" si="253"/>
        <v>4.4451203372005044E-7</v>
      </c>
      <c r="AD383" s="197">
        <f t="shared" si="284"/>
        <v>11.693936048110356</v>
      </c>
      <c r="AE383" s="197">
        <f t="shared" si="285"/>
        <v>35.08180814433107</v>
      </c>
      <c r="AF383" s="197">
        <f t="shared" si="286"/>
        <v>8.5178571428571423E-2</v>
      </c>
      <c r="AG383" s="197">
        <f t="shared" si="287"/>
        <v>0.25553571428571431</v>
      </c>
      <c r="AH383" s="197">
        <f t="shared" si="254"/>
        <v>0.11660930017110901</v>
      </c>
      <c r="AI383" s="197">
        <f t="shared" si="288"/>
        <v>0.11660930017110901</v>
      </c>
      <c r="AJ383" s="218">
        <f t="shared" si="255"/>
        <v>390.00000000000006</v>
      </c>
      <c r="AK383" s="197">
        <f t="shared" si="289"/>
        <v>6.0930617977437734E-2</v>
      </c>
      <c r="AL383" s="197">
        <f t="shared" si="290"/>
        <v>9.6203707235237593E-2</v>
      </c>
      <c r="AM383" s="197">
        <f t="shared" si="291"/>
        <v>4.0790371867740751E-3</v>
      </c>
      <c r="AN383" s="197">
        <f t="shared" si="256"/>
        <v>24.05</v>
      </c>
      <c r="AO383" s="197">
        <f t="shared" si="257"/>
        <v>21.69</v>
      </c>
      <c r="AP383" s="197">
        <f t="shared" si="292"/>
        <v>7.4093290390420161E-2</v>
      </c>
      <c r="AQ383" s="197">
        <f t="shared" si="293"/>
        <v>0.42250439890466829</v>
      </c>
      <c r="AR383" s="197">
        <f t="shared" si="294"/>
        <v>0.30589509873355925</v>
      </c>
      <c r="AS383" s="258">
        <f t="shared" si="295"/>
        <v>0.15228632177729159</v>
      </c>
      <c r="AT383" s="197">
        <f t="shared" si="258"/>
        <v>2.5974058656511614E-4</v>
      </c>
      <c r="AU383" s="194">
        <f t="shared" si="259"/>
        <v>21.19</v>
      </c>
      <c r="AV383" s="197">
        <f t="shared" si="260"/>
        <v>2.7E-2</v>
      </c>
      <c r="AW383" s="197">
        <f t="shared" si="261"/>
        <v>3.4260000000000002E-3</v>
      </c>
      <c r="AX383" s="197">
        <f t="shared" si="296"/>
        <v>6.1668000000000001E-2</v>
      </c>
      <c r="AY383" s="197">
        <f t="shared" si="262"/>
        <v>2.8867476000000005E-3</v>
      </c>
      <c r="AZ383" s="197">
        <f t="shared" si="263"/>
        <v>0</v>
      </c>
      <c r="BA383" s="197">
        <f t="shared" si="297"/>
        <v>7.2596940000000013E-2</v>
      </c>
      <c r="BB383" s="258">
        <f t="shared" si="264"/>
        <v>0.36575210336206115</v>
      </c>
      <c r="BC383" s="197">
        <f t="shared" si="265"/>
        <v>2.2380490766334034E-2</v>
      </c>
      <c r="BD383" s="197">
        <f t="shared" si="298"/>
        <v>4.4760981532668068E-3</v>
      </c>
      <c r="BE383" s="197">
        <f t="shared" si="299"/>
        <v>2.6856588919600841E-2</v>
      </c>
      <c r="BF383" s="197">
        <f t="shared" si="266"/>
        <v>0.20773291256157633</v>
      </c>
      <c r="BG383" s="197">
        <f t="shared" si="267"/>
        <v>5.4608303342508187E-4</v>
      </c>
      <c r="BH383" s="197">
        <f t="shared" si="268"/>
        <v>3.5336687086656722E-2</v>
      </c>
      <c r="BI383" s="197">
        <f t="shared" si="300"/>
        <v>0.44730899017824427</v>
      </c>
      <c r="BJ383" s="197">
        <f t="shared" si="269"/>
        <v>6.769615024661003</v>
      </c>
      <c r="BK383" s="288">
        <f t="shared" si="270"/>
        <v>0.93392401361838984</v>
      </c>
      <c r="BL383" s="197">
        <f t="shared" si="271"/>
        <v>0.37608972359227794</v>
      </c>
      <c r="BM383" s="197">
        <f t="shared" si="272"/>
        <v>7.4353030976985271E-2</v>
      </c>
      <c r="BN383" s="197">
        <f t="shared" si="273"/>
        <v>54.461181858619113</v>
      </c>
      <c r="BO383" s="197">
        <f t="shared" si="301"/>
        <v>0.2082789955950014</v>
      </c>
      <c r="BP383" s="197">
        <f t="shared" si="274"/>
        <v>65.620924669625111</v>
      </c>
      <c r="BQ383" s="197">
        <f t="shared" si="275"/>
        <v>9.9596940000000009E-2</v>
      </c>
      <c r="BR383" s="288">
        <f t="shared" si="276"/>
        <v>0.16008975919012108</v>
      </c>
      <c r="BS383" s="197">
        <f t="shared" si="277"/>
        <v>0.11660930017110901</v>
      </c>
      <c r="BT383" s="197">
        <f t="shared" si="278"/>
        <v>0.36419974881911377</v>
      </c>
      <c r="BU383" s="197">
        <f t="shared" si="279"/>
        <v>0.1713930788771201</v>
      </c>
      <c r="BV383" s="197">
        <f t="shared" si="280"/>
        <v>0.53530306917875781</v>
      </c>
      <c r="BW383" s="194"/>
      <c r="BX383" s="194"/>
      <c r="BY383" s="194"/>
      <c r="BZ383" s="194"/>
      <c r="CA383" s="194"/>
      <c r="CB383" s="194"/>
      <c r="CC383" s="194"/>
      <c r="CD383" s="194"/>
      <c r="CE383" s="194"/>
      <c r="CF383" s="194"/>
      <c r="CG383" s="194"/>
      <c r="CH383" s="194"/>
      <c r="CI383" s="194"/>
      <c r="CJ383" s="194"/>
      <c r="CK383" s="194"/>
      <c r="CL383" s="194"/>
      <c r="CM383" s="194"/>
      <c r="CN383" s="194"/>
      <c r="CO383" s="194"/>
      <c r="CP383" s="194"/>
      <c r="CQ383" s="194"/>
      <c r="CR383" s="194"/>
      <c r="CS383" s="194"/>
      <c r="CT383" s="194"/>
      <c r="CU383" s="194"/>
      <c r="CV383" s="194"/>
      <c r="CW383" s="194"/>
      <c r="CX383" s="194"/>
      <c r="CY383" s="194"/>
      <c r="CZ383" s="194"/>
      <c r="DA383" s="194"/>
      <c r="DB383" s="194"/>
      <c r="DC383" s="194"/>
      <c r="DD383" s="194"/>
      <c r="DE383" s="194"/>
      <c r="DF383" s="194"/>
    </row>
    <row r="384" spans="2:110" s="192" customFormat="1" hidden="1" x14ac:dyDescent="0.35">
      <c r="B384" s="289"/>
      <c r="C384" s="289"/>
      <c r="Q384" s="193"/>
      <c r="R384" s="194">
        <f t="shared" si="281"/>
        <v>18</v>
      </c>
      <c r="S384" s="197">
        <f t="shared" si="247"/>
        <v>0.3888888888888889</v>
      </c>
      <c r="T384" s="194">
        <f t="shared" si="302"/>
        <v>0.69</v>
      </c>
      <c r="U384" s="194">
        <f t="shared" si="303"/>
        <v>1.4999999999999999E-4</v>
      </c>
      <c r="V384" s="197">
        <f t="shared" si="282"/>
        <v>0.3888888888888889</v>
      </c>
      <c r="W384" s="197">
        <f t="shared" si="248"/>
        <v>4.3555555555555561E-3</v>
      </c>
      <c r="X384" s="286">
        <f t="shared" si="249"/>
        <v>1</v>
      </c>
      <c r="Y384" s="286">
        <f t="shared" si="250"/>
        <v>0.17335969315081967</v>
      </c>
      <c r="Z384" s="286">
        <f t="shared" si="251"/>
        <v>0.54964853345132902</v>
      </c>
      <c r="AA384" s="286">
        <f t="shared" si="283"/>
        <v>0.17335969315081967</v>
      </c>
      <c r="AB384" s="197">
        <f t="shared" si="252"/>
        <v>0.36419974881911377</v>
      </c>
      <c r="AC384" s="287">
        <f t="shared" si="253"/>
        <v>4.4451203372005044E-7</v>
      </c>
      <c r="AD384" s="197">
        <f t="shared" si="284"/>
        <v>11.693936048110356</v>
      </c>
      <c r="AE384" s="197">
        <f t="shared" si="285"/>
        <v>35.08180814433107</v>
      </c>
      <c r="AF384" s="197">
        <f t="shared" si="286"/>
        <v>8.5178571428571423E-2</v>
      </c>
      <c r="AG384" s="197">
        <f t="shared" si="287"/>
        <v>0.25553571428571431</v>
      </c>
      <c r="AH384" s="197">
        <f t="shared" si="254"/>
        <v>0.11660930017110901</v>
      </c>
      <c r="AI384" s="197">
        <f t="shared" si="288"/>
        <v>0.11660930017110901</v>
      </c>
      <c r="AJ384" s="218">
        <f t="shared" si="255"/>
        <v>390.00000000000006</v>
      </c>
      <c r="AK384" s="197">
        <f t="shared" si="289"/>
        <v>6.0930617977437734E-2</v>
      </c>
      <c r="AL384" s="197">
        <f t="shared" si="290"/>
        <v>9.6203707235237593E-2</v>
      </c>
      <c r="AM384" s="197">
        <f t="shared" si="291"/>
        <v>4.0790371867740751E-3</v>
      </c>
      <c r="AN384" s="197">
        <f t="shared" si="256"/>
        <v>24.05</v>
      </c>
      <c r="AO384" s="197">
        <f t="shared" si="257"/>
        <v>21.69</v>
      </c>
      <c r="AP384" s="197">
        <f t="shared" si="292"/>
        <v>7.4093290390420161E-2</v>
      </c>
      <c r="AQ384" s="197">
        <f t="shared" si="293"/>
        <v>0.42250439890466829</v>
      </c>
      <c r="AR384" s="197">
        <f t="shared" si="294"/>
        <v>0.30589509873355925</v>
      </c>
      <c r="AS384" s="258">
        <f t="shared" si="295"/>
        <v>0.15228632177729159</v>
      </c>
      <c r="AT384" s="197">
        <f t="shared" si="258"/>
        <v>2.5974058656511614E-4</v>
      </c>
      <c r="AU384" s="194">
        <f t="shared" si="259"/>
        <v>21.19</v>
      </c>
      <c r="AV384" s="197">
        <f t="shared" si="260"/>
        <v>2.7E-2</v>
      </c>
      <c r="AW384" s="197">
        <f t="shared" si="261"/>
        <v>3.4260000000000002E-3</v>
      </c>
      <c r="AX384" s="197">
        <f t="shared" si="296"/>
        <v>6.1668000000000001E-2</v>
      </c>
      <c r="AY384" s="197">
        <f t="shared" si="262"/>
        <v>2.8867476000000005E-3</v>
      </c>
      <c r="AZ384" s="197">
        <f t="shared" si="263"/>
        <v>0</v>
      </c>
      <c r="BA384" s="197">
        <f t="shared" si="297"/>
        <v>7.2596940000000013E-2</v>
      </c>
      <c r="BB384" s="258">
        <f t="shared" si="264"/>
        <v>0.36575210336206115</v>
      </c>
      <c r="BC384" s="197">
        <f t="shared" si="265"/>
        <v>2.2380490766334034E-2</v>
      </c>
      <c r="BD384" s="197">
        <f t="shared" si="298"/>
        <v>4.4760981532668068E-3</v>
      </c>
      <c r="BE384" s="197">
        <f t="shared" si="299"/>
        <v>2.6856588919600841E-2</v>
      </c>
      <c r="BF384" s="197">
        <f t="shared" si="266"/>
        <v>0.20773291256157633</v>
      </c>
      <c r="BG384" s="197">
        <f t="shared" si="267"/>
        <v>5.4608303342508187E-4</v>
      </c>
      <c r="BH384" s="197">
        <f t="shared" si="268"/>
        <v>3.5336687086656722E-2</v>
      </c>
      <c r="BI384" s="197">
        <f t="shared" si="300"/>
        <v>0.44730899017824427</v>
      </c>
      <c r="BJ384" s="197">
        <f t="shared" si="269"/>
        <v>6.769615024661003</v>
      </c>
      <c r="BK384" s="288">
        <f t="shared" si="270"/>
        <v>0.93392401361838984</v>
      </c>
      <c r="BL384" s="197">
        <f t="shared" si="271"/>
        <v>0.37608972359227794</v>
      </c>
      <c r="BM384" s="197">
        <f t="shared" si="272"/>
        <v>7.4353030976985271E-2</v>
      </c>
      <c r="BN384" s="197">
        <f t="shared" si="273"/>
        <v>54.461181858619113</v>
      </c>
      <c r="BO384" s="197">
        <f t="shared" si="301"/>
        <v>0.2082789955950014</v>
      </c>
      <c r="BP384" s="197">
        <f t="shared" si="274"/>
        <v>65.620924669625111</v>
      </c>
      <c r="BQ384" s="197">
        <f t="shared" si="275"/>
        <v>9.9596940000000009E-2</v>
      </c>
      <c r="BR384" s="288">
        <f t="shared" si="276"/>
        <v>0.16008975919012108</v>
      </c>
      <c r="BS384" s="197">
        <f t="shared" si="277"/>
        <v>0.11660930017110901</v>
      </c>
      <c r="BT384" s="197">
        <f t="shared" si="278"/>
        <v>0.36419974881911377</v>
      </c>
      <c r="BU384" s="197">
        <f t="shared" si="279"/>
        <v>0.1713930788771201</v>
      </c>
      <c r="BV384" s="197">
        <f t="shared" si="280"/>
        <v>0.53530306917875781</v>
      </c>
      <c r="BW384" s="194"/>
      <c r="BX384" s="194"/>
      <c r="BY384" s="194"/>
      <c r="BZ384" s="194"/>
      <c r="CA384" s="194"/>
      <c r="CB384" s="194"/>
      <c r="CC384" s="194"/>
      <c r="CD384" s="194"/>
      <c r="CE384" s="194"/>
      <c r="CF384" s="194"/>
      <c r="CG384" s="194"/>
      <c r="CH384" s="194"/>
      <c r="CI384" s="194"/>
      <c r="CJ384" s="194"/>
      <c r="CK384" s="194"/>
      <c r="CL384" s="194"/>
      <c r="CM384" s="194"/>
      <c r="CN384" s="194"/>
      <c r="CO384" s="194"/>
      <c r="CP384" s="194"/>
      <c r="CQ384" s="194"/>
      <c r="CR384" s="194"/>
      <c r="CS384" s="194"/>
      <c r="CT384" s="194"/>
      <c r="CU384" s="194"/>
      <c r="CV384" s="194"/>
      <c r="CW384" s="194"/>
      <c r="CX384" s="194"/>
      <c r="CY384" s="194"/>
      <c r="CZ384" s="194"/>
      <c r="DA384" s="194"/>
      <c r="DB384" s="194"/>
      <c r="DC384" s="194"/>
      <c r="DD384" s="194"/>
      <c r="DE384" s="194"/>
      <c r="DF384" s="194"/>
    </row>
    <row r="385" spans="2:110" s="192" customFormat="1" hidden="1" x14ac:dyDescent="0.35">
      <c r="B385" s="289"/>
      <c r="C385" s="289"/>
      <c r="Q385" s="193"/>
      <c r="R385" s="194">
        <f t="shared" si="281"/>
        <v>18</v>
      </c>
      <c r="S385" s="197">
        <f t="shared" si="247"/>
        <v>0.3888888888888889</v>
      </c>
      <c r="T385" s="194">
        <f t="shared" si="302"/>
        <v>0.69</v>
      </c>
      <c r="U385" s="194">
        <f t="shared" si="303"/>
        <v>1.4999999999999999E-4</v>
      </c>
      <c r="V385" s="197">
        <f t="shared" si="282"/>
        <v>0.3888888888888889</v>
      </c>
      <c r="W385" s="197">
        <f t="shared" si="248"/>
        <v>4.3555555555555561E-3</v>
      </c>
      <c r="X385" s="286">
        <f t="shared" si="249"/>
        <v>1</v>
      </c>
      <c r="Y385" s="286">
        <f t="shared" si="250"/>
        <v>0.17335969315081967</v>
      </c>
      <c r="Z385" s="286">
        <f t="shared" si="251"/>
        <v>0.54964853345132902</v>
      </c>
      <c r="AA385" s="286">
        <f t="shared" si="283"/>
        <v>0.17335969315081967</v>
      </c>
      <c r="AB385" s="197">
        <f t="shared" si="252"/>
        <v>0.36419974881911377</v>
      </c>
      <c r="AC385" s="287">
        <f t="shared" si="253"/>
        <v>4.4451203372005044E-7</v>
      </c>
      <c r="AD385" s="197">
        <f t="shared" si="284"/>
        <v>11.693936048110356</v>
      </c>
      <c r="AE385" s="197">
        <f t="shared" si="285"/>
        <v>35.08180814433107</v>
      </c>
      <c r="AF385" s="197">
        <f t="shared" si="286"/>
        <v>8.5178571428571423E-2</v>
      </c>
      <c r="AG385" s="197">
        <f t="shared" si="287"/>
        <v>0.25553571428571431</v>
      </c>
      <c r="AH385" s="197">
        <f t="shared" si="254"/>
        <v>0.11660930017110901</v>
      </c>
      <c r="AI385" s="197">
        <f t="shared" si="288"/>
        <v>0.11660930017110901</v>
      </c>
      <c r="AJ385" s="218">
        <f t="shared" si="255"/>
        <v>390.00000000000006</v>
      </c>
      <c r="AK385" s="197">
        <f t="shared" si="289"/>
        <v>6.0930617977437734E-2</v>
      </c>
      <c r="AL385" s="197">
        <f t="shared" si="290"/>
        <v>9.6203707235237593E-2</v>
      </c>
      <c r="AM385" s="197">
        <f t="shared" si="291"/>
        <v>4.0790371867740751E-3</v>
      </c>
      <c r="AN385" s="197">
        <f t="shared" si="256"/>
        <v>24.05</v>
      </c>
      <c r="AO385" s="197">
        <f t="shared" si="257"/>
        <v>21.69</v>
      </c>
      <c r="AP385" s="197">
        <f t="shared" si="292"/>
        <v>7.4093290390420161E-2</v>
      </c>
      <c r="AQ385" s="197">
        <f t="shared" si="293"/>
        <v>0.42250439890466829</v>
      </c>
      <c r="AR385" s="197">
        <f t="shared" si="294"/>
        <v>0.30589509873355925</v>
      </c>
      <c r="AS385" s="258">
        <f t="shared" si="295"/>
        <v>0.15228632177729159</v>
      </c>
      <c r="AT385" s="197">
        <f t="shared" si="258"/>
        <v>2.5974058656511614E-4</v>
      </c>
      <c r="AU385" s="194">
        <f t="shared" si="259"/>
        <v>21.19</v>
      </c>
      <c r="AV385" s="197">
        <f t="shared" si="260"/>
        <v>2.7E-2</v>
      </c>
      <c r="AW385" s="197">
        <f t="shared" si="261"/>
        <v>3.4260000000000002E-3</v>
      </c>
      <c r="AX385" s="197">
        <f t="shared" si="296"/>
        <v>6.1668000000000001E-2</v>
      </c>
      <c r="AY385" s="197">
        <f t="shared" si="262"/>
        <v>2.8867476000000005E-3</v>
      </c>
      <c r="AZ385" s="197">
        <f t="shared" si="263"/>
        <v>0</v>
      </c>
      <c r="BA385" s="197">
        <f t="shared" si="297"/>
        <v>7.2596940000000013E-2</v>
      </c>
      <c r="BB385" s="258">
        <f t="shared" si="264"/>
        <v>0.36575210336206115</v>
      </c>
      <c r="BC385" s="197">
        <f t="shared" si="265"/>
        <v>2.2380490766334034E-2</v>
      </c>
      <c r="BD385" s="197">
        <f t="shared" si="298"/>
        <v>4.4760981532668068E-3</v>
      </c>
      <c r="BE385" s="197">
        <f t="shared" si="299"/>
        <v>2.6856588919600841E-2</v>
      </c>
      <c r="BF385" s="197">
        <f t="shared" si="266"/>
        <v>0.20773291256157633</v>
      </c>
      <c r="BG385" s="197">
        <f t="shared" si="267"/>
        <v>5.4608303342508187E-4</v>
      </c>
      <c r="BH385" s="197">
        <f t="shared" si="268"/>
        <v>3.5336687086656722E-2</v>
      </c>
      <c r="BI385" s="197">
        <f t="shared" si="300"/>
        <v>0.44730899017824427</v>
      </c>
      <c r="BJ385" s="197">
        <f t="shared" si="269"/>
        <v>6.769615024661003</v>
      </c>
      <c r="BK385" s="288">
        <f t="shared" si="270"/>
        <v>0.93392401361838984</v>
      </c>
      <c r="BL385" s="197">
        <f t="shared" si="271"/>
        <v>0.37608972359227794</v>
      </c>
      <c r="BM385" s="197">
        <f t="shared" si="272"/>
        <v>7.4353030976985271E-2</v>
      </c>
      <c r="BN385" s="197">
        <f t="shared" si="273"/>
        <v>54.461181858619113</v>
      </c>
      <c r="BO385" s="197">
        <f t="shared" si="301"/>
        <v>0.2082789955950014</v>
      </c>
      <c r="BP385" s="197">
        <f t="shared" si="274"/>
        <v>65.620924669625111</v>
      </c>
      <c r="BQ385" s="197">
        <f t="shared" si="275"/>
        <v>9.9596940000000009E-2</v>
      </c>
      <c r="BR385" s="288">
        <f t="shared" si="276"/>
        <v>0.16008975919012108</v>
      </c>
      <c r="BS385" s="197">
        <f t="shared" si="277"/>
        <v>0.11660930017110901</v>
      </c>
      <c r="BT385" s="197">
        <f t="shared" si="278"/>
        <v>0.36419974881911377</v>
      </c>
      <c r="BU385" s="197">
        <f t="shared" si="279"/>
        <v>0.1713930788771201</v>
      </c>
      <c r="BV385" s="197">
        <f t="shared" si="280"/>
        <v>0.53530306917875781</v>
      </c>
      <c r="BW385" s="194"/>
      <c r="BX385" s="194"/>
      <c r="BY385" s="194"/>
      <c r="BZ385" s="194"/>
      <c r="CA385" s="194"/>
      <c r="CB385" s="194"/>
      <c r="CC385" s="194"/>
      <c r="CD385" s="194"/>
      <c r="CE385" s="194"/>
      <c r="CF385" s="194"/>
      <c r="CG385" s="194"/>
      <c r="CH385" s="194"/>
      <c r="CI385" s="194"/>
      <c r="CJ385" s="194"/>
      <c r="CK385" s="194"/>
      <c r="CL385" s="194"/>
      <c r="CM385" s="194"/>
      <c r="CN385" s="194"/>
      <c r="CO385" s="194"/>
      <c r="CP385" s="194"/>
      <c r="CQ385" s="194"/>
      <c r="CR385" s="194"/>
      <c r="CS385" s="194"/>
      <c r="CT385" s="194"/>
      <c r="CU385" s="194"/>
      <c r="CV385" s="194"/>
      <c r="CW385" s="194"/>
      <c r="CX385" s="194"/>
      <c r="CY385" s="194"/>
      <c r="CZ385" s="194"/>
      <c r="DA385" s="194"/>
      <c r="DB385" s="194"/>
      <c r="DC385" s="194"/>
      <c r="DD385" s="194"/>
      <c r="DE385" s="194"/>
      <c r="DF385" s="194"/>
    </row>
    <row r="386" spans="2:110" s="192" customFormat="1" hidden="1" x14ac:dyDescent="0.35">
      <c r="B386" s="289"/>
      <c r="C386" s="289"/>
      <c r="Q386" s="193"/>
      <c r="R386" s="194">
        <f t="shared" si="281"/>
        <v>18</v>
      </c>
      <c r="S386" s="197">
        <f t="shared" si="247"/>
        <v>0.3888888888888889</v>
      </c>
      <c r="T386" s="194">
        <f t="shared" si="302"/>
        <v>0.69</v>
      </c>
      <c r="U386" s="194">
        <f t="shared" si="303"/>
        <v>1.4999999999999999E-4</v>
      </c>
      <c r="V386" s="197">
        <f t="shared" si="282"/>
        <v>0.3888888888888889</v>
      </c>
      <c r="W386" s="197">
        <f t="shared" si="248"/>
        <v>4.3555555555555561E-3</v>
      </c>
      <c r="X386" s="286">
        <f t="shared" si="249"/>
        <v>1</v>
      </c>
      <c r="Y386" s="286">
        <f t="shared" si="250"/>
        <v>0.17335969315081967</v>
      </c>
      <c r="Z386" s="286">
        <f t="shared" si="251"/>
        <v>0.54964853345132902</v>
      </c>
      <c r="AA386" s="286">
        <f t="shared" si="283"/>
        <v>0.17335969315081967</v>
      </c>
      <c r="AB386" s="197">
        <f t="shared" si="252"/>
        <v>0.36419974881911377</v>
      </c>
      <c r="AC386" s="287">
        <f t="shared" si="253"/>
        <v>4.4451203372005044E-7</v>
      </c>
      <c r="AD386" s="197">
        <f t="shared" si="284"/>
        <v>11.693936048110356</v>
      </c>
      <c r="AE386" s="197">
        <f t="shared" si="285"/>
        <v>35.08180814433107</v>
      </c>
      <c r="AF386" s="197">
        <f t="shared" si="286"/>
        <v>8.5178571428571423E-2</v>
      </c>
      <c r="AG386" s="197">
        <f t="shared" si="287"/>
        <v>0.25553571428571431</v>
      </c>
      <c r="AH386" s="197">
        <f t="shared" si="254"/>
        <v>0.11660930017110901</v>
      </c>
      <c r="AI386" s="197">
        <f t="shared" si="288"/>
        <v>0.11660930017110901</v>
      </c>
      <c r="AJ386" s="218">
        <f t="shared" si="255"/>
        <v>390.00000000000006</v>
      </c>
      <c r="AK386" s="197">
        <f t="shared" si="289"/>
        <v>6.0930617977437734E-2</v>
      </c>
      <c r="AL386" s="197">
        <f t="shared" si="290"/>
        <v>9.6203707235237593E-2</v>
      </c>
      <c r="AM386" s="197">
        <f t="shared" si="291"/>
        <v>4.0790371867740751E-3</v>
      </c>
      <c r="AN386" s="197">
        <f t="shared" si="256"/>
        <v>24.05</v>
      </c>
      <c r="AO386" s="197">
        <f t="shared" si="257"/>
        <v>21.69</v>
      </c>
      <c r="AP386" s="197">
        <f t="shared" si="292"/>
        <v>7.4093290390420161E-2</v>
      </c>
      <c r="AQ386" s="197">
        <f t="shared" si="293"/>
        <v>0.42250439890466829</v>
      </c>
      <c r="AR386" s="197">
        <f t="shared" si="294"/>
        <v>0.30589509873355925</v>
      </c>
      <c r="AS386" s="258">
        <f t="shared" si="295"/>
        <v>0.15228632177729159</v>
      </c>
      <c r="AT386" s="197">
        <f t="shared" si="258"/>
        <v>2.5974058656511614E-4</v>
      </c>
      <c r="AU386" s="194">
        <f t="shared" si="259"/>
        <v>21.19</v>
      </c>
      <c r="AV386" s="197">
        <f t="shared" si="260"/>
        <v>2.7E-2</v>
      </c>
      <c r="AW386" s="197">
        <f t="shared" si="261"/>
        <v>3.4260000000000002E-3</v>
      </c>
      <c r="AX386" s="197">
        <f t="shared" si="296"/>
        <v>6.1668000000000001E-2</v>
      </c>
      <c r="AY386" s="197">
        <f t="shared" si="262"/>
        <v>2.8867476000000005E-3</v>
      </c>
      <c r="AZ386" s="197">
        <f t="shared" si="263"/>
        <v>0</v>
      </c>
      <c r="BA386" s="197">
        <f t="shared" si="297"/>
        <v>7.2596940000000013E-2</v>
      </c>
      <c r="BB386" s="258">
        <f t="shared" si="264"/>
        <v>0.36575210336206115</v>
      </c>
      <c r="BC386" s="197">
        <f t="shared" si="265"/>
        <v>2.2380490766334034E-2</v>
      </c>
      <c r="BD386" s="197">
        <f t="shared" si="298"/>
        <v>4.4760981532668068E-3</v>
      </c>
      <c r="BE386" s="197">
        <f t="shared" si="299"/>
        <v>2.6856588919600841E-2</v>
      </c>
      <c r="BF386" s="197">
        <f t="shared" si="266"/>
        <v>0.20773291256157633</v>
      </c>
      <c r="BG386" s="197">
        <f t="shared" si="267"/>
        <v>5.4608303342508187E-4</v>
      </c>
      <c r="BH386" s="197">
        <f t="shared" si="268"/>
        <v>3.5336687086656722E-2</v>
      </c>
      <c r="BI386" s="197">
        <f t="shared" si="300"/>
        <v>0.44730899017824427</v>
      </c>
      <c r="BJ386" s="197">
        <f t="shared" si="269"/>
        <v>6.769615024661003</v>
      </c>
      <c r="BK386" s="288">
        <f t="shared" si="270"/>
        <v>0.93392401361838984</v>
      </c>
      <c r="BL386" s="197">
        <f t="shared" si="271"/>
        <v>0.37608972359227794</v>
      </c>
      <c r="BM386" s="197">
        <f t="shared" si="272"/>
        <v>7.4353030976985271E-2</v>
      </c>
      <c r="BN386" s="197">
        <f t="shared" si="273"/>
        <v>54.461181858619113</v>
      </c>
      <c r="BO386" s="197">
        <f t="shared" si="301"/>
        <v>0.2082789955950014</v>
      </c>
      <c r="BP386" s="197">
        <f t="shared" si="274"/>
        <v>65.620924669625111</v>
      </c>
      <c r="BQ386" s="197">
        <f t="shared" si="275"/>
        <v>9.9596940000000009E-2</v>
      </c>
      <c r="BR386" s="288">
        <f t="shared" si="276"/>
        <v>0.16008975919012108</v>
      </c>
      <c r="BS386" s="197">
        <f t="shared" si="277"/>
        <v>0.11660930017110901</v>
      </c>
      <c r="BT386" s="197">
        <f t="shared" si="278"/>
        <v>0.36419974881911377</v>
      </c>
      <c r="BU386" s="197">
        <f t="shared" si="279"/>
        <v>0.1713930788771201</v>
      </c>
      <c r="BV386" s="197">
        <f t="shared" si="280"/>
        <v>0.53530306917875781</v>
      </c>
      <c r="BW386" s="194"/>
      <c r="BX386" s="194"/>
      <c r="BY386" s="194"/>
      <c r="BZ386" s="194"/>
      <c r="CA386" s="194"/>
      <c r="CB386" s="194"/>
      <c r="CC386" s="194"/>
      <c r="CD386" s="194"/>
      <c r="CE386" s="194"/>
      <c r="CF386" s="194"/>
      <c r="CG386" s="194"/>
      <c r="CH386" s="194"/>
      <c r="CI386" s="194"/>
      <c r="CJ386" s="194"/>
      <c r="CK386" s="194"/>
      <c r="CL386" s="194"/>
      <c r="CM386" s="194"/>
      <c r="CN386" s="194"/>
      <c r="CO386" s="194"/>
      <c r="CP386" s="194"/>
      <c r="CQ386" s="194"/>
      <c r="CR386" s="194"/>
      <c r="CS386" s="194"/>
      <c r="CT386" s="194"/>
      <c r="CU386" s="194"/>
      <c r="CV386" s="194"/>
      <c r="CW386" s="194"/>
      <c r="CX386" s="194"/>
      <c r="CY386" s="194"/>
      <c r="CZ386" s="194"/>
      <c r="DA386" s="194"/>
      <c r="DB386" s="194"/>
      <c r="DC386" s="194"/>
      <c r="DD386" s="194"/>
      <c r="DE386" s="194"/>
      <c r="DF386" s="194"/>
    </row>
    <row r="387" spans="2:110" s="192" customFormat="1" hidden="1" x14ac:dyDescent="0.35">
      <c r="B387" s="289"/>
      <c r="C387" s="289"/>
      <c r="Q387" s="193"/>
      <c r="R387" s="194">
        <f t="shared" si="281"/>
        <v>18</v>
      </c>
      <c r="S387" s="197">
        <f t="shared" si="247"/>
        <v>0.3888888888888889</v>
      </c>
      <c r="T387" s="194">
        <f t="shared" si="302"/>
        <v>0.69</v>
      </c>
      <c r="U387" s="194">
        <f t="shared" si="303"/>
        <v>1.4999999999999999E-4</v>
      </c>
      <c r="V387" s="197">
        <f t="shared" si="282"/>
        <v>0.3888888888888889</v>
      </c>
      <c r="W387" s="197">
        <f t="shared" si="248"/>
        <v>4.3555555555555561E-3</v>
      </c>
      <c r="X387" s="286">
        <f t="shared" si="249"/>
        <v>1</v>
      </c>
      <c r="Y387" s="286">
        <f t="shared" si="250"/>
        <v>0.17335969315081967</v>
      </c>
      <c r="Z387" s="286">
        <f t="shared" si="251"/>
        <v>0.54964853345132902</v>
      </c>
      <c r="AA387" s="286">
        <f t="shared" si="283"/>
        <v>0.17335969315081967</v>
      </c>
      <c r="AB387" s="197">
        <f t="shared" si="252"/>
        <v>0.36419974881911377</v>
      </c>
      <c r="AC387" s="287">
        <f t="shared" si="253"/>
        <v>4.4451203372005044E-7</v>
      </c>
      <c r="AD387" s="197">
        <f t="shared" si="284"/>
        <v>11.693936048110356</v>
      </c>
      <c r="AE387" s="197">
        <f t="shared" si="285"/>
        <v>35.08180814433107</v>
      </c>
      <c r="AF387" s="197">
        <f t="shared" si="286"/>
        <v>8.5178571428571423E-2</v>
      </c>
      <c r="AG387" s="197">
        <f t="shared" si="287"/>
        <v>0.25553571428571431</v>
      </c>
      <c r="AH387" s="197">
        <f t="shared" si="254"/>
        <v>0.11660930017110901</v>
      </c>
      <c r="AI387" s="197">
        <f t="shared" si="288"/>
        <v>0.11660930017110901</v>
      </c>
      <c r="AJ387" s="218">
        <f t="shared" si="255"/>
        <v>390.00000000000006</v>
      </c>
      <c r="AK387" s="197">
        <f t="shared" si="289"/>
        <v>6.0930617977437734E-2</v>
      </c>
      <c r="AL387" s="197">
        <f t="shared" si="290"/>
        <v>9.6203707235237593E-2</v>
      </c>
      <c r="AM387" s="197">
        <f t="shared" si="291"/>
        <v>4.0790371867740751E-3</v>
      </c>
      <c r="AN387" s="197">
        <f t="shared" si="256"/>
        <v>24.05</v>
      </c>
      <c r="AO387" s="197">
        <f t="shared" si="257"/>
        <v>21.69</v>
      </c>
      <c r="AP387" s="197">
        <f t="shared" si="292"/>
        <v>7.4093290390420161E-2</v>
      </c>
      <c r="AQ387" s="197">
        <f t="shared" si="293"/>
        <v>0.42250439890466829</v>
      </c>
      <c r="AR387" s="197">
        <f t="shared" si="294"/>
        <v>0.30589509873355925</v>
      </c>
      <c r="AS387" s="258">
        <f t="shared" si="295"/>
        <v>0.15228632177729159</v>
      </c>
      <c r="AT387" s="197">
        <f t="shared" si="258"/>
        <v>2.5974058656511614E-4</v>
      </c>
      <c r="AU387" s="194">
        <f t="shared" si="259"/>
        <v>21.19</v>
      </c>
      <c r="AV387" s="197">
        <f t="shared" si="260"/>
        <v>2.7E-2</v>
      </c>
      <c r="AW387" s="197">
        <f t="shared" si="261"/>
        <v>3.4260000000000002E-3</v>
      </c>
      <c r="AX387" s="197">
        <f t="shared" si="296"/>
        <v>6.1668000000000001E-2</v>
      </c>
      <c r="AY387" s="197">
        <f t="shared" si="262"/>
        <v>2.8867476000000005E-3</v>
      </c>
      <c r="AZ387" s="197">
        <f t="shared" si="263"/>
        <v>0</v>
      </c>
      <c r="BA387" s="197">
        <f t="shared" si="297"/>
        <v>7.2596940000000013E-2</v>
      </c>
      <c r="BB387" s="258">
        <f t="shared" si="264"/>
        <v>0.36575210336206115</v>
      </c>
      <c r="BC387" s="197">
        <f t="shared" si="265"/>
        <v>2.2380490766334034E-2</v>
      </c>
      <c r="BD387" s="197">
        <f t="shared" si="298"/>
        <v>4.4760981532668068E-3</v>
      </c>
      <c r="BE387" s="197">
        <f t="shared" si="299"/>
        <v>2.6856588919600841E-2</v>
      </c>
      <c r="BF387" s="197">
        <f t="shared" si="266"/>
        <v>0.20773291256157633</v>
      </c>
      <c r="BG387" s="197">
        <f t="shared" si="267"/>
        <v>5.4608303342508187E-4</v>
      </c>
      <c r="BH387" s="197">
        <f t="shared" si="268"/>
        <v>3.5336687086656722E-2</v>
      </c>
      <c r="BI387" s="197">
        <f t="shared" si="300"/>
        <v>0.44730899017824427</v>
      </c>
      <c r="BJ387" s="197">
        <f t="shared" si="269"/>
        <v>6.769615024661003</v>
      </c>
      <c r="BK387" s="288">
        <f t="shared" si="270"/>
        <v>0.93392401361838984</v>
      </c>
      <c r="BL387" s="197">
        <f t="shared" si="271"/>
        <v>0.37608972359227794</v>
      </c>
      <c r="BM387" s="197">
        <f t="shared" si="272"/>
        <v>7.4353030976985271E-2</v>
      </c>
      <c r="BN387" s="197">
        <f t="shared" si="273"/>
        <v>54.461181858619113</v>
      </c>
      <c r="BO387" s="197">
        <f t="shared" si="301"/>
        <v>0.2082789955950014</v>
      </c>
      <c r="BP387" s="197">
        <f t="shared" si="274"/>
        <v>65.620924669625111</v>
      </c>
      <c r="BQ387" s="197">
        <f t="shared" si="275"/>
        <v>9.9596940000000009E-2</v>
      </c>
      <c r="BR387" s="288">
        <f t="shared" si="276"/>
        <v>0.16008975919012108</v>
      </c>
      <c r="BS387" s="197">
        <f t="shared" si="277"/>
        <v>0.11660930017110901</v>
      </c>
      <c r="BT387" s="197">
        <f t="shared" si="278"/>
        <v>0.36419974881911377</v>
      </c>
      <c r="BU387" s="197">
        <f t="shared" si="279"/>
        <v>0.1713930788771201</v>
      </c>
      <c r="BV387" s="197">
        <f t="shared" si="280"/>
        <v>0.53530306917875781</v>
      </c>
      <c r="BW387" s="194"/>
      <c r="BX387" s="194"/>
      <c r="BY387" s="194"/>
      <c r="BZ387" s="194"/>
      <c r="CA387" s="194"/>
      <c r="CB387" s="194"/>
      <c r="CC387" s="194"/>
      <c r="CD387" s="194"/>
      <c r="CE387" s="194"/>
      <c r="CF387" s="194"/>
      <c r="CG387" s="194"/>
      <c r="CH387" s="194"/>
      <c r="CI387" s="194"/>
      <c r="CJ387" s="194"/>
      <c r="CK387" s="194"/>
      <c r="CL387" s="194"/>
      <c r="CM387" s="194"/>
      <c r="CN387" s="194"/>
      <c r="CO387" s="194"/>
      <c r="CP387" s="194"/>
      <c r="CQ387" s="194"/>
      <c r="CR387" s="194"/>
      <c r="CS387" s="194"/>
      <c r="CT387" s="194"/>
      <c r="CU387" s="194"/>
      <c r="CV387" s="194"/>
      <c r="CW387" s="194"/>
      <c r="CX387" s="194"/>
      <c r="CY387" s="194"/>
      <c r="CZ387" s="194"/>
      <c r="DA387" s="194"/>
      <c r="DB387" s="194"/>
      <c r="DC387" s="194"/>
      <c r="DD387" s="194"/>
      <c r="DE387" s="194"/>
      <c r="DF387" s="194"/>
    </row>
    <row r="388" spans="2:110" s="192" customFormat="1" hidden="1" x14ac:dyDescent="0.35">
      <c r="B388" s="289"/>
      <c r="C388" s="289"/>
      <c r="Q388" s="193"/>
      <c r="R388" s="194">
        <f t="shared" si="281"/>
        <v>18</v>
      </c>
      <c r="S388" s="197">
        <f t="shared" si="247"/>
        <v>0.3888888888888889</v>
      </c>
      <c r="T388" s="194">
        <f t="shared" si="302"/>
        <v>0.69</v>
      </c>
      <c r="U388" s="194">
        <f t="shared" si="303"/>
        <v>1.4999999999999999E-4</v>
      </c>
      <c r="V388" s="197">
        <f t="shared" si="282"/>
        <v>0.3888888888888889</v>
      </c>
      <c r="W388" s="197">
        <f t="shared" si="248"/>
        <v>4.3555555555555561E-3</v>
      </c>
      <c r="X388" s="286">
        <f t="shared" si="249"/>
        <v>1</v>
      </c>
      <c r="Y388" s="286">
        <f t="shared" si="250"/>
        <v>0.17335969315081967</v>
      </c>
      <c r="Z388" s="286">
        <f t="shared" si="251"/>
        <v>0.54964853345132902</v>
      </c>
      <c r="AA388" s="286">
        <f t="shared" si="283"/>
        <v>0.17335969315081967</v>
      </c>
      <c r="AB388" s="197">
        <f t="shared" si="252"/>
        <v>0.36419974881911377</v>
      </c>
      <c r="AC388" s="287">
        <f t="shared" si="253"/>
        <v>4.4451203372005044E-7</v>
      </c>
      <c r="AD388" s="197">
        <f t="shared" si="284"/>
        <v>11.693936048110356</v>
      </c>
      <c r="AE388" s="197">
        <f t="shared" si="285"/>
        <v>35.08180814433107</v>
      </c>
      <c r="AF388" s="197">
        <f t="shared" si="286"/>
        <v>8.5178571428571423E-2</v>
      </c>
      <c r="AG388" s="197">
        <f t="shared" si="287"/>
        <v>0.25553571428571431</v>
      </c>
      <c r="AH388" s="197">
        <f t="shared" si="254"/>
        <v>0.11660930017110901</v>
      </c>
      <c r="AI388" s="197">
        <f t="shared" si="288"/>
        <v>0.11660930017110901</v>
      </c>
      <c r="AJ388" s="218">
        <f t="shared" si="255"/>
        <v>390.00000000000006</v>
      </c>
      <c r="AK388" s="197">
        <f t="shared" si="289"/>
        <v>6.0930617977437734E-2</v>
      </c>
      <c r="AL388" s="197">
        <f t="shared" si="290"/>
        <v>9.6203707235237593E-2</v>
      </c>
      <c r="AM388" s="197">
        <f t="shared" si="291"/>
        <v>4.0790371867740751E-3</v>
      </c>
      <c r="AN388" s="197">
        <f t="shared" si="256"/>
        <v>24.05</v>
      </c>
      <c r="AO388" s="197">
        <f t="shared" si="257"/>
        <v>21.69</v>
      </c>
      <c r="AP388" s="197">
        <f t="shared" si="292"/>
        <v>7.4093290390420161E-2</v>
      </c>
      <c r="AQ388" s="197">
        <f t="shared" si="293"/>
        <v>0.42250439890466829</v>
      </c>
      <c r="AR388" s="197">
        <f t="shared" si="294"/>
        <v>0.30589509873355925</v>
      </c>
      <c r="AS388" s="258">
        <f t="shared" si="295"/>
        <v>0.15228632177729159</v>
      </c>
      <c r="AT388" s="197">
        <f t="shared" si="258"/>
        <v>2.5974058656511614E-4</v>
      </c>
      <c r="AU388" s="194">
        <f t="shared" si="259"/>
        <v>21.19</v>
      </c>
      <c r="AV388" s="197">
        <f t="shared" si="260"/>
        <v>2.7E-2</v>
      </c>
      <c r="AW388" s="197">
        <f t="shared" si="261"/>
        <v>3.4260000000000002E-3</v>
      </c>
      <c r="AX388" s="197">
        <f t="shared" si="296"/>
        <v>6.1668000000000001E-2</v>
      </c>
      <c r="AY388" s="197">
        <f t="shared" si="262"/>
        <v>2.8867476000000005E-3</v>
      </c>
      <c r="AZ388" s="197">
        <f t="shared" si="263"/>
        <v>0</v>
      </c>
      <c r="BA388" s="197">
        <f t="shared" si="297"/>
        <v>7.2596940000000013E-2</v>
      </c>
      <c r="BB388" s="258">
        <f t="shared" si="264"/>
        <v>0.36575210336206115</v>
      </c>
      <c r="BC388" s="197">
        <f t="shared" si="265"/>
        <v>2.2380490766334034E-2</v>
      </c>
      <c r="BD388" s="197">
        <f t="shared" si="298"/>
        <v>4.4760981532668068E-3</v>
      </c>
      <c r="BE388" s="197">
        <f t="shared" si="299"/>
        <v>2.6856588919600841E-2</v>
      </c>
      <c r="BF388" s="197">
        <f t="shared" si="266"/>
        <v>0.20773291256157633</v>
      </c>
      <c r="BG388" s="197">
        <f t="shared" si="267"/>
        <v>5.4608303342508187E-4</v>
      </c>
      <c r="BH388" s="197">
        <f t="shared" si="268"/>
        <v>3.5336687086656722E-2</v>
      </c>
      <c r="BI388" s="197">
        <f t="shared" si="300"/>
        <v>0.44730899017824427</v>
      </c>
      <c r="BJ388" s="197">
        <f t="shared" si="269"/>
        <v>6.769615024661003</v>
      </c>
      <c r="BK388" s="288">
        <f t="shared" si="270"/>
        <v>0.93392401361838984</v>
      </c>
      <c r="BL388" s="197">
        <f t="shared" si="271"/>
        <v>0.37608972359227794</v>
      </c>
      <c r="BM388" s="197">
        <f t="shared" si="272"/>
        <v>7.4353030976985271E-2</v>
      </c>
      <c r="BN388" s="197">
        <f t="shared" si="273"/>
        <v>54.461181858619113</v>
      </c>
      <c r="BO388" s="197">
        <f t="shared" si="301"/>
        <v>0.2082789955950014</v>
      </c>
      <c r="BP388" s="197">
        <f t="shared" si="274"/>
        <v>65.620924669625111</v>
      </c>
      <c r="BQ388" s="197">
        <f t="shared" si="275"/>
        <v>9.9596940000000009E-2</v>
      </c>
      <c r="BR388" s="288">
        <f t="shared" si="276"/>
        <v>0.16008975919012108</v>
      </c>
      <c r="BS388" s="197">
        <f t="shared" si="277"/>
        <v>0.11660930017110901</v>
      </c>
      <c r="BT388" s="197">
        <f t="shared" si="278"/>
        <v>0.36419974881911377</v>
      </c>
      <c r="BU388" s="197">
        <f t="shared" si="279"/>
        <v>0.1713930788771201</v>
      </c>
      <c r="BV388" s="197">
        <f t="shared" si="280"/>
        <v>0.53530306917875781</v>
      </c>
      <c r="BW388" s="194"/>
      <c r="BX388" s="194"/>
      <c r="BY388" s="194"/>
      <c r="BZ388" s="194"/>
      <c r="CA388" s="194"/>
      <c r="CB388" s="194"/>
      <c r="CC388" s="194"/>
      <c r="CD388" s="194"/>
      <c r="CE388" s="194"/>
      <c r="CF388" s="194"/>
      <c r="CG388" s="194"/>
      <c r="CH388" s="194"/>
      <c r="CI388" s="194"/>
      <c r="CJ388" s="194"/>
      <c r="CK388" s="194"/>
      <c r="CL388" s="194"/>
      <c r="CM388" s="194"/>
      <c r="CN388" s="194"/>
      <c r="CO388" s="194"/>
      <c r="CP388" s="194"/>
      <c r="CQ388" s="194"/>
      <c r="CR388" s="194"/>
      <c r="CS388" s="194"/>
      <c r="CT388" s="194"/>
      <c r="CU388" s="194"/>
      <c r="CV388" s="194"/>
      <c r="CW388" s="194"/>
      <c r="CX388" s="194"/>
      <c r="CY388" s="194"/>
      <c r="CZ388" s="194"/>
      <c r="DA388" s="194"/>
      <c r="DB388" s="194"/>
      <c r="DC388" s="194"/>
      <c r="DD388" s="194"/>
      <c r="DE388" s="194"/>
      <c r="DF388" s="194"/>
    </row>
    <row r="389" spans="2:110" s="192" customFormat="1" hidden="1" x14ac:dyDescent="0.35">
      <c r="B389" s="289"/>
      <c r="C389" s="289"/>
      <c r="Q389" s="193"/>
      <c r="R389" s="194">
        <f t="shared" si="281"/>
        <v>18</v>
      </c>
      <c r="S389" s="197">
        <f t="shared" si="247"/>
        <v>0.3888888888888889</v>
      </c>
      <c r="T389" s="194">
        <f t="shared" si="302"/>
        <v>0.69</v>
      </c>
      <c r="U389" s="194">
        <f t="shared" si="303"/>
        <v>1.4999999999999999E-4</v>
      </c>
      <c r="V389" s="197">
        <f t="shared" si="282"/>
        <v>0.3888888888888889</v>
      </c>
      <c r="W389" s="197">
        <f t="shared" si="248"/>
        <v>4.3555555555555561E-3</v>
      </c>
      <c r="X389" s="286">
        <f t="shared" si="249"/>
        <v>1</v>
      </c>
      <c r="Y389" s="286">
        <f t="shared" si="250"/>
        <v>0.17335969315081967</v>
      </c>
      <c r="Z389" s="286">
        <f t="shared" si="251"/>
        <v>0.54964853345132902</v>
      </c>
      <c r="AA389" s="286">
        <f t="shared" si="283"/>
        <v>0.17335969315081967</v>
      </c>
      <c r="AB389" s="197">
        <f t="shared" si="252"/>
        <v>0.36419974881911377</v>
      </c>
      <c r="AC389" s="287">
        <f t="shared" si="253"/>
        <v>4.4451203372005044E-7</v>
      </c>
      <c r="AD389" s="197">
        <f t="shared" si="284"/>
        <v>11.693936048110356</v>
      </c>
      <c r="AE389" s="197">
        <f t="shared" si="285"/>
        <v>35.08180814433107</v>
      </c>
      <c r="AF389" s="197">
        <f t="shared" si="286"/>
        <v>8.5178571428571423E-2</v>
      </c>
      <c r="AG389" s="197">
        <f t="shared" si="287"/>
        <v>0.25553571428571431</v>
      </c>
      <c r="AH389" s="197">
        <f t="shared" si="254"/>
        <v>0.11660930017110901</v>
      </c>
      <c r="AI389" s="197">
        <f t="shared" si="288"/>
        <v>0.11660930017110901</v>
      </c>
      <c r="AJ389" s="218">
        <f t="shared" si="255"/>
        <v>390.00000000000006</v>
      </c>
      <c r="AK389" s="197">
        <f t="shared" si="289"/>
        <v>6.0930617977437734E-2</v>
      </c>
      <c r="AL389" s="197">
        <f t="shared" si="290"/>
        <v>9.6203707235237593E-2</v>
      </c>
      <c r="AM389" s="197">
        <f t="shared" si="291"/>
        <v>4.0790371867740751E-3</v>
      </c>
      <c r="AN389" s="197">
        <f t="shared" si="256"/>
        <v>24.05</v>
      </c>
      <c r="AO389" s="197">
        <f t="shared" si="257"/>
        <v>21.69</v>
      </c>
      <c r="AP389" s="197">
        <f t="shared" si="292"/>
        <v>7.4093290390420161E-2</v>
      </c>
      <c r="AQ389" s="197">
        <f t="shared" si="293"/>
        <v>0.42250439890466829</v>
      </c>
      <c r="AR389" s="197">
        <f t="shared" si="294"/>
        <v>0.30589509873355925</v>
      </c>
      <c r="AS389" s="258">
        <f t="shared" si="295"/>
        <v>0.15228632177729159</v>
      </c>
      <c r="AT389" s="197">
        <f t="shared" si="258"/>
        <v>2.5974058656511614E-4</v>
      </c>
      <c r="AU389" s="194">
        <f t="shared" si="259"/>
        <v>21.19</v>
      </c>
      <c r="AV389" s="197">
        <f t="shared" si="260"/>
        <v>2.7E-2</v>
      </c>
      <c r="AW389" s="197">
        <f t="shared" si="261"/>
        <v>3.4260000000000002E-3</v>
      </c>
      <c r="AX389" s="197">
        <f t="shared" si="296"/>
        <v>6.1668000000000001E-2</v>
      </c>
      <c r="AY389" s="197">
        <f t="shared" si="262"/>
        <v>2.8867476000000005E-3</v>
      </c>
      <c r="AZ389" s="197">
        <f t="shared" si="263"/>
        <v>0</v>
      </c>
      <c r="BA389" s="197">
        <f t="shared" si="297"/>
        <v>7.2596940000000013E-2</v>
      </c>
      <c r="BB389" s="258">
        <f t="shared" si="264"/>
        <v>0.36575210336206115</v>
      </c>
      <c r="BC389" s="197">
        <f t="shared" si="265"/>
        <v>2.2380490766334034E-2</v>
      </c>
      <c r="BD389" s="197">
        <f t="shared" si="298"/>
        <v>4.4760981532668068E-3</v>
      </c>
      <c r="BE389" s="197">
        <f t="shared" si="299"/>
        <v>2.6856588919600841E-2</v>
      </c>
      <c r="BF389" s="197">
        <f t="shared" si="266"/>
        <v>0.20773291256157633</v>
      </c>
      <c r="BG389" s="197">
        <f t="shared" si="267"/>
        <v>5.4608303342508187E-4</v>
      </c>
      <c r="BH389" s="197">
        <f t="shared" si="268"/>
        <v>3.5336687086656722E-2</v>
      </c>
      <c r="BI389" s="197">
        <f t="shared" si="300"/>
        <v>0.44730899017824427</v>
      </c>
      <c r="BJ389" s="197">
        <f t="shared" si="269"/>
        <v>6.769615024661003</v>
      </c>
      <c r="BK389" s="288">
        <f t="shared" si="270"/>
        <v>0.93392401361838984</v>
      </c>
      <c r="BL389" s="197">
        <f t="shared" si="271"/>
        <v>0.37608972359227794</v>
      </c>
      <c r="BM389" s="197">
        <f t="shared" si="272"/>
        <v>7.4353030976985271E-2</v>
      </c>
      <c r="BN389" s="197">
        <f t="shared" si="273"/>
        <v>54.461181858619113</v>
      </c>
      <c r="BO389" s="197">
        <f t="shared" si="301"/>
        <v>0.2082789955950014</v>
      </c>
      <c r="BP389" s="197">
        <f t="shared" si="274"/>
        <v>65.620924669625111</v>
      </c>
      <c r="BQ389" s="197">
        <f t="shared" si="275"/>
        <v>9.9596940000000009E-2</v>
      </c>
      <c r="BR389" s="288">
        <f t="shared" si="276"/>
        <v>0.16008975919012108</v>
      </c>
      <c r="BS389" s="197">
        <f t="shared" si="277"/>
        <v>0.11660930017110901</v>
      </c>
      <c r="BT389" s="197">
        <f t="shared" si="278"/>
        <v>0.36419974881911377</v>
      </c>
      <c r="BU389" s="197">
        <f t="shared" si="279"/>
        <v>0.1713930788771201</v>
      </c>
      <c r="BV389" s="197">
        <f t="shared" si="280"/>
        <v>0.53530306917875781</v>
      </c>
      <c r="BW389" s="194"/>
      <c r="BX389" s="194"/>
      <c r="BY389" s="194"/>
      <c r="BZ389" s="194"/>
      <c r="CA389" s="194"/>
      <c r="CB389" s="194"/>
      <c r="CC389" s="194"/>
      <c r="CD389" s="194"/>
      <c r="CE389" s="194"/>
      <c r="CF389" s="194"/>
      <c r="CG389" s="194"/>
      <c r="CH389" s="194"/>
      <c r="CI389" s="194"/>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row>
    <row r="390" spans="2:110" s="192" customFormat="1" hidden="1" x14ac:dyDescent="0.35">
      <c r="B390" s="289"/>
      <c r="C390" s="289"/>
      <c r="Q390" s="193"/>
      <c r="R390" s="194">
        <f t="shared" si="281"/>
        <v>18</v>
      </c>
      <c r="S390" s="197">
        <f t="shared" si="247"/>
        <v>0.3888888888888889</v>
      </c>
      <c r="T390" s="194">
        <f t="shared" si="302"/>
        <v>0.69</v>
      </c>
      <c r="U390" s="194">
        <f t="shared" si="303"/>
        <v>1.4999999999999999E-4</v>
      </c>
      <c r="V390" s="197">
        <f t="shared" si="282"/>
        <v>0.3888888888888889</v>
      </c>
      <c r="W390" s="197">
        <f t="shared" si="248"/>
        <v>4.3555555555555561E-3</v>
      </c>
      <c r="X390" s="286">
        <f t="shared" si="249"/>
        <v>1</v>
      </c>
      <c r="Y390" s="286">
        <f t="shared" si="250"/>
        <v>0.17335969315081967</v>
      </c>
      <c r="Z390" s="286">
        <f t="shared" si="251"/>
        <v>0.54964853345132902</v>
      </c>
      <c r="AA390" s="286">
        <f t="shared" si="283"/>
        <v>0.17335969315081967</v>
      </c>
      <c r="AB390" s="197">
        <f t="shared" si="252"/>
        <v>0.36419974881911377</v>
      </c>
      <c r="AC390" s="287">
        <f t="shared" si="253"/>
        <v>4.4451203372005044E-7</v>
      </c>
      <c r="AD390" s="197">
        <f t="shared" si="284"/>
        <v>11.693936048110356</v>
      </c>
      <c r="AE390" s="197">
        <f t="shared" si="285"/>
        <v>35.08180814433107</v>
      </c>
      <c r="AF390" s="197">
        <f t="shared" si="286"/>
        <v>8.5178571428571423E-2</v>
      </c>
      <c r="AG390" s="197">
        <f t="shared" si="287"/>
        <v>0.25553571428571431</v>
      </c>
      <c r="AH390" s="197">
        <f t="shared" si="254"/>
        <v>0.11660930017110901</v>
      </c>
      <c r="AI390" s="197">
        <f t="shared" si="288"/>
        <v>0.11660930017110901</v>
      </c>
      <c r="AJ390" s="218">
        <f t="shared" si="255"/>
        <v>390.00000000000006</v>
      </c>
      <c r="AK390" s="197">
        <f t="shared" si="289"/>
        <v>6.0930617977437734E-2</v>
      </c>
      <c r="AL390" s="197">
        <f t="shared" si="290"/>
        <v>9.6203707235237593E-2</v>
      </c>
      <c r="AM390" s="197">
        <f t="shared" si="291"/>
        <v>4.0790371867740751E-3</v>
      </c>
      <c r="AN390" s="197">
        <f t="shared" si="256"/>
        <v>24.05</v>
      </c>
      <c r="AO390" s="197">
        <f t="shared" si="257"/>
        <v>21.69</v>
      </c>
      <c r="AP390" s="197">
        <f t="shared" si="292"/>
        <v>7.4093290390420161E-2</v>
      </c>
      <c r="AQ390" s="197">
        <f t="shared" si="293"/>
        <v>0.42250439890466829</v>
      </c>
      <c r="AR390" s="197">
        <f t="shared" si="294"/>
        <v>0.30589509873355925</v>
      </c>
      <c r="AS390" s="258">
        <f t="shared" si="295"/>
        <v>0.15228632177729159</v>
      </c>
      <c r="AT390" s="197">
        <f t="shared" si="258"/>
        <v>2.5974058656511614E-4</v>
      </c>
      <c r="AU390" s="194">
        <f t="shared" si="259"/>
        <v>21.19</v>
      </c>
      <c r="AV390" s="197">
        <f t="shared" si="260"/>
        <v>2.7E-2</v>
      </c>
      <c r="AW390" s="197">
        <f t="shared" si="261"/>
        <v>3.4260000000000002E-3</v>
      </c>
      <c r="AX390" s="197">
        <f t="shared" si="296"/>
        <v>6.1668000000000001E-2</v>
      </c>
      <c r="AY390" s="197">
        <f t="shared" si="262"/>
        <v>2.8867476000000005E-3</v>
      </c>
      <c r="AZ390" s="197">
        <f t="shared" si="263"/>
        <v>0</v>
      </c>
      <c r="BA390" s="197">
        <f t="shared" si="297"/>
        <v>7.2596940000000013E-2</v>
      </c>
      <c r="BB390" s="258">
        <f t="shared" si="264"/>
        <v>0.36575210336206115</v>
      </c>
      <c r="BC390" s="197">
        <f t="shared" si="265"/>
        <v>2.2380490766334034E-2</v>
      </c>
      <c r="BD390" s="197">
        <f t="shared" si="298"/>
        <v>4.4760981532668068E-3</v>
      </c>
      <c r="BE390" s="197">
        <f t="shared" si="299"/>
        <v>2.6856588919600841E-2</v>
      </c>
      <c r="BF390" s="197">
        <f t="shared" si="266"/>
        <v>0.20773291256157633</v>
      </c>
      <c r="BG390" s="197">
        <f t="shared" si="267"/>
        <v>5.4608303342508187E-4</v>
      </c>
      <c r="BH390" s="197">
        <f t="shared" si="268"/>
        <v>3.5336687086656722E-2</v>
      </c>
      <c r="BI390" s="197">
        <f t="shared" si="300"/>
        <v>0.44730899017824427</v>
      </c>
      <c r="BJ390" s="197">
        <f t="shared" si="269"/>
        <v>6.769615024661003</v>
      </c>
      <c r="BK390" s="288">
        <f t="shared" si="270"/>
        <v>0.93392401361838984</v>
      </c>
      <c r="BL390" s="197">
        <f t="shared" si="271"/>
        <v>0.37608972359227794</v>
      </c>
      <c r="BM390" s="197">
        <f t="shared" si="272"/>
        <v>7.4353030976985271E-2</v>
      </c>
      <c r="BN390" s="197">
        <f t="shared" si="273"/>
        <v>54.461181858619113</v>
      </c>
      <c r="BO390" s="197">
        <f t="shared" si="301"/>
        <v>0.2082789955950014</v>
      </c>
      <c r="BP390" s="197">
        <f t="shared" si="274"/>
        <v>65.620924669625111</v>
      </c>
      <c r="BQ390" s="197">
        <f t="shared" si="275"/>
        <v>9.9596940000000009E-2</v>
      </c>
      <c r="BR390" s="288">
        <f t="shared" si="276"/>
        <v>0.16008975919012108</v>
      </c>
      <c r="BS390" s="197">
        <f t="shared" si="277"/>
        <v>0.11660930017110901</v>
      </c>
      <c r="BT390" s="197">
        <f t="shared" si="278"/>
        <v>0.36419974881911377</v>
      </c>
      <c r="BU390" s="197">
        <f t="shared" si="279"/>
        <v>0.1713930788771201</v>
      </c>
      <c r="BV390" s="197">
        <f t="shared" si="280"/>
        <v>0.53530306917875781</v>
      </c>
      <c r="BW390" s="194"/>
      <c r="BX390" s="194"/>
      <c r="BY390" s="194"/>
      <c r="BZ390" s="194"/>
      <c r="CA390" s="194"/>
      <c r="CB390" s="194"/>
      <c r="CC390" s="194"/>
      <c r="CD390" s="194"/>
      <c r="CE390" s="194"/>
      <c r="CF390" s="194"/>
      <c r="CG390" s="194"/>
      <c r="CH390" s="194"/>
      <c r="CI390" s="194"/>
      <c r="CJ390" s="194"/>
      <c r="CK390" s="194"/>
      <c r="CL390" s="194"/>
      <c r="CM390" s="194"/>
      <c r="CN390" s="194"/>
      <c r="CO390" s="194"/>
      <c r="CP390" s="194"/>
      <c r="CQ390" s="194"/>
      <c r="CR390" s="194"/>
      <c r="CS390" s="194"/>
      <c r="CT390" s="194"/>
      <c r="CU390" s="194"/>
      <c r="CV390" s="194"/>
      <c r="CW390" s="194"/>
      <c r="CX390" s="194"/>
      <c r="CY390" s="194"/>
      <c r="CZ390" s="194"/>
      <c r="DA390" s="194"/>
      <c r="DB390" s="194"/>
      <c r="DC390" s="194"/>
      <c r="DD390" s="194"/>
      <c r="DE390" s="194"/>
      <c r="DF390" s="194"/>
    </row>
    <row r="391" spans="2:110" s="192" customFormat="1" hidden="1" x14ac:dyDescent="0.35">
      <c r="B391" s="289"/>
      <c r="C391" s="289"/>
      <c r="Q391" s="193"/>
      <c r="R391" s="194">
        <f t="shared" si="281"/>
        <v>18</v>
      </c>
      <c r="S391" s="197">
        <f t="shared" si="247"/>
        <v>0.3888888888888889</v>
      </c>
      <c r="T391" s="194">
        <f t="shared" si="302"/>
        <v>0.69</v>
      </c>
      <c r="U391" s="194">
        <f t="shared" si="303"/>
        <v>1.4999999999999999E-4</v>
      </c>
      <c r="V391" s="197">
        <f t="shared" si="282"/>
        <v>0.3888888888888889</v>
      </c>
      <c r="W391" s="197">
        <f t="shared" si="248"/>
        <v>4.3555555555555561E-3</v>
      </c>
      <c r="X391" s="286">
        <f t="shared" si="249"/>
        <v>1</v>
      </c>
      <c r="Y391" s="286">
        <f t="shared" si="250"/>
        <v>0.17335969315081967</v>
      </c>
      <c r="Z391" s="286">
        <f t="shared" si="251"/>
        <v>0.54964853345132902</v>
      </c>
      <c r="AA391" s="286">
        <f t="shared" si="283"/>
        <v>0.17335969315081967</v>
      </c>
      <c r="AB391" s="197">
        <f t="shared" si="252"/>
        <v>0.36419974881911377</v>
      </c>
      <c r="AC391" s="287">
        <f t="shared" si="253"/>
        <v>4.4451203372005044E-7</v>
      </c>
      <c r="AD391" s="197">
        <f t="shared" si="284"/>
        <v>11.693936048110356</v>
      </c>
      <c r="AE391" s="197">
        <f t="shared" si="285"/>
        <v>35.08180814433107</v>
      </c>
      <c r="AF391" s="197">
        <f t="shared" si="286"/>
        <v>8.5178571428571423E-2</v>
      </c>
      <c r="AG391" s="197">
        <f t="shared" si="287"/>
        <v>0.25553571428571431</v>
      </c>
      <c r="AH391" s="197">
        <f t="shared" si="254"/>
        <v>0.11660930017110901</v>
      </c>
      <c r="AI391" s="197">
        <f t="shared" si="288"/>
        <v>0.11660930017110901</v>
      </c>
      <c r="AJ391" s="218">
        <f t="shared" si="255"/>
        <v>390.00000000000006</v>
      </c>
      <c r="AK391" s="197">
        <f t="shared" si="289"/>
        <v>6.0930617977437734E-2</v>
      </c>
      <c r="AL391" s="197">
        <f t="shared" si="290"/>
        <v>9.6203707235237593E-2</v>
      </c>
      <c r="AM391" s="197">
        <f t="shared" si="291"/>
        <v>4.0790371867740751E-3</v>
      </c>
      <c r="AN391" s="197">
        <f t="shared" si="256"/>
        <v>24.05</v>
      </c>
      <c r="AO391" s="197">
        <f t="shared" si="257"/>
        <v>21.69</v>
      </c>
      <c r="AP391" s="197">
        <f t="shared" si="292"/>
        <v>7.4093290390420161E-2</v>
      </c>
      <c r="AQ391" s="197">
        <f t="shared" si="293"/>
        <v>0.42250439890466829</v>
      </c>
      <c r="AR391" s="197">
        <f t="shared" si="294"/>
        <v>0.30589509873355925</v>
      </c>
      <c r="AS391" s="258">
        <f t="shared" si="295"/>
        <v>0.15228632177729159</v>
      </c>
      <c r="AT391" s="197">
        <f t="shared" si="258"/>
        <v>2.5974058656511614E-4</v>
      </c>
      <c r="AU391" s="194">
        <f t="shared" si="259"/>
        <v>21.19</v>
      </c>
      <c r="AV391" s="197">
        <f t="shared" si="260"/>
        <v>2.7E-2</v>
      </c>
      <c r="AW391" s="197">
        <f t="shared" si="261"/>
        <v>3.4260000000000002E-3</v>
      </c>
      <c r="AX391" s="197">
        <f t="shared" si="296"/>
        <v>6.1668000000000001E-2</v>
      </c>
      <c r="AY391" s="197">
        <f t="shared" si="262"/>
        <v>2.8867476000000005E-3</v>
      </c>
      <c r="AZ391" s="197">
        <f t="shared" si="263"/>
        <v>0</v>
      </c>
      <c r="BA391" s="197">
        <f t="shared" si="297"/>
        <v>7.2596940000000013E-2</v>
      </c>
      <c r="BB391" s="258">
        <f t="shared" si="264"/>
        <v>0.36575210336206115</v>
      </c>
      <c r="BC391" s="197">
        <f t="shared" si="265"/>
        <v>2.2380490766334034E-2</v>
      </c>
      <c r="BD391" s="197">
        <f t="shared" si="298"/>
        <v>4.4760981532668068E-3</v>
      </c>
      <c r="BE391" s="197">
        <f t="shared" si="299"/>
        <v>2.6856588919600841E-2</v>
      </c>
      <c r="BF391" s="197">
        <f t="shared" si="266"/>
        <v>0.20773291256157633</v>
      </c>
      <c r="BG391" s="197">
        <f t="shared" si="267"/>
        <v>5.4608303342508187E-4</v>
      </c>
      <c r="BH391" s="197">
        <f t="shared" si="268"/>
        <v>3.5336687086656722E-2</v>
      </c>
      <c r="BI391" s="197">
        <f t="shared" si="300"/>
        <v>0.44730899017824427</v>
      </c>
      <c r="BJ391" s="197">
        <f t="shared" si="269"/>
        <v>6.769615024661003</v>
      </c>
      <c r="BK391" s="288">
        <f t="shared" si="270"/>
        <v>0.93392401361838984</v>
      </c>
      <c r="BL391" s="197">
        <f t="shared" si="271"/>
        <v>0.37608972359227794</v>
      </c>
      <c r="BM391" s="197">
        <f t="shared" si="272"/>
        <v>7.4353030976985271E-2</v>
      </c>
      <c r="BN391" s="197">
        <f t="shared" si="273"/>
        <v>54.461181858619113</v>
      </c>
      <c r="BO391" s="197">
        <f t="shared" si="301"/>
        <v>0.2082789955950014</v>
      </c>
      <c r="BP391" s="197">
        <f t="shared" si="274"/>
        <v>65.620924669625111</v>
      </c>
      <c r="BQ391" s="197">
        <f t="shared" si="275"/>
        <v>9.9596940000000009E-2</v>
      </c>
      <c r="BR391" s="288">
        <f t="shared" si="276"/>
        <v>0.16008975919012108</v>
      </c>
      <c r="BS391" s="197">
        <f t="shared" si="277"/>
        <v>0.11660930017110901</v>
      </c>
      <c r="BT391" s="197">
        <f t="shared" si="278"/>
        <v>0.36419974881911377</v>
      </c>
      <c r="BU391" s="197">
        <f t="shared" si="279"/>
        <v>0.1713930788771201</v>
      </c>
      <c r="BV391" s="197">
        <f t="shared" si="280"/>
        <v>0.53530306917875781</v>
      </c>
      <c r="BW391" s="194"/>
      <c r="BX391" s="194"/>
      <c r="BY391" s="194"/>
      <c r="BZ391" s="194"/>
      <c r="CA391" s="194"/>
      <c r="CB391" s="194"/>
      <c r="CC391" s="194"/>
      <c r="CD391" s="194"/>
      <c r="CE391" s="194"/>
      <c r="CF391" s="194"/>
      <c r="CG391" s="194"/>
      <c r="CH391" s="194"/>
      <c r="CI391" s="194"/>
      <c r="CJ391" s="194"/>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row>
    <row r="392" spans="2:110" s="192" customFormat="1" hidden="1" x14ac:dyDescent="0.35">
      <c r="B392" s="289"/>
      <c r="C392" s="289"/>
      <c r="Q392" s="193"/>
      <c r="R392" s="194">
        <f t="shared" si="281"/>
        <v>18</v>
      </c>
      <c r="S392" s="197">
        <f t="shared" si="247"/>
        <v>0.3888888888888889</v>
      </c>
      <c r="T392" s="194">
        <f t="shared" si="302"/>
        <v>0.69</v>
      </c>
      <c r="U392" s="194">
        <f t="shared" si="303"/>
        <v>1.4999999999999999E-4</v>
      </c>
      <c r="V392" s="197">
        <f t="shared" si="282"/>
        <v>0.3888888888888889</v>
      </c>
      <c r="W392" s="197">
        <f t="shared" si="248"/>
        <v>4.3555555555555561E-3</v>
      </c>
      <c r="X392" s="286">
        <f t="shared" si="249"/>
        <v>1</v>
      </c>
      <c r="Y392" s="286">
        <f t="shared" si="250"/>
        <v>0.17335969315081967</v>
      </c>
      <c r="Z392" s="286">
        <f t="shared" si="251"/>
        <v>0.54964853345132902</v>
      </c>
      <c r="AA392" s="286">
        <f t="shared" si="283"/>
        <v>0.17335969315081967</v>
      </c>
      <c r="AB392" s="197">
        <f t="shared" si="252"/>
        <v>0.36419974881911377</v>
      </c>
      <c r="AC392" s="287">
        <f t="shared" si="253"/>
        <v>4.4451203372005044E-7</v>
      </c>
      <c r="AD392" s="197">
        <f t="shared" si="284"/>
        <v>11.693936048110356</v>
      </c>
      <c r="AE392" s="197">
        <f t="shared" si="285"/>
        <v>35.08180814433107</v>
      </c>
      <c r="AF392" s="197">
        <f t="shared" si="286"/>
        <v>8.5178571428571423E-2</v>
      </c>
      <c r="AG392" s="197">
        <f t="shared" si="287"/>
        <v>0.25553571428571431</v>
      </c>
      <c r="AH392" s="197">
        <f t="shared" si="254"/>
        <v>0.11660930017110901</v>
      </c>
      <c r="AI392" s="197">
        <f t="shared" si="288"/>
        <v>0.11660930017110901</v>
      </c>
      <c r="AJ392" s="218">
        <f t="shared" si="255"/>
        <v>390.00000000000006</v>
      </c>
      <c r="AK392" s="197">
        <f t="shared" si="289"/>
        <v>6.0930617977437734E-2</v>
      </c>
      <c r="AL392" s="197">
        <f t="shared" si="290"/>
        <v>9.6203707235237593E-2</v>
      </c>
      <c r="AM392" s="197">
        <f t="shared" si="291"/>
        <v>4.0790371867740751E-3</v>
      </c>
      <c r="AN392" s="197">
        <f t="shared" si="256"/>
        <v>24.05</v>
      </c>
      <c r="AO392" s="197">
        <f t="shared" si="257"/>
        <v>21.69</v>
      </c>
      <c r="AP392" s="197">
        <f t="shared" si="292"/>
        <v>7.4093290390420161E-2</v>
      </c>
      <c r="AQ392" s="197">
        <f t="shared" si="293"/>
        <v>0.42250439890466829</v>
      </c>
      <c r="AR392" s="197">
        <f t="shared" si="294"/>
        <v>0.30589509873355925</v>
      </c>
      <c r="AS392" s="258">
        <f t="shared" si="295"/>
        <v>0.15228632177729159</v>
      </c>
      <c r="AT392" s="197">
        <f t="shared" si="258"/>
        <v>2.5974058656511614E-4</v>
      </c>
      <c r="AU392" s="194">
        <f t="shared" si="259"/>
        <v>21.19</v>
      </c>
      <c r="AV392" s="197">
        <f t="shared" si="260"/>
        <v>2.7E-2</v>
      </c>
      <c r="AW392" s="197">
        <f t="shared" si="261"/>
        <v>3.4260000000000002E-3</v>
      </c>
      <c r="AX392" s="197">
        <f t="shared" si="296"/>
        <v>6.1668000000000001E-2</v>
      </c>
      <c r="AY392" s="197">
        <f t="shared" si="262"/>
        <v>2.8867476000000005E-3</v>
      </c>
      <c r="AZ392" s="197">
        <f t="shared" si="263"/>
        <v>0</v>
      </c>
      <c r="BA392" s="197">
        <f t="shared" si="297"/>
        <v>7.2596940000000013E-2</v>
      </c>
      <c r="BB392" s="258">
        <f t="shared" si="264"/>
        <v>0.36575210336206115</v>
      </c>
      <c r="BC392" s="197">
        <f t="shared" si="265"/>
        <v>2.2380490766334034E-2</v>
      </c>
      <c r="BD392" s="197">
        <f t="shared" si="298"/>
        <v>4.4760981532668068E-3</v>
      </c>
      <c r="BE392" s="197">
        <f t="shared" si="299"/>
        <v>2.6856588919600841E-2</v>
      </c>
      <c r="BF392" s="197">
        <f t="shared" si="266"/>
        <v>0.20773291256157633</v>
      </c>
      <c r="BG392" s="197">
        <f t="shared" si="267"/>
        <v>5.4608303342508187E-4</v>
      </c>
      <c r="BH392" s="197">
        <f t="shared" si="268"/>
        <v>3.5336687086656722E-2</v>
      </c>
      <c r="BI392" s="197">
        <f t="shared" si="300"/>
        <v>0.44730899017824427</v>
      </c>
      <c r="BJ392" s="197">
        <f t="shared" si="269"/>
        <v>6.769615024661003</v>
      </c>
      <c r="BK392" s="288">
        <f t="shared" si="270"/>
        <v>0.93392401361838984</v>
      </c>
      <c r="BL392" s="197">
        <f t="shared" si="271"/>
        <v>0.37608972359227794</v>
      </c>
      <c r="BM392" s="197">
        <f t="shared" si="272"/>
        <v>7.4353030976985271E-2</v>
      </c>
      <c r="BN392" s="197">
        <f t="shared" si="273"/>
        <v>54.461181858619113</v>
      </c>
      <c r="BO392" s="197">
        <f t="shared" si="301"/>
        <v>0.2082789955950014</v>
      </c>
      <c r="BP392" s="197">
        <f t="shared" si="274"/>
        <v>65.620924669625111</v>
      </c>
      <c r="BQ392" s="197">
        <f t="shared" si="275"/>
        <v>9.9596940000000009E-2</v>
      </c>
      <c r="BR392" s="288">
        <f t="shared" si="276"/>
        <v>0.16008975919012108</v>
      </c>
      <c r="BS392" s="197">
        <f t="shared" si="277"/>
        <v>0.11660930017110901</v>
      </c>
      <c r="BT392" s="197">
        <f t="shared" si="278"/>
        <v>0.36419974881911377</v>
      </c>
      <c r="BU392" s="197">
        <f t="shared" si="279"/>
        <v>0.1713930788771201</v>
      </c>
      <c r="BV392" s="197">
        <f t="shared" si="280"/>
        <v>0.53530306917875781</v>
      </c>
      <c r="BW392" s="194"/>
      <c r="BX392" s="194"/>
      <c r="BY392" s="194"/>
      <c r="BZ392" s="194"/>
      <c r="CA392" s="194"/>
      <c r="CB392" s="194"/>
      <c r="CC392" s="194"/>
      <c r="CD392" s="194"/>
      <c r="CE392" s="194"/>
      <c r="CF392" s="194"/>
      <c r="CG392" s="194"/>
      <c r="CH392" s="194"/>
      <c r="CI392" s="194"/>
      <c r="CJ392" s="194"/>
      <c r="CK392" s="194"/>
      <c r="CL392" s="194"/>
      <c r="CM392" s="194"/>
      <c r="CN392" s="194"/>
      <c r="CO392" s="194"/>
      <c r="CP392" s="194"/>
      <c r="CQ392" s="194"/>
      <c r="CR392" s="194"/>
      <c r="CS392" s="194"/>
      <c r="CT392" s="194"/>
      <c r="CU392" s="194"/>
      <c r="CV392" s="194"/>
      <c r="CW392" s="194"/>
      <c r="CX392" s="194"/>
      <c r="CY392" s="194"/>
      <c r="CZ392" s="194"/>
      <c r="DA392" s="194"/>
      <c r="DB392" s="194"/>
      <c r="DC392" s="194"/>
      <c r="DD392" s="194"/>
      <c r="DE392" s="194"/>
      <c r="DF392" s="194"/>
    </row>
    <row r="393" spans="2:110" s="192" customFormat="1" hidden="1" x14ac:dyDescent="0.35">
      <c r="B393" s="289"/>
      <c r="C393" s="289"/>
      <c r="Q393" s="193"/>
      <c r="R393" s="194">
        <f t="shared" si="281"/>
        <v>18</v>
      </c>
      <c r="S393" s="197">
        <f t="shared" si="247"/>
        <v>0.3888888888888889</v>
      </c>
      <c r="T393" s="194">
        <f t="shared" si="302"/>
        <v>0.69</v>
      </c>
      <c r="U393" s="194">
        <f t="shared" si="303"/>
        <v>1.4999999999999999E-4</v>
      </c>
      <c r="V393" s="197">
        <f t="shared" si="282"/>
        <v>0.3888888888888889</v>
      </c>
      <c r="W393" s="197">
        <f t="shared" si="248"/>
        <v>4.3555555555555561E-3</v>
      </c>
      <c r="X393" s="286">
        <f t="shared" si="249"/>
        <v>1</v>
      </c>
      <c r="Y393" s="286">
        <f t="shared" si="250"/>
        <v>0.17335969315081967</v>
      </c>
      <c r="Z393" s="286">
        <f t="shared" si="251"/>
        <v>0.54964853345132902</v>
      </c>
      <c r="AA393" s="286">
        <f t="shared" si="283"/>
        <v>0.17335969315081967</v>
      </c>
      <c r="AB393" s="197">
        <f t="shared" si="252"/>
        <v>0.36419974881911377</v>
      </c>
      <c r="AC393" s="287">
        <f t="shared" si="253"/>
        <v>4.4451203372005044E-7</v>
      </c>
      <c r="AD393" s="197">
        <f t="shared" si="284"/>
        <v>11.693936048110356</v>
      </c>
      <c r="AE393" s="197">
        <f t="shared" si="285"/>
        <v>35.08180814433107</v>
      </c>
      <c r="AF393" s="197">
        <f t="shared" si="286"/>
        <v>8.5178571428571423E-2</v>
      </c>
      <c r="AG393" s="197">
        <f t="shared" si="287"/>
        <v>0.25553571428571431</v>
      </c>
      <c r="AH393" s="197">
        <f t="shared" si="254"/>
        <v>0.11660930017110901</v>
      </c>
      <c r="AI393" s="197">
        <f t="shared" si="288"/>
        <v>0.11660930017110901</v>
      </c>
      <c r="AJ393" s="218">
        <f t="shared" si="255"/>
        <v>390.00000000000006</v>
      </c>
      <c r="AK393" s="197">
        <f t="shared" si="289"/>
        <v>6.0930617977437734E-2</v>
      </c>
      <c r="AL393" s="197">
        <f t="shared" si="290"/>
        <v>9.6203707235237593E-2</v>
      </c>
      <c r="AM393" s="197">
        <f t="shared" si="291"/>
        <v>4.0790371867740751E-3</v>
      </c>
      <c r="AN393" s="197">
        <f t="shared" si="256"/>
        <v>24.05</v>
      </c>
      <c r="AO393" s="197">
        <f t="shared" si="257"/>
        <v>21.69</v>
      </c>
      <c r="AP393" s="197">
        <f t="shared" si="292"/>
        <v>7.4093290390420161E-2</v>
      </c>
      <c r="AQ393" s="197">
        <f t="shared" si="293"/>
        <v>0.42250439890466829</v>
      </c>
      <c r="AR393" s="197">
        <f t="shared" si="294"/>
        <v>0.30589509873355925</v>
      </c>
      <c r="AS393" s="258">
        <f t="shared" si="295"/>
        <v>0.15228632177729159</v>
      </c>
      <c r="AT393" s="197">
        <f t="shared" si="258"/>
        <v>2.5974058656511614E-4</v>
      </c>
      <c r="AU393" s="194">
        <f t="shared" si="259"/>
        <v>21.19</v>
      </c>
      <c r="AV393" s="197">
        <f t="shared" si="260"/>
        <v>2.7E-2</v>
      </c>
      <c r="AW393" s="197">
        <f t="shared" si="261"/>
        <v>3.4260000000000002E-3</v>
      </c>
      <c r="AX393" s="197">
        <f t="shared" si="296"/>
        <v>6.1668000000000001E-2</v>
      </c>
      <c r="AY393" s="197">
        <f t="shared" si="262"/>
        <v>2.8867476000000005E-3</v>
      </c>
      <c r="AZ393" s="197">
        <f t="shared" si="263"/>
        <v>0</v>
      </c>
      <c r="BA393" s="197">
        <f t="shared" si="297"/>
        <v>7.2596940000000013E-2</v>
      </c>
      <c r="BB393" s="258">
        <f t="shared" si="264"/>
        <v>0.36575210336206115</v>
      </c>
      <c r="BC393" s="197">
        <f t="shared" si="265"/>
        <v>2.2380490766334034E-2</v>
      </c>
      <c r="BD393" s="197">
        <f t="shared" si="298"/>
        <v>4.4760981532668068E-3</v>
      </c>
      <c r="BE393" s="197">
        <f t="shared" si="299"/>
        <v>2.6856588919600841E-2</v>
      </c>
      <c r="BF393" s="197">
        <f t="shared" si="266"/>
        <v>0.20773291256157633</v>
      </c>
      <c r="BG393" s="197">
        <f t="shared" si="267"/>
        <v>5.4608303342508187E-4</v>
      </c>
      <c r="BH393" s="197">
        <f t="shared" si="268"/>
        <v>3.5336687086656722E-2</v>
      </c>
      <c r="BI393" s="197">
        <f t="shared" si="300"/>
        <v>0.44730899017824427</v>
      </c>
      <c r="BJ393" s="197">
        <f t="shared" si="269"/>
        <v>6.769615024661003</v>
      </c>
      <c r="BK393" s="288">
        <f t="shared" si="270"/>
        <v>0.93392401361838984</v>
      </c>
      <c r="BL393" s="197">
        <f t="shared" si="271"/>
        <v>0.37608972359227794</v>
      </c>
      <c r="BM393" s="197">
        <f t="shared" si="272"/>
        <v>7.4353030976985271E-2</v>
      </c>
      <c r="BN393" s="197">
        <f t="shared" si="273"/>
        <v>54.461181858619113</v>
      </c>
      <c r="BO393" s="197">
        <f t="shared" si="301"/>
        <v>0.2082789955950014</v>
      </c>
      <c r="BP393" s="197">
        <f t="shared" si="274"/>
        <v>65.620924669625111</v>
      </c>
      <c r="BQ393" s="197">
        <f t="shared" si="275"/>
        <v>9.9596940000000009E-2</v>
      </c>
      <c r="BR393" s="288">
        <f t="shared" si="276"/>
        <v>0.16008975919012108</v>
      </c>
      <c r="BS393" s="197">
        <f t="shared" si="277"/>
        <v>0.11660930017110901</v>
      </c>
      <c r="BT393" s="197">
        <f t="shared" si="278"/>
        <v>0.36419974881911377</v>
      </c>
      <c r="BU393" s="197">
        <f t="shared" si="279"/>
        <v>0.1713930788771201</v>
      </c>
      <c r="BV393" s="197">
        <f t="shared" si="280"/>
        <v>0.53530306917875781</v>
      </c>
      <c r="BW393" s="194"/>
      <c r="BX393" s="194"/>
      <c r="BY393" s="194"/>
      <c r="BZ393" s="194"/>
      <c r="CA393" s="194"/>
      <c r="CB393" s="194"/>
      <c r="CC393" s="194"/>
      <c r="CD393" s="194"/>
      <c r="CE393" s="194"/>
      <c r="CF393" s="194"/>
      <c r="CG393" s="194"/>
      <c r="CH393" s="194"/>
      <c r="CI393" s="194"/>
      <c r="CJ393" s="194"/>
      <c r="CK393" s="194"/>
      <c r="CL393" s="194"/>
      <c r="CM393" s="194"/>
      <c r="CN393" s="194"/>
      <c r="CO393" s="194"/>
      <c r="CP393" s="194"/>
      <c r="CQ393" s="194"/>
      <c r="CR393" s="194"/>
      <c r="CS393" s="194"/>
      <c r="CT393" s="194"/>
      <c r="CU393" s="194"/>
      <c r="CV393" s="194"/>
      <c r="CW393" s="194"/>
      <c r="CX393" s="194"/>
      <c r="CY393" s="194"/>
      <c r="CZ393" s="194"/>
      <c r="DA393" s="194"/>
      <c r="DB393" s="194"/>
      <c r="DC393" s="194"/>
      <c r="DD393" s="194"/>
      <c r="DE393" s="194"/>
      <c r="DF393" s="194"/>
    </row>
    <row r="394" spans="2:110" s="192" customFormat="1" hidden="1" x14ac:dyDescent="0.35">
      <c r="B394" s="289"/>
      <c r="C394" s="289"/>
      <c r="Q394" s="193"/>
      <c r="R394" s="194">
        <f t="shared" si="281"/>
        <v>18</v>
      </c>
      <c r="S394" s="197">
        <f t="shared" si="247"/>
        <v>0.3888888888888889</v>
      </c>
      <c r="T394" s="194">
        <f t="shared" si="302"/>
        <v>0.69</v>
      </c>
      <c r="U394" s="194">
        <f t="shared" si="303"/>
        <v>1.4999999999999999E-4</v>
      </c>
      <c r="V394" s="197">
        <f t="shared" si="282"/>
        <v>0.3888888888888889</v>
      </c>
      <c r="W394" s="197">
        <f t="shared" si="248"/>
        <v>4.3555555555555561E-3</v>
      </c>
      <c r="X394" s="286">
        <f t="shared" si="249"/>
        <v>1</v>
      </c>
      <c r="Y394" s="286">
        <f t="shared" si="250"/>
        <v>0.17335969315081967</v>
      </c>
      <c r="Z394" s="286">
        <f t="shared" si="251"/>
        <v>0.54964853345132902</v>
      </c>
      <c r="AA394" s="286">
        <f t="shared" si="283"/>
        <v>0.17335969315081967</v>
      </c>
      <c r="AB394" s="197">
        <f t="shared" si="252"/>
        <v>0.36419974881911377</v>
      </c>
      <c r="AC394" s="287">
        <f t="shared" si="253"/>
        <v>4.4451203372005044E-7</v>
      </c>
      <c r="AD394" s="197">
        <f t="shared" si="284"/>
        <v>11.693936048110356</v>
      </c>
      <c r="AE394" s="197">
        <f t="shared" si="285"/>
        <v>35.08180814433107</v>
      </c>
      <c r="AF394" s="197">
        <f t="shared" si="286"/>
        <v>8.5178571428571423E-2</v>
      </c>
      <c r="AG394" s="197">
        <f t="shared" si="287"/>
        <v>0.25553571428571431</v>
      </c>
      <c r="AH394" s="197">
        <f t="shared" si="254"/>
        <v>0.11660930017110901</v>
      </c>
      <c r="AI394" s="197">
        <f t="shared" si="288"/>
        <v>0.11660930017110901</v>
      </c>
      <c r="AJ394" s="218">
        <f t="shared" si="255"/>
        <v>390.00000000000006</v>
      </c>
      <c r="AK394" s="197">
        <f t="shared" si="289"/>
        <v>6.0930617977437734E-2</v>
      </c>
      <c r="AL394" s="197">
        <f t="shared" si="290"/>
        <v>9.6203707235237593E-2</v>
      </c>
      <c r="AM394" s="197">
        <f t="shared" si="291"/>
        <v>4.0790371867740751E-3</v>
      </c>
      <c r="AN394" s="197">
        <f t="shared" si="256"/>
        <v>24.05</v>
      </c>
      <c r="AO394" s="197">
        <f t="shared" si="257"/>
        <v>21.69</v>
      </c>
      <c r="AP394" s="197">
        <f t="shared" si="292"/>
        <v>7.4093290390420161E-2</v>
      </c>
      <c r="AQ394" s="197">
        <f t="shared" si="293"/>
        <v>0.42250439890466829</v>
      </c>
      <c r="AR394" s="197">
        <f t="shared" si="294"/>
        <v>0.30589509873355925</v>
      </c>
      <c r="AS394" s="258">
        <f t="shared" si="295"/>
        <v>0.15228632177729159</v>
      </c>
      <c r="AT394" s="197">
        <f t="shared" si="258"/>
        <v>2.5974058656511614E-4</v>
      </c>
      <c r="AU394" s="194">
        <f t="shared" si="259"/>
        <v>21.19</v>
      </c>
      <c r="AV394" s="197">
        <f t="shared" si="260"/>
        <v>2.7E-2</v>
      </c>
      <c r="AW394" s="197">
        <f t="shared" si="261"/>
        <v>3.4260000000000002E-3</v>
      </c>
      <c r="AX394" s="197">
        <f t="shared" si="296"/>
        <v>6.1668000000000001E-2</v>
      </c>
      <c r="AY394" s="197">
        <f t="shared" si="262"/>
        <v>2.8867476000000005E-3</v>
      </c>
      <c r="AZ394" s="197">
        <f t="shared" si="263"/>
        <v>0</v>
      </c>
      <c r="BA394" s="197">
        <f t="shared" si="297"/>
        <v>7.2596940000000013E-2</v>
      </c>
      <c r="BB394" s="258">
        <f t="shared" si="264"/>
        <v>0.36575210336206115</v>
      </c>
      <c r="BC394" s="197">
        <f t="shared" si="265"/>
        <v>2.2380490766334034E-2</v>
      </c>
      <c r="BD394" s="197">
        <f t="shared" si="298"/>
        <v>4.4760981532668068E-3</v>
      </c>
      <c r="BE394" s="197">
        <f t="shared" si="299"/>
        <v>2.6856588919600841E-2</v>
      </c>
      <c r="BF394" s="197">
        <f t="shared" si="266"/>
        <v>0.20773291256157633</v>
      </c>
      <c r="BG394" s="197">
        <f t="shared" si="267"/>
        <v>5.4608303342508187E-4</v>
      </c>
      <c r="BH394" s="197">
        <f t="shared" si="268"/>
        <v>3.5336687086656722E-2</v>
      </c>
      <c r="BI394" s="197">
        <f t="shared" si="300"/>
        <v>0.44730899017824427</v>
      </c>
      <c r="BJ394" s="197">
        <f t="shared" si="269"/>
        <v>6.769615024661003</v>
      </c>
      <c r="BK394" s="288">
        <f t="shared" si="270"/>
        <v>0.93392401361838984</v>
      </c>
      <c r="BL394" s="197">
        <f t="shared" si="271"/>
        <v>0.37608972359227794</v>
      </c>
      <c r="BM394" s="197">
        <f t="shared" si="272"/>
        <v>7.4353030976985271E-2</v>
      </c>
      <c r="BN394" s="197">
        <f t="shared" si="273"/>
        <v>54.461181858619113</v>
      </c>
      <c r="BO394" s="197">
        <f t="shared" si="301"/>
        <v>0.2082789955950014</v>
      </c>
      <c r="BP394" s="197">
        <f t="shared" si="274"/>
        <v>65.620924669625111</v>
      </c>
      <c r="BQ394" s="197">
        <f t="shared" si="275"/>
        <v>9.9596940000000009E-2</v>
      </c>
      <c r="BR394" s="288">
        <f t="shared" si="276"/>
        <v>0.16008975919012108</v>
      </c>
      <c r="BS394" s="197">
        <f t="shared" si="277"/>
        <v>0.11660930017110901</v>
      </c>
      <c r="BT394" s="197">
        <f t="shared" si="278"/>
        <v>0.36419974881911377</v>
      </c>
      <c r="BU394" s="197">
        <f t="shared" si="279"/>
        <v>0.1713930788771201</v>
      </c>
      <c r="BV394" s="197">
        <f t="shared" si="280"/>
        <v>0.53530306917875781</v>
      </c>
      <c r="BW394" s="194"/>
      <c r="BX394" s="194"/>
      <c r="BY394" s="194"/>
      <c r="BZ394" s="194"/>
      <c r="CA394" s="194"/>
      <c r="CB394" s="194"/>
      <c r="CC394" s="194"/>
      <c r="CD394" s="194"/>
      <c r="CE394" s="194"/>
      <c r="CF394" s="194"/>
      <c r="CG394" s="194"/>
      <c r="CH394" s="194"/>
      <c r="CI394" s="194"/>
      <c r="CJ394" s="194"/>
      <c r="CK394" s="194"/>
      <c r="CL394" s="194"/>
      <c r="CM394" s="194"/>
      <c r="CN394" s="194"/>
      <c r="CO394" s="194"/>
      <c r="CP394" s="194"/>
      <c r="CQ394" s="194"/>
      <c r="CR394" s="194"/>
      <c r="CS394" s="194"/>
      <c r="CT394" s="194"/>
      <c r="CU394" s="194"/>
      <c r="CV394" s="194"/>
      <c r="CW394" s="194"/>
      <c r="CX394" s="194"/>
      <c r="CY394" s="194"/>
      <c r="CZ394" s="194"/>
      <c r="DA394" s="194"/>
      <c r="DB394" s="194"/>
      <c r="DC394" s="194"/>
      <c r="DD394" s="194"/>
      <c r="DE394" s="194"/>
      <c r="DF394" s="194"/>
    </row>
    <row r="395" spans="2:110" s="192" customFormat="1" hidden="1" x14ac:dyDescent="0.35">
      <c r="B395" s="289"/>
      <c r="C395" s="289"/>
      <c r="Q395" s="193"/>
      <c r="R395" s="194">
        <f t="shared" si="281"/>
        <v>18</v>
      </c>
      <c r="S395" s="197">
        <f t="shared" si="247"/>
        <v>0.3888888888888889</v>
      </c>
      <c r="T395" s="194">
        <f t="shared" si="302"/>
        <v>0.69</v>
      </c>
      <c r="U395" s="194">
        <f t="shared" si="303"/>
        <v>1.4999999999999999E-4</v>
      </c>
      <c r="V395" s="197">
        <f t="shared" si="282"/>
        <v>0.3888888888888889</v>
      </c>
      <c r="W395" s="197">
        <f t="shared" si="248"/>
        <v>4.3555555555555561E-3</v>
      </c>
      <c r="X395" s="286">
        <f t="shared" si="249"/>
        <v>1</v>
      </c>
      <c r="Y395" s="286">
        <f t="shared" si="250"/>
        <v>0.17335969315081967</v>
      </c>
      <c r="Z395" s="286">
        <f t="shared" si="251"/>
        <v>0.54964853345132902</v>
      </c>
      <c r="AA395" s="286">
        <f t="shared" si="283"/>
        <v>0.17335969315081967</v>
      </c>
      <c r="AB395" s="197">
        <f t="shared" si="252"/>
        <v>0.36419974881911377</v>
      </c>
      <c r="AC395" s="287">
        <f t="shared" si="253"/>
        <v>4.4451203372005044E-7</v>
      </c>
      <c r="AD395" s="197">
        <f t="shared" si="284"/>
        <v>11.693936048110356</v>
      </c>
      <c r="AE395" s="197">
        <f t="shared" si="285"/>
        <v>35.08180814433107</v>
      </c>
      <c r="AF395" s="197">
        <f t="shared" si="286"/>
        <v>8.5178571428571423E-2</v>
      </c>
      <c r="AG395" s="197">
        <f t="shared" si="287"/>
        <v>0.25553571428571431</v>
      </c>
      <c r="AH395" s="197">
        <f t="shared" si="254"/>
        <v>0.11660930017110901</v>
      </c>
      <c r="AI395" s="197">
        <f t="shared" si="288"/>
        <v>0.11660930017110901</v>
      </c>
      <c r="AJ395" s="218">
        <f t="shared" si="255"/>
        <v>390.00000000000006</v>
      </c>
      <c r="AK395" s="197">
        <f t="shared" si="289"/>
        <v>6.0930617977437734E-2</v>
      </c>
      <c r="AL395" s="197">
        <f t="shared" si="290"/>
        <v>9.6203707235237593E-2</v>
      </c>
      <c r="AM395" s="197">
        <f t="shared" si="291"/>
        <v>4.0790371867740751E-3</v>
      </c>
      <c r="AN395" s="197">
        <f t="shared" si="256"/>
        <v>24.05</v>
      </c>
      <c r="AO395" s="197">
        <f t="shared" si="257"/>
        <v>21.69</v>
      </c>
      <c r="AP395" s="197">
        <f t="shared" si="292"/>
        <v>7.4093290390420161E-2</v>
      </c>
      <c r="AQ395" s="197">
        <f t="shared" si="293"/>
        <v>0.42250439890466829</v>
      </c>
      <c r="AR395" s="197">
        <f t="shared" si="294"/>
        <v>0.30589509873355925</v>
      </c>
      <c r="AS395" s="258">
        <f t="shared" si="295"/>
        <v>0.15228632177729159</v>
      </c>
      <c r="AT395" s="197">
        <f t="shared" si="258"/>
        <v>2.5974058656511614E-4</v>
      </c>
      <c r="AU395" s="194">
        <f t="shared" si="259"/>
        <v>21.19</v>
      </c>
      <c r="AV395" s="197">
        <f t="shared" si="260"/>
        <v>2.7E-2</v>
      </c>
      <c r="AW395" s="197">
        <f t="shared" si="261"/>
        <v>3.4260000000000002E-3</v>
      </c>
      <c r="AX395" s="197">
        <f t="shared" si="296"/>
        <v>6.1668000000000001E-2</v>
      </c>
      <c r="AY395" s="197">
        <f t="shared" si="262"/>
        <v>2.8867476000000005E-3</v>
      </c>
      <c r="AZ395" s="197">
        <f t="shared" si="263"/>
        <v>0</v>
      </c>
      <c r="BA395" s="197">
        <f t="shared" si="297"/>
        <v>7.2596940000000013E-2</v>
      </c>
      <c r="BB395" s="258">
        <f t="shared" si="264"/>
        <v>0.36575210336206115</v>
      </c>
      <c r="BC395" s="197">
        <f t="shared" si="265"/>
        <v>2.2380490766334034E-2</v>
      </c>
      <c r="BD395" s="197">
        <f t="shared" si="298"/>
        <v>4.4760981532668068E-3</v>
      </c>
      <c r="BE395" s="197">
        <f t="shared" si="299"/>
        <v>2.6856588919600841E-2</v>
      </c>
      <c r="BF395" s="197">
        <f t="shared" si="266"/>
        <v>0.20773291256157633</v>
      </c>
      <c r="BG395" s="197">
        <f t="shared" si="267"/>
        <v>5.4608303342508187E-4</v>
      </c>
      <c r="BH395" s="197">
        <f t="shared" si="268"/>
        <v>3.5336687086656722E-2</v>
      </c>
      <c r="BI395" s="197">
        <f t="shared" si="300"/>
        <v>0.44730899017824427</v>
      </c>
      <c r="BJ395" s="197">
        <f t="shared" si="269"/>
        <v>6.769615024661003</v>
      </c>
      <c r="BK395" s="288">
        <f t="shared" si="270"/>
        <v>0.93392401361838984</v>
      </c>
      <c r="BL395" s="197">
        <f t="shared" si="271"/>
        <v>0.37608972359227794</v>
      </c>
      <c r="BM395" s="197">
        <f t="shared" si="272"/>
        <v>7.4353030976985271E-2</v>
      </c>
      <c r="BN395" s="197">
        <f t="shared" si="273"/>
        <v>54.461181858619113</v>
      </c>
      <c r="BO395" s="197">
        <f t="shared" si="301"/>
        <v>0.2082789955950014</v>
      </c>
      <c r="BP395" s="197">
        <f t="shared" si="274"/>
        <v>65.620924669625111</v>
      </c>
      <c r="BQ395" s="197">
        <f t="shared" si="275"/>
        <v>9.9596940000000009E-2</v>
      </c>
      <c r="BR395" s="288">
        <f t="shared" si="276"/>
        <v>0.16008975919012108</v>
      </c>
      <c r="BS395" s="197">
        <f t="shared" si="277"/>
        <v>0.11660930017110901</v>
      </c>
      <c r="BT395" s="197">
        <f t="shared" si="278"/>
        <v>0.36419974881911377</v>
      </c>
      <c r="BU395" s="197">
        <f t="shared" si="279"/>
        <v>0.1713930788771201</v>
      </c>
      <c r="BV395" s="197">
        <f t="shared" si="280"/>
        <v>0.53530306917875781</v>
      </c>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4"/>
      <c r="DB395" s="194"/>
      <c r="DC395" s="194"/>
      <c r="DD395" s="194"/>
      <c r="DE395" s="194"/>
      <c r="DF395" s="194"/>
    </row>
    <row r="396" spans="2:110" s="192" customFormat="1" hidden="1" x14ac:dyDescent="0.35">
      <c r="B396" s="289"/>
      <c r="C396" s="289"/>
      <c r="Q396" s="193"/>
      <c r="R396" s="194">
        <f t="shared" si="281"/>
        <v>18</v>
      </c>
      <c r="S396" s="197">
        <f t="shared" si="247"/>
        <v>0.3888888888888889</v>
      </c>
      <c r="T396" s="194">
        <f t="shared" si="302"/>
        <v>0.69</v>
      </c>
      <c r="U396" s="194">
        <f t="shared" si="303"/>
        <v>1.4999999999999999E-4</v>
      </c>
      <c r="V396" s="197">
        <f t="shared" si="282"/>
        <v>0.3888888888888889</v>
      </c>
      <c r="W396" s="197">
        <f t="shared" si="248"/>
        <v>4.3555555555555561E-3</v>
      </c>
      <c r="X396" s="286">
        <f t="shared" si="249"/>
        <v>1</v>
      </c>
      <c r="Y396" s="286">
        <f t="shared" si="250"/>
        <v>0.17335969315081967</v>
      </c>
      <c r="Z396" s="286">
        <f t="shared" si="251"/>
        <v>0.54964853345132902</v>
      </c>
      <c r="AA396" s="286">
        <f t="shared" si="283"/>
        <v>0.17335969315081967</v>
      </c>
      <c r="AB396" s="197">
        <f t="shared" si="252"/>
        <v>0.36419974881911377</v>
      </c>
      <c r="AC396" s="287">
        <f t="shared" si="253"/>
        <v>4.4451203372005044E-7</v>
      </c>
      <c r="AD396" s="197">
        <f t="shared" si="284"/>
        <v>11.693936048110356</v>
      </c>
      <c r="AE396" s="197">
        <f t="shared" si="285"/>
        <v>35.08180814433107</v>
      </c>
      <c r="AF396" s="197">
        <f t="shared" si="286"/>
        <v>8.5178571428571423E-2</v>
      </c>
      <c r="AG396" s="197">
        <f t="shared" si="287"/>
        <v>0.25553571428571431</v>
      </c>
      <c r="AH396" s="197">
        <f t="shared" si="254"/>
        <v>0.11660930017110901</v>
      </c>
      <c r="AI396" s="197">
        <f t="shared" si="288"/>
        <v>0.11660930017110901</v>
      </c>
      <c r="AJ396" s="218">
        <f t="shared" si="255"/>
        <v>390.00000000000006</v>
      </c>
      <c r="AK396" s="197">
        <f t="shared" si="289"/>
        <v>6.0930617977437734E-2</v>
      </c>
      <c r="AL396" s="197">
        <f t="shared" si="290"/>
        <v>9.6203707235237593E-2</v>
      </c>
      <c r="AM396" s="197">
        <f t="shared" si="291"/>
        <v>4.0790371867740751E-3</v>
      </c>
      <c r="AN396" s="197">
        <f t="shared" si="256"/>
        <v>24.05</v>
      </c>
      <c r="AO396" s="197">
        <f t="shared" si="257"/>
        <v>21.69</v>
      </c>
      <c r="AP396" s="197">
        <f t="shared" si="292"/>
        <v>7.4093290390420161E-2</v>
      </c>
      <c r="AQ396" s="197">
        <f t="shared" si="293"/>
        <v>0.42250439890466829</v>
      </c>
      <c r="AR396" s="197">
        <f t="shared" si="294"/>
        <v>0.30589509873355925</v>
      </c>
      <c r="AS396" s="258">
        <f t="shared" si="295"/>
        <v>0.15228632177729159</v>
      </c>
      <c r="AT396" s="197">
        <f t="shared" si="258"/>
        <v>2.5974058656511614E-4</v>
      </c>
      <c r="AU396" s="194">
        <f t="shared" si="259"/>
        <v>21.19</v>
      </c>
      <c r="AV396" s="197">
        <f t="shared" si="260"/>
        <v>2.7E-2</v>
      </c>
      <c r="AW396" s="197">
        <f t="shared" si="261"/>
        <v>3.4260000000000002E-3</v>
      </c>
      <c r="AX396" s="197">
        <f t="shared" si="296"/>
        <v>6.1668000000000001E-2</v>
      </c>
      <c r="AY396" s="197">
        <f t="shared" si="262"/>
        <v>2.8867476000000005E-3</v>
      </c>
      <c r="AZ396" s="197">
        <f t="shared" si="263"/>
        <v>0</v>
      </c>
      <c r="BA396" s="197">
        <f t="shared" si="297"/>
        <v>7.2596940000000013E-2</v>
      </c>
      <c r="BB396" s="258">
        <f t="shared" si="264"/>
        <v>0.36575210336206115</v>
      </c>
      <c r="BC396" s="197">
        <f t="shared" si="265"/>
        <v>2.2380490766334034E-2</v>
      </c>
      <c r="BD396" s="197">
        <f t="shared" si="298"/>
        <v>4.4760981532668068E-3</v>
      </c>
      <c r="BE396" s="197">
        <f t="shared" si="299"/>
        <v>2.6856588919600841E-2</v>
      </c>
      <c r="BF396" s="197">
        <f t="shared" si="266"/>
        <v>0.20773291256157633</v>
      </c>
      <c r="BG396" s="197">
        <f t="shared" si="267"/>
        <v>5.4608303342508187E-4</v>
      </c>
      <c r="BH396" s="197">
        <f t="shared" si="268"/>
        <v>3.5336687086656722E-2</v>
      </c>
      <c r="BI396" s="197">
        <f t="shared" si="300"/>
        <v>0.44730899017824427</v>
      </c>
      <c r="BJ396" s="197">
        <f t="shared" si="269"/>
        <v>6.769615024661003</v>
      </c>
      <c r="BK396" s="288">
        <f t="shared" si="270"/>
        <v>0.93392401361838984</v>
      </c>
      <c r="BL396" s="197">
        <f t="shared" si="271"/>
        <v>0.37608972359227794</v>
      </c>
      <c r="BM396" s="197">
        <f t="shared" si="272"/>
        <v>7.4353030976985271E-2</v>
      </c>
      <c r="BN396" s="197">
        <f t="shared" si="273"/>
        <v>54.461181858619113</v>
      </c>
      <c r="BO396" s="197">
        <f t="shared" si="301"/>
        <v>0.2082789955950014</v>
      </c>
      <c r="BP396" s="197">
        <f t="shared" si="274"/>
        <v>65.620924669625111</v>
      </c>
      <c r="BQ396" s="197">
        <f t="shared" si="275"/>
        <v>9.9596940000000009E-2</v>
      </c>
      <c r="BR396" s="288">
        <f t="shared" si="276"/>
        <v>0.16008975919012108</v>
      </c>
      <c r="BS396" s="197">
        <f t="shared" si="277"/>
        <v>0.11660930017110901</v>
      </c>
      <c r="BT396" s="197">
        <f t="shared" si="278"/>
        <v>0.36419974881911377</v>
      </c>
      <c r="BU396" s="197">
        <f t="shared" si="279"/>
        <v>0.1713930788771201</v>
      </c>
      <c r="BV396" s="197">
        <f t="shared" si="280"/>
        <v>0.53530306917875781</v>
      </c>
      <c r="BW396" s="194"/>
      <c r="BX396" s="194"/>
      <c r="BY396" s="194"/>
      <c r="BZ396" s="194"/>
      <c r="CA396" s="194"/>
      <c r="CB396" s="194"/>
      <c r="CC396" s="194"/>
      <c r="CD396" s="194"/>
      <c r="CE396" s="194"/>
      <c r="CF396" s="194"/>
      <c r="CG396" s="194"/>
      <c r="CH396" s="194"/>
      <c r="CI396" s="194"/>
      <c r="CJ396" s="194"/>
      <c r="CK396" s="194"/>
      <c r="CL396" s="194"/>
      <c r="CM396" s="194"/>
      <c r="CN396" s="194"/>
      <c r="CO396" s="194"/>
      <c r="CP396" s="194"/>
      <c r="CQ396" s="194"/>
      <c r="CR396" s="194"/>
      <c r="CS396" s="194"/>
      <c r="CT396" s="194"/>
      <c r="CU396" s="194"/>
      <c r="CV396" s="194"/>
      <c r="CW396" s="194"/>
      <c r="CX396" s="194"/>
      <c r="CY396" s="194"/>
      <c r="CZ396" s="194"/>
      <c r="DA396" s="194"/>
      <c r="DB396" s="194"/>
      <c r="DC396" s="194"/>
      <c r="DD396" s="194"/>
      <c r="DE396" s="194"/>
      <c r="DF396" s="194"/>
    </row>
    <row r="397" spans="2:110" s="192" customFormat="1" hidden="1" x14ac:dyDescent="0.35">
      <c r="B397" s="289"/>
      <c r="C397" s="289"/>
      <c r="Q397" s="193"/>
      <c r="R397" s="194">
        <f t="shared" si="281"/>
        <v>18</v>
      </c>
      <c r="S397" s="197">
        <f t="shared" si="247"/>
        <v>0.3888888888888889</v>
      </c>
      <c r="T397" s="194">
        <f t="shared" si="302"/>
        <v>0.69</v>
      </c>
      <c r="U397" s="194">
        <f t="shared" si="303"/>
        <v>1.4999999999999999E-4</v>
      </c>
      <c r="V397" s="197">
        <f t="shared" si="282"/>
        <v>0.3888888888888889</v>
      </c>
      <c r="W397" s="197">
        <f t="shared" si="248"/>
        <v>4.3555555555555561E-3</v>
      </c>
      <c r="X397" s="286">
        <f t="shared" si="249"/>
        <v>1</v>
      </c>
      <c r="Y397" s="286">
        <f t="shared" si="250"/>
        <v>0.17335969315081967</v>
      </c>
      <c r="Z397" s="286">
        <f t="shared" si="251"/>
        <v>0.54964853345132902</v>
      </c>
      <c r="AA397" s="286">
        <f t="shared" si="283"/>
        <v>0.17335969315081967</v>
      </c>
      <c r="AB397" s="197">
        <f t="shared" si="252"/>
        <v>0.36419974881911377</v>
      </c>
      <c r="AC397" s="287">
        <f t="shared" si="253"/>
        <v>4.4451203372005044E-7</v>
      </c>
      <c r="AD397" s="197">
        <f t="shared" si="284"/>
        <v>11.693936048110356</v>
      </c>
      <c r="AE397" s="197">
        <f t="shared" si="285"/>
        <v>35.08180814433107</v>
      </c>
      <c r="AF397" s="197">
        <f t="shared" si="286"/>
        <v>8.5178571428571423E-2</v>
      </c>
      <c r="AG397" s="197">
        <f t="shared" si="287"/>
        <v>0.25553571428571431</v>
      </c>
      <c r="AH397" s="197">
        <f t="shared" si="254"/>
        <v>0.11660930017110901</v>
      </c>
      <c r="AI397" s="197">
        <f t="shared" si="288"/>
        <v>0.11660930017110901</v>
      </c>
      <c r="AJ397" s="218">
        <f t="shared" si="255"/>
        <v>390.00000000000006</v>
      </c>
      <c r="AK397" s="197">
        <f t="shared" si="289"/>
        <v>6.0930617977437734E-2</v>
      </c>
      <c r="AL397" s="197">
        <f t="shared" si="290"/>
        <v>9.6203707235237593E-2</v>
      </c>
      <c r="AM397" s="197">
        <f t="shared" si="291"/>
        <v>4.0790371867740751E-3</v>
      </c>
      <c r="AN397" s="197">
        <f t="shared" si="256"/>
        <v>24.05</v>
      </c>
      <c r="AO397" s="197">
        <f t="shared" si="257"/>
        <v>21.69</v>
      </c>
      <c r="AP397" s="197">
        <f t="shared" si="292"/>
        <v>7.4093290390420161E-2</v>
      </c>
      <c r="AQ397" s="197">
        <f t="shared" si="293"/>
        <v>0.42250439890466829</v>
      </c>
      <c r="AR397" s="197">
        <f t="shared" si="294"/>
        <v>0.30589509873355925</v>
      </c>
      <c r="AS397" s="258">
        <f t="shared" si="295"/>
        <v>0.15228632177729159</v>
      </c>
      <c r="AT397" s="197">
        <f t="shared" si="258"/>
        <v>2.5974058656511614E-4</v>
      </c>
      <c r="AU397" s="194">
        <f t="shared" si="259"/>
        <v>21.19</v>
      </c>
      <c r="AV397" s="197">
        <f t="shared" si="260"/>
        <v>2.7E-2</v>
      </c>
      <c r="AW397" s="197">
        <f t="shared" si="261"/>
        <v>3.4260000000000002E-3</v>
      </c>
      <c r="AX397" s="197">
        <f t="shared" si="296"/>
        <v>6.1668000000000001E-2</v>
      </c>
      <c r="AY397" s="197">
        <f t="shared" si="262"/>
        <v>2.8867476000000005E-3</v>
      </c>
      <c r="AZ397" s="197">
        <f t="shared" si="263"/>
        <v>0</v>
      </c>
      <c r="BA397" s="197">
        <f t="shared" si="297"/>
        <v>7.2596940000000013E-2</v>
      </c>
      <c r="BB397" s="258">
        <f t="shared" si="264"/>
        <v>0.36575210336206115</v>
      </c>
      <c r="BC397" s="197">
        <f t="shared" si="265"/>
        <v>2.2380490766334034E-2</v>
      </c>
      <c r="BD397" s="197">
        <f t="shared" si="298"/>
        <v>4.4760981532668068E-3</v>
      </c>
      <c r="BE397" s="197">
        <f t="shared" si="299"/>
        <v>2.6856588919600841E-2</v>
      </c>
      <c r="BF397" s="197">
        <f t="shared" si="266"/>
        <v>0.20773291256157633</v>
      </c>
      <c r="BG397" s="197">
        <f t="shared" si="267"/>
        <v>5.4608303342508187E-4</v>
      </c>
      <c r="BH397" s="197">
        <f t="shared" si="268"/>
        <v>3.5336687086656722E-2</v>
      </c>
      <c r="BI397" s="197">
        <f t="shared" si="300"/>
        <v>0.44730899017824427</v>
      </c>
      <c r="BJ397" s="197">
        <f t="shared" si="269"/>
        <v>6.769615024661003</v>
      </c>
      <c r="BK397" s="288">
        <f t="shared" si="270"/>
        <v>0.93392401361838984</v>
      </c>
      <c r="BL397" s="197">
        <f t="shared" si="271"/>
        <v>0.37608972359227794</v>
      </c>
      <c r="BM397" s="197">
        <f t="shared" si="272"/>
        <v>7.4353030976985271E-2</v>
      </c>
      <c r="BN397" s="197">
        <f t="shared" si="273"/>
        <v>54.461181858619113</v>
      </c>
      <c r="BO397" s="197">
        <f t="shared" si="301"/>
        <v>0.2082789955950014</v>
      </c>
      <c r="BP397" s="197">
        <f t="shared" si="274"/>
        <v>65.620924669625111</v>
      </c>
      <c r="BQ397" s="197">
        <f t="shared" si="275"/>
        <v>9.9596940000000009E-2</v>
      </c>
      <c r="BR397" s="288">
        <f t="shared" si="276"/>
        <v>0.16008975919012108</v>
      </c>
      <c r="BS397" s="197">
        <f t="shared" si="277"/>
        <v>0.11660930017110901</v>
      </c>
      <c r="BT397" s="197">
        <f t="shared" si="278"/>
        <v>0.36419974881911377</v>
      </c>
      <c r="BU397" s="197">
        <f t="shared" si="279"/>
        <v>0.1713930788771201</v>
      </c>
      <c r="BV397" s="197">
        <f t="shared" si="280"/>
        <v>0.53530306917875781</v>
      </c>
      <c r="BW397" s="194"/>
      <c r="BX397" s="194"/>
      <c r="BY397" s="194"/>
      <c r="BZ397" s="194"/>
      <c r="CA397" s="194"/>
      <c r="CB397" s="194"/>
      <c r="CC397" s="194"/>
      <c r="CD397" s="194"/>
      <c r="CE397" s="194"/>
      <c r="CF397" s="194"/>
      <c r="CG397" s="194"/>
      <c r="CH397" s="194"/>
      <c r="CI397" s="194"/>
      <c r="CJ397" s="194"/>
      <c r="CK397" s="194"/>
      <c r="CL397" s="194"/>
      <c r="CM397" s="194"/>
      <c r="CN397" s="194"/>
      <c r="CO397" s="194"/>
      <c r="CP397" s="194"/>
      <c r="CQ397" s="194"/>
      <c r="CR397" s="194"/>
      <c r="CS397" s="194"/>
      <c r="CT397" s="194"/>
      <c r="CU397" s="194"/>
      <c r="CV397" s="194"/>
      <c r="CW397" s="194"/>
      <c r="CX397" s="194"/>
      <c r="CY397" s="194"/>
      <c r="CZ397" s="194"/>
      <c r="DA397" s="194"/>
      <c r="DB397" s="194"/>
      <c r="DC397" s="194"/>
      <c r="DD397" s="194"/>
      <c r="DE397" s="194"/>
      <c r="DF397" s="194"/>
    </row>
    <row r="398" spans="2:110" s="192" customFormat="1" hidden="1" x14ac:dyDescent="0.35">
      <c r="B398" s="289"/>
      <c r="C398" s="289"/>
      <c r="Q398" s="193"/>
      <c r="R398" s="194">
        <f t="shared" si="281"/>
        <v>18</v>
      </c>
      <c r="S398" s="197">
        <f t="shared" si="247"/>
        <v>0.3888888888888889</v>
      </c>
      <c r="T398" s="194">
        <f t="shared" si="302"/>
        <v>0.69</v>
      </c>
      <c r="U398" s="194">
        <f t="shared" si="303"/>
        <v>1.4999999999999999E-4</v>
      </c>
      <c r="V398" s="197">
        <f t="shared" si="282"/>
        <v>0.3888888888888889</v>
      </c>
      <c r="W398" s="197">
        <f t="shared" si="248"/>
        <v>4.3555555555555561E-3</v>
      </c>
      <c r="X398" s="286">
        <f t="shared" si="249"/>
        <v>1</v>
      </c>
      <c r="Y398" s="286">
        <f t="shared" si="250"/>
        <v>0.17335969315081967</v>
      </c>
      <c r="Z398" s="286">
        <f t="shared" si="251"/>
        <v>0.54964853345132902</v>
      </c>
      <c r="AA398" s="286">
        <f t="shared" si="283"/>
        <v>0.17335969315081967</v>
      </c>
      <c r="AB398" s="197">
        <f t="shared" si="252"/>
        <v>0.36419974881911377</v>
      </c>
      <c r="AC398" s="287">
        <f t="shared" si="253"/>
        <v>4.4451203372005044E-7</v>
      </c>
      <c r="AD398" s="197">
        <f t="shared" si="284"/>
        <v>11.693936048110356</v>
      </c>
      <c r="AE398" s="197">
        <f t="shared" si="285"/>
        <v>35.08180814433107</v>
      </c>
      <c r="AF398" s="197">
        <f t="shared" si="286"/>
        <v>8.5178571428571423E-2</v>
      </c>
      <c r="AG398" s="197">
        <f t="shared" si="287"/>
        <v>0.25553571428571431</v>
      </c>
      <c r="AH398" s="197">
        <f t="shared" si="254"/>
        <v>0.11660930017110901</v>
      </c>
      <c r="AI398" s="197">
        <f t="shared" si="288"/>
        <v>0.11660930017110901</v>
      </c>
      <c r="AJ398" s="218">
        <f t="shared" si="255"/>
        <v>390.00000000000006</v>
      </c>
      <c r="AK398" s="197">
        <f t="shared" si="289"/>
        <v>6.0930617977437734E-2</v>
      </c>
      <c r="AL398" s="197">
        <f t="shared" si="290"/>
        <v>9.6203707235237593E-2</v>
      </c>
      <c r="AM398" s="197">
        <f t="shared" si="291"/>
        <v>4.0790371867740751E-3</v>
      </c>
      <c r="AN398" s="197">
        <f t="shared" si="256"/>
        <v>24.05</v>
      </c>
      <c r="AO398" s="197">
        <f t="shared" si="257"/>
        <v>21.69</v>
      </c>
      <c r="AP398" s="197">
        <f t="shared" si="292"/>
        <v>7.4093290390420161E-2</v>
      </c>
      <c r="AQ398" s="197">
        <f t="shared" si="293"/>
        <v>0.42250439890466829</v>
      </c>
      <c r="AR398" s="197">
        <f t="shared" si="294"/>
        <v>0.30589509873355925</v>
      </c>
      <c r="AS398" s="258">
        <f t="shared" si="295"/>
        <v>0.15228632177729159</v>
      </c>
      <c r="AT398" s="197">
        <f t="shared" si="258"/>
        <v>2.5974058656511614E-4</v>
      </c>
      <c r="AU398" s="194">
        <f t="shared" si="259"/>
        <v>21.19</v>
      </c>
      <c r="AV398" s="197">
        <f t="shared" si="260"/>
        <v>2.7E-2</v>
      </c>
      <c r="AW398" s="197">
        <f t="shared" si="261"/>
        <v>3.4260000000000002E-3</v>
      </c>
      <c r="AX398" s="197">
        <f t="shared" si="296"/>
        <v>6.1668000000000001E-2</v>
      </c>
      <c r="AY398" s="197">
        <f t="shared" si="262"/>
        <v>2.8867476000000005E-3</v>
      </c>
      <c r="AZ398" s="197">
        <f t="shared" si="263"/>
        <v>0</v>
      </c>
      <c r="BA398" s="197">
        <f t="shared" si="297"/>
        <v>7.2596940000000013E-2</v>
      </c>
      <c r="BB398" s="258">
        <f t="shared" si="264"/>
        <v>0.36575210336206115</v>
      </c>
      <c r="BC398" s="197">
        <f t="shared" si="265"/>
        <v>2.2380490766334034E-2</v>
      </c>
      <c r="BD398" s="197">
        <f t="shared" si="298"/>
        <v>4.4760981532668068E-3</v>
      </c>
      <c r="BE398" s="197">
        <f t="shared" si="299"/>
        <v>2.6856588919600841E-2</v>
      </c>
      <c r="BF398" s="197">
        <f t="shared" si="266"/>
        <v>0.20773291256157633</v>
      </c>
      <c r="BG398" s="197">
        <f t="shared" si="267"/>
        <v>5.4608303342508187E-4</v>
      </c>
      <c r="BH398" s="197">
        <f t="shared" si="268"/>
        <v>3.5336687086656722E-2</v>
      </c>
      <c r="BI398" s="197">
        <f t="shared" si="300"/>
        <v>0.44730899017824427</v>
      </c>
      <c r="BJ398" s="197">
        <f t="shared" si="269"/>
        <v>6.769615024661003</v>
      </c>
      <c r="BK398" s="288">
        <f t="shared" si="270"/>
        <v>0.93392401361838984</v>
      </c>
      <c r="BL398" s="197">
        <f t="shared" si="271"/>
        <v>0.37608972359227794</v>
      </c>
      <c r="BM398" s="197">
        <f t="shared" si="272"/>
        <v>7.4353030976985271E-2</v>
      </c>
      <c r="BN398" s="197">
        <f t="shared" si="273"/>
        <v>54.461181858619113</v>
      </c>
      <c r="BO398" s="197">
        <f t="shared" si="301"/>
        <v>0.2082789955950014</v>
      </c>
      <c r="BP398" s="197">
        <f t="shared" si="274"/>
        <v>65.620924669625111</v>
      </c>
      <c r="BQ398" s="197">
        <f t="shared" si="275"/>
        <v>9.9596940000000009E-2</v>
      </c>
      <c r="BR398" s="288">
        <f t="shared" si="276"/>
        <v>0.16008975919012108</v>
      </c>
      <c r="BS398" s="197">
        <f t="shared" si="277"/>
        <v>0.11660930017110901</v>
      </c>
      <c r="BT398" s="197">
        <f t="shared" si="278"/>
        <v>0.36419974881911377</v>
      </c>
      <c r="BU398" s="197">
        <f t="shared" si="279"/>
        <v>0.1713930788771201</v>
      </c>
      <c r="BV398" s="197">
        <f t="shared" si="280"/>
        <v>0.53530306917875781</v>
      </c>
      <c r="BW398" s="194"/>
      <c r="BX398" s="194"/>
      <c r="BY398" s="194"/>
      <c r="BZ398" s="194"/>
      <c r="CA398" s="194"/>
      <c r="CB398" s="194"/>
      <c r="CC398" s="194"/>
      <c r="CD398" s="194"/>
      <c r="CE398" s="194"/>
      <c r="CF398" s="194"/>
      <c r="CG398" s="194"/>
      <c r="CH398" s="194"/>
      <c r="CI398" s="194"/>
      <c r="CJ398" s="194"/>
      <c r="CK398" s="194"/>
      <c r="CL398" s="194"/>
      <c r="CM398" s="194"/>
      <c r="CN398" s="194"/>
      <c r="CO398" s="194"/>
      <c r="CP398" s="194"/>
      <c r="CQ398" s="194"/>
      <c r="CR398" s="194"/>
      <c r="CS398" s="194"/>
      <c r="CT398" s="194"/>
      <c r="CU398" s="194"/>
      <c r="CV398" s="194"/>
      <c r="CW398" s="194"/>
      <c r="CX398" s="194"/>
      <c r="CY398" s="194"/>
      <c r="CZ398" s="194"/>
      <c r="DA398" s="194"/>
      <c r="DB398" s="194"/>
      <c r="DC398" s="194"/>
      <c r="DD398" s="194"/>
      <c r="DE398" s="194"/>
      <c r="DF398" s="194"/>
    </row>
    <row r="399" spans="2:110" s="192" customFormat="1" hidden="1" x14ac:dyDescent="0.35">
      <c r="B399" s="289"/>
      <c r="C399" s="289"/>
      <c r="Q399" s="193"/>
      <c r="R399" s="194">
        <f t="shared" si="281"/>
        <v>18</v>
      </c>
      <c r="S399" s="197">
        <f t="shared" si="247"/>
        <v>0.3888888888888889</v>
      </c>
      <c r="T399" s="194">
        <f t="shared" si="302"/>
        <v>0.69</v>
      </c>
      <c r="U399" s="194">
        <f t="shared" si="303"/>
        <v>1.4999999999999999E-4</v>
      </c>
      <c r="V399" s="197">
        <f t="shared" si="282"/>
        <v>0.3888888888888889</v>
      </c>
      <c r="W399" s="197">
        <f t="shared" si="248"/>
        <v>4.3555555555555561E-3</v>
      </c>
      <c r="X399" s="286">
        <f t="shared" si="249"/>
        <v>1</v>
      </c>
      <c r="Y399" s="286">
        <f t="shared" si="250"/>
        <v>0.17335969315081967</v>
      </c>
      <c r="Z399" s="286">
        <f t="shared" si="251"/>
        <v>0.54964853345132902</v>
      </c>
      <c r="AA399" s="286">
        <f t="shared" si="283"/>
        <v>0.17335969315081967</v>
      </c>
      <c r="AB399" s="197">
        <f t="shared" si="252"/>
        <v>0.36419974881911377</v>
      </c>
      <c r="AC399" s="287">
        <f t="shared" si="253"/>
        <v>4.4451203372005044E-7</v>
      </c>
      <c r="AD399" s="197">
        <f t="shared" si="284"/>
        <v>11.693936048110356</v>
      </c>
      <c r="AE399" s="197">
        <f t="shared" si="285"/>
        <v>35.08180814433107</v>
      </c>
      <c r="AF399" s="197">
        <f t="shared" si="286"/>
        <v>8.5178571428571423E-2</v>
      </c>
      <c r="AG399" s="197">
        <f t="shared" si="287"/>
        <v>0.25553571428571431</v>
      </c>
      <c r="AH399" s="197">
        <f t="shared" si="254"/>
        <v>0.11660930017110901</v>
      </c>
      <c r="AI399" s="197">
        <f t="shared" si="288"/>
        <v>0.11660930017110901</v>
      </c>
      <c r="AJ399" s="218">
        <f t="shared" si="255"/>
        <v>390.00000000000006</v>
      </c>
      <c r="AK399" s="197">
        <f t="shared" si="289"/>
        <v>6.0930617977437734E-2</v>
      </c>
      <c r="AL399" s="197">
        <f t="shared" si="290"/>
        <v>9.6203707235237593E-2</v>
      </c>
      <c r="AM399" s="197">
        <f t="shared" si="291"/>
        <v>4.0790371867740751E-3</v>
      </c>
      <c r="AN399" s="197">
        <f t="shared" si="256"/>
        <v>24.05</v>
      </c>
      <c r="AO399" s="197">
        <f t="shared" si="257"/>
        <v>21.69</v>
      </c>
      <c r="AP399" s="197">
        <f t="shared" si="292"/>
        <v>7.4093290390420161E-2</v>
      </c>
      <c r="AQ399" s="197">
        <f t="shared" si="293"/>
        <v>0.42250439890466829</v>
      </c>
      <c r="AR399" s="197">
        <f t="shared" si="294"/>
        <v>0.30589509873355925</v>
      </c>
      <c r="AS399" s="258">
        <f t="shared" si="295"/>
        <v>0.15228632177729159</v>
      </c>
      <c r="AT399" s="197">
        <f t="shared" si="258"/>
        <v>2.5974058656511614E-4</v>
      </c>
      <c r="AU399" s="194">
        <f t="shared" si="259"/>
        <v>21.19</v>
      </c>
      <c r="AV399" s="197">
        <f t="shared" si="260"/>
        <v>2.7E-2</v>
      </c>
      <c r="AW399" s="197">
        <f t="shared" si="261"/>
        <v>3.4260000000000002E-3</v>
      </c>
      <c r="AX399" s="197">
        <f t="shared" si="296"/>
        <v>6.1668000000000001E-2</v>
      </c>
      <c r="AY399" s="197">
        <f t="shared" si="262"/>
        <v>2.8867476000000005E-3</v>
      </c>
      <c r="AZ399" s="197">
        <f t="shared" si="263"/>
        <v>0</v>
      </c>
      <c r="BA399" s="197">
        <f t="shared" si="297"/>
        <v>7.2596940000000013E-2</v>
      </c>
      <c r="BB399" s="258">
        <f t="shared" si="264"/>
        <v>0.36575210336206115</v>
      </c>
      <c r="BC399" s="197">
        <f t="shared" si="265"/>
        <v>2.2380490766334034E-2</v>
      </c>
      <c r="BD399" s="197">
        <f t="shared" si="298"/>
        <v>4.4760981532668068E-3</v>
      </c>
      <c r="BE399" s="197">
        <f t="shared" si="299"/>
        <v>2.6856588919600841E-2</v>
      </c>
      <c r="BF399" s="197">
        <f t="shared" si="266"/>
        <v>0.20773291256157633</v>
      </c>
      <c r="BG399" s="197">
        <f t="shared" si="267"/>
        <v>5.4608303342508187E-4</v>
      </c>
      <c r="BH399" s="197">
        <f t="shared" si="268"/>
        <v>3.5336687086656722E-2</v>
      </c>
      <c r="BI399" s="197">
        <f t="shared" si="300"/>
        <v>0.44730899017824427</v>
      </c>
      <c r="BJ399" s="197">
        <f t="shared" si="269"/>
        <v>6.769615024661003</v>
      </c>
      <c r="BK399" s="288">
        <f t="shared" si="270"/>
        <v>0.93392401361838984</v>
      </c>
      <c r="BL399" s="197">
        <f t="shared" si="271"/>
        <v>0.37608972359227794</v>
      </c>
      <c r="BM399" s="197">
        <f t="shared" si="272"/>
        <v>7.4353030976985271E-2</v>
      </c>
      <c r="BN399" s="197">
        <f t="shared" si="273"/>
        <v>54.461181858619113</v>
      </c>
      <c r="BO399" s="197">
        <f t="shared" si="301"/>
        <v>0.2082789955950014</v>
      </c>
      <c r="BP399" s="197">
        <f t="shared" si="274"/>
        <v>65.620924669625111</v>
      </c>
      <c r="BQ399" s="197">
        <f t="shared" si="275"/>
        <v>9.9596940000000009E-2</v>
      </c>
      <c r="BR399" s="288">
        <f t="shared" si="276"/>
        <v>0.16008975919012108</v>
      </c>
      <c r="BS399" s="197">
        <f t="shared" si="277"/>
        <v>0.11660930017110901</v>
      </c>
      <c r="BT399" s="197">
        <f t="shared" si="278"/>
        <v>0.36419974881911377</v>
      </c>
      <c r="BU399" s="197">
        <f t="shared" si="279"/>
        <v>0.1713930788771201</v>
      </c>
      <c r="BV399" s="197">
        <f t="shared" si="280"/>
        <v>0.53530306917875781</v>
      </c>
      <c r="BW399" s="194"/>
      <c r="BX399" s="194"/>
      <c r="BY399" s="194"/>
      <c r="BZ399" s="194"/>
      <c r="CA399" s="194"/>
      <c r="CB399" s="194"/>
      <c r="CC399" s="194"/>
      <c r="CD399" s="194"/>
      <c r="CE399" s="194"/>
      <c r="CF399" s="194"/>
      <c r="CG399" s="194"/>
      <c r="CH399" s="194"/>
      <c r="CI399" s="194"/>
      <c r="CJ399" s="194"/>
      <c r="CK399" s="194"/>
      <c r="CL399" s="194"/>
      <c r="CM399" s="194"/>
      <c r="CN399" s="194"/>
      <c r="CO399" s="194"/>
      <c r="CP399" s="194"/>
      <c r="CQ399" s="194"/>
      <c r="CR399" s="194"/>
      <c r="CS399" s="194"/>
      <c r="CT399" s="194"/>
      <c r="CU399" s="194"/>
      <c r="CV399" s="194"/>
      <c r="CW399" s="194"/>
      <c r="CX399" s="194"/>
      <c r="CY399" s="194"/>
      <c r="CZ399" s="194"/>
      <c r="DA399" s="194"/>
      <c r="DB399" s="194"/>
      <c r="DC399" s="194"/>
      <c r="DD399" s="194"/>
      <c r="DE399" s="194"/>
      <c r="DF399" s="194"/>
    </row>
    <row r="400" spans="2:110" s="192" customFormat="1" hidden="1" x14ac:dyDescent="0.35">
      <c r="B400" s="289"/>
      <c r="C400" s="289"/>
      <c r="Q400" s="193"/>
      <c r="R400" s="194">
        <f t="shared" si="281"/>
        <v>18</v>
      </c>
      <c r="S400" s="197">
        <f t="shared" si="247"/>
        <v>0.3888888888888889</v>
      </c>
      <c r="T400" s="194">
        <f t="shared" si="302"/>
        <v>0.69</v>
      </c>
      <c r="U400" s="194">
        <f t="shared" si="303"/>
        <v>1.4999999999999999E-4</v>
      </c>
      <c r="V400" s="197">
        <f t="shared" si="282"/>
        <v>0.3888888888888889</v>
      </c>
      <c r="W400" s="197">
        <f t="shared" si="248"/>
        <v>4.3555555555555561E-3</v>
      </c>
      <c r="X400" s="286">
        <f t="shared" si="249"/>
        <v>1</v>
      </c>
      <c r="Y400" s="286">
        <f t="shared" si="250"/>
        <v>0.17335969315081967</v>
      </c>
      <c r="Z400" s="286">
        <f t="shared" si="251"/>
        <v>0.54964853345132902</v>
      </c>
      <c r="AA400" s="286">
        <f t="shared" si="283"/>
        <v>0.17335969315081967</v>
      </c>
      <c r="AB400" s="197">
        <f t="shared" si="252"/>
        <v>0.36419974881911377</v>
      </c>
      <c r="AC400" s="287">
        <f t="shared" si="253"/>
        <v>4.4451203372005044E-7</v>
      </c>
      <c r="AD400" s="197">
        <f t="shared" si="284"/>
        <v>11.693936048110356</v>
      </c>
      <c r="AE400" s="197">
        <f t="shared" si="285"/>
        <v>35.08180814433107</v>
      </c>
      <c r="AF400" s="197">
        <f t="shared" si="286"/>
        <v>8.5178571428571423E-2</v>
      </c>
      <c r="AG400" s="197">
        <f t="shared" si="287"/>
        <v>0.25553571428571431</v>
      </c>
      <c r="AH400" s="197">
        <f t="shared" si="254"/>
        <v>0.11660930017110901</v>
      </c>
      <c r="AI400" s="197">
        <f t="shared" si="288"/>
        <v>0.11660930017110901</v>
      </c>
      <c r="AJ400" s="218">
        <f t="shared" si="255"/>
        <v>390.00000000000006</v>
      </c>
      <c r="AK400" s="197">
        <f t="shared" si="289"/>
        <v>6.0930617977437734E-2</v>
      </c>
      <c r="AL400" s="197">
        <f t="shared" si="290"/>
        <v>9.6203707235237593E-2</v>
      </c>
      <c r="AM400" s="197">
        <f t="shared" si="291"/>
        <v>4.0790371867740751E-3</v>
      </c>
      <c r="AN400" s="197">
        <f t="shared" si="256"/>
        <v>24.05</v>
      </c>
      <c r="AO400" s="197">
        <f t="shared" si="257"/>
        <v>21.69</v>
      </c>
      <c r="AP400" s="197">
        <f t="shared" si="292"/>
        <v>7.4093290390420161E-2</v>
      </c>
      <c r="AQ400" s="197">
        <f t="shared" si="293"/>
        <v>0.42250439890466829</v>
      </c>
      <c r="AR400" s="197">
        <f t="shared" si="294"/>
        <v>0.30589509873355925</v>
      </c>
      <c r="AS400" s="258">
        <f t="shared" si="295"/>
        <v>0.15228632177729159</v>
      </c>
      <c r="AT400" s="197">
        <f t="shared" si="258"/>
        <v>2.5974058656511614E-4</v>
      </c>
      <c r="AU400" s="194">
        <f t="shared" si="259"/>
        <v>21.19</v>
      </c>
      <c r="AV400" s="197">
        <f t="shared" si="260"/>
        <v>2.7E-2</v>
      </c>
      <c r="AW400" s="197">
        <f t="shared" si="261"/>
        <v>3.4260000000000002E-3</v>
      </c>
      <c r="AX400" s="197">
        <f t="shared" si="296"/>
        <v>6.1668000000000001E-2</v>
      </c>
      <c r="AY400" s="197">
        <f t="shared" si="262"/>
        <v>2.8867476000000005E-3</v>
      </c>
      <c r="AZ400" s="197">
        <f t="shared" si="263"/>
        <v>0</v>
      </c>
      <c r="BA400" s="197">
        <f t="shared" si="297"/>
        <v>7.2596940000000013E-2</v>
      </c>
      <c r="BB400" s="258">
        <f t="shared" si="264"/>
        <v>0.36575210336206115</v>
      </c>
      <c r="BC400" s="197">
        <f t="shared" si="265"/>
        <v>2.2380490766334034E-2</v>
      </c>
      <c r="BD400" s="197">
        <f t="shared" si="298"/>
        <v>4.4760981532668068E-3</v>
      </c>
      <c r="BE400" s="197">
        <f t="shared" si="299"/>
        <v>2.6856588919600841E-2</v>
      </c>
      <c r="BF400" s="197">
        <f t="shared" si="266"/>
        <v>0.20773291256157633</v>
      </c>
      <c r="BG400" s="197">
        <f t="shared" si="267"/>
        <v>5.4608303342508187E-4</v>
      </c>
      <c r="BH400" s="197">
        <f t="shared" si="268"/>
        <v>3.5336687086656722E-2</v>
      </c>
      <c r="BI400" s="197">
        <f t="shared" si="300"/>
        <v>0.44730899017824427</v>
      </c>
      <c r="BJ400" s="197">
        <f t="shared" si="269"/>
        <v>6.769615024661003</v>
      </c>
      <c r="BK400" s="288">
        <f t="shared" si="270"/>
        <v>0.93392401361838984</v>
      </c>
      <c r="BL400" s="197">
        <f t="shared" si="271"/>
        <v>0.37608972359227794</v>
      </c>
      <c r="BM400" s="197">
        <f t="shared" si="272"/>
        <v>7.4353030976985271E-2</v>
      </c>
      <c r="BN400" s="197">
        <f t="shared" si="273"/>
        <v>54.461181858619113</v>
      </c>
      <c r="BO400" s="197">
        <f t="shared" si="301"/>
        <v>0.2082789955950014</v>
      </c>
      <c r="BP400" s="197">
        <f t="shared" si="274"/>
        <v>65.620924669625111</v>
      </c>
      <c r="BQ400" s="197">
        <f t="shared" si="275"/>
        <v>9.9596940000000009E-2</v>
      </c>
      <c r="BR400" s="288">
        <f t="shared" si="276"/>
        <v>0.16008975919012108</v>
      </c>
      <c r="BS400" s="197">
        <f t="shared" si="277"/>
        <v>0.11660930017110901</v>
      </c>
      <c r="BT400" s="197">
        <f t="shared" si="278"/>
        <v>0.36419974881911377</v>
      </c>
      <c r="BU400" s="197">
        <f t="shared" si="279"/>
        <v>0.1713930788771201</v>
      </c>
      <c r="BV400" s="197">
        <f t="shared" si="280"/>
        <v>0.53530306917875781</v>
      </c>
      <c r="BW400" s="194"/>
      <c r="BX400" s="194"/>
      <c r="BY400" s="194"/>
      <c r="BZ400" s="194"/>
      <c r="CA400" s="194"/>
      <c r="CB400" s="194"/>
      <c r="CC400" s="194"/>
      <c r="CD400" s="194"/>
      <c r="CE400" s="194"/>
      <c r="CF400" s="194"/>
      <c r="CG400" s="194"/>
      <c r="CH400" s="194"/>
      <c r="CI400" s="194"/>
      <c r="CJ400" s="194"/>
      <c r="CK400" s="194"/>
      <c r="CL400" s="194"/>
      <c r="CM400" s="194"/>
      <c r="CN400" s="194"/>
      <c r="CO400" s="194"/>
      <c r="CP400" s="194"/>
      <c r="CQ400" s="194"/>
      <c r="CR400" s="194"/>
      <c r="CS400" s="194"/>
      <c r="CT400" s="194"/>
      <c r="CU400" s="194"/>
      <c r="CV400" s="194"/>
      <c r="CW400" s="194"/>
      <c r="CX400" s="194"/>
      <c r="CY400" s="194"/>
      <c r="CZ400" s="194"/>
      <c r="DA400" s="194"/>
      <c r="DB400" s="194"/>
      <c r="DC400" s="194"/>
      <c r="DD400" s="194"/>
      <c r="DE400" s="194"/>
      <c r="DF400" s="194"/>
    </row>
    <row r="401" spans="2:110" s="192" customFormat="1" hidden="1" x14ac:dyDescent="0.35">
      <c r="B401" s="289"/>
      <c r="C401" s="289"/>
      <c r="Q401" s="193"/>
      <c r="R401" s="194">
        <f t="shared" si="281"/>
        <v>18</v>
      </c>
      <c r="S401" s="197">
        <f t="shared" si="247"/>
        <v>0.3888888888888889</v>
      </c>
      <c r="T401" s="194">
        <f t="shared" si="302"/>
        <v>0.69</v>
      </c>
      <c r="U401" s="194">
        <f t="shared" si="303"/>
        <v>1.4999999999999999E-4</v>
      </c>
      <c r="V401" s="197">
        <f t="shared" si="282"/>
        <v>0.3888888888888889</v>
      </c>
      <c r="W401" s="197">
        <f t="shared" si="248"/>
        <v>4.3555555555555561E-3</v>
      </c>
      <c r="X401" s="286">
        <f t="shared" si="249"/>
        <v>1</v>
      </c>
      <c r="Y401" s="286">
        <f t="shared" si="250"/>
        <v>0.17335969315081967</v>
      </c>
      <c r="Z401" s="286">
        <f t="shared" si="251"/>
        <v>0.54964853345132902</v>
      </c>
      <c r="AA401" s="286">
        <f t="shared" si="283"/>
        <v>0.17335969315081967</v>
      </c>
      <c r="AB401" s="197">
        <f t="shared" si="252"/>
        <v>0.36419974881911377</v>
      </c>
      <c r="AC401" s="287">
        <f t="shared" si="253"/>
        <v>4.4451203372005044E-7</v>
      </c>
      <c r="AD401" s="197">
        <f t="shared" si="284"/>
        <v>11.693936048110356</v>
      </c>
      <c r="AE401" s="197">
        <f t="shared" si="285"/>
        <v>35.08180814433107</v>
      </c>
      <c r="AF401" s="197">
        <f t="shared" si="286"/>
        <v>8.5178571428571423E-2</v>
      </c>
      <c r="AG401" s="197">
        <f t="shared" si="287"/>
        <v>0.25553571428571431</v>
      </c>
      <c r="AH401" s="197">
        <f t="shared" si="254"/>
        <v>0.11660930017110901</v>
      </c>
      <c r="AI401" s="197">
        <f t="shared" si="288"/>
        <v>0.11660930017110901</v>
      </c>
      <c r="AJ401" s="218">
        <f t="shared" si="255"/>
        <v>390.00000000000006</v>
      </c>
      <c r="AK401" s="197">
        <f t="shared" si="289"/>
        <v>6.0930617977437734E-2</v>
      </c>
      <c r="AL401" s="197">
        <f t="shared" si="290"/>
        <v>9.6203707235237593E-2</v>
      </c>
      <c r="AM401" s="197">
        <f t="shared" si="291"/>
        <v>4.0790371867740751E-3</v>
      </c>
      <c r="AN401" s="197">
        <f t="shared" si="256"/>
        <v>24.05</v>
      </c>
      <c r="AO401" s="197">
        <f t="shared" si="257"/>
        <v>21.69</v>
      </c>
      <c r="AP401" s="197">
        <f t="shared" si="292"/>
        <v>7.4093290390420161E-2</v>
      </c>
      <c r="AQ401" s="197">
        <f t="shared" si="293"/>
        <v>0.42250439890466829</v>
      </c>
      <c r="AR401" s="197">
        <f t="shared" si="294"/>
        <v>0.30589509873355925</v>
      </c>
      <c r="AS401" s="258">
        <f t="shared" si="295"/>
        <v>0.15228632177729159</v>
      </c>
      <c r="AT401" s="197">
        <f t="shared" si="258"/>
        <v>2.5974058656511614E-4</v>
      </c>
      <c r="AU401" s="194">
        <f t="shared" si="259"/>
        <v>21.19</v>
      </c>
      <c r="AV401" s="197">
        <f t="shared" si="260"/>
        <v>2.7E-2</v>
      </c>
      <c r="AW401" s="197">
        <f t="shared" si="261"/>
        <v>3.4260000000000002E-3</v>
      </c>
      <c r="AX401" s="197">
        <f t="shared" si="296"/>
        <v>6.1668000000000001E-2</v>
      </c>
      <c r="AY401" s="197">
        <f t="shared" si="262"/>
        <v>2.8867476000000005E-3</v>
      </c>
      <c r="AZ401" s="197">
        <f t="shared" si="263"/>
        <v>0</v>
      </c>
      <c r="BA401" s="197">
        <f t="shared" si="297"/>
        <v>7.2596940000000013E-2</v>
      </c>
      <c r="BB401" s="258">
        <f t="shared" si="264"/>
        <v>0.36575210336206115</v>
      </c>
      <c r="BC401" s="197">
        <f t="shared" si="265"/>
        <v>2.2380490766334034E-2</v>
      </c>
      <c r="BD401" s="197">
        <f t="shared" si="298"/>
        <v>4.4760981532668068E-3</v>
      </c>
      <c r="BE401" s="197">
        <f t="shared" si="299"/>
        <v>2.6856588919600841E-2</v>
      </c>
      <c r="BF401" s="197">
        <f t="shared" si="266"/>
        <v>0.20773291256157633</v>
      </c>
      <c r="BG401" s="197">
        <f t="shared" si="267"/>
        <v>5.4608303342508187E-4</v>
      </c>
      <c r="BH401" s="197">
        <f t="shared" si="268"/>
        <v>3.5336687086656722E-2</v>
      </c>
      <c r="BI401" s="197">
        <f t="shared" si="300"/>
        <v>0.44730899017824427</v>
      </c>
      <c r="BJ401" s="197">
        <f t="shared" si="269"/>
        <v>6.769615024661003</v>
      </c>
      <c r="BK401" s="288">
        <f t="shared" si="270"/>
        <v>0.93392401361838984</v>
      </c>
      <c r="BL401" s="197">
        <f t="shared" si="271"/>
        <v>0.37608972359227794</v>
      </c>
      <c r="BM401" s="197">
        <f t="shared" si="272"/>
        <v>7.4353030976985271E-2</v>
      </c>
      <c r="BN401" s="197">
        <f t="shared" si="273"/>
        <v>54.461181858619113</v>
      </c>
      <c r="BO401" s="197">
        <f t="shared" si="301"/>
        <v>0.2082789955950014</v>
      </c>
      <c r="BP401" s="197">
        <f t="shared" si="274"/>
        <v>65.620924669625111</v>
      </c>
      <c r="BQ401" s="197">
        <f t="shared" si="275"/>
        <v>9.9596940000000009E-2</v>
      </c>
      <c r="BR401" s="288">
        <f t="shared" si="276"/>
        <v>0.16008975919012108</v>
      </c>
      <c r="BS401" s="197">
        <f t="shared" si="277"/>
        <v>0.11660930017110901</v>
      </c>
      <c r="BT401" s="197">
        <f t="shared" si="278"/>
        <v>0.36419974881911377</v>
      </c>
      <c r="BU401" s="197">
        <f t="shared" si="279"/>
        <v>0.1713930788771201</v>
      </c>
      <c r="BV401" s="197">
        <f t="shared" si="280"/>
        <v>0.53530306917875781</v>
      </c>
      <c r="BW401" s="194"/>
      <c r="BX401" s="194"/>
      <c r="BY401" s="194"/>
      <c r="BZ401" s="194"/>
      <c r="CA401" s="194"/>
      <c r="CB401" s="194"/>
      <c r="CC401" s="194"/>
      <c r="CD401" s="194"/>
      <c r="CE401" s="194"/>
      <c r="CF401" s="194"/>
      <c r="CG401" s="194"/>
      <c r="CH401" s="194"/>
      <c r="CI401" s="194"/>
      <c r="CJ401" s="194"/>
      <c r="CK401" s="194"/>
      <c r="CL401" s="194"/>
      <c r="CM401" s="194"/>
      <c r="CN401" s="194"/>
      <c r="CO401" s="194"/>
      <c r="CP401" s="194"/>
      <c r="CQ401" s="194"/>
      <c r="CR401" s="194"/>
      <c r="CS401" s="194"/>
      <c r="CT401" s="194"/>
      <c r="CU401" s="194"/>
      <c r="CV401" s="194"/>
      <c r="CW401" s="194"/>
      <c r="CX401" s="194"/>
      <c r="CY401" s="194"/>
      <c r="CZ401" s="194"/>
      <c r="DA401" s="194"/>
      <c r="DB401" s="194"/>
      <c r="DC401" s="194"/>
      <c r="DD401" s="194"/>
      <c r="DE401" s="194"/>
      <c r="DF401" s="194"/>
    </row>
    <row r="402" spans="2:110" s="192" customFormat="1" hidden="1" x14ac:dyDescent="0.35">
      <c r="B402" s="289"/>
      <c r="C402" s="289"/>
      <c r="Q402" s="193"/>
      <c r="R402" s="194">
        <f t="shared" si="281"/>
        <v>18</v>
      </c>
      <c r="S402" s="197">
        <f t="shared" si="247"/>
        <v>0.3888888888888889</v>
      </c>
      <c r="T402" s="194">
        <f t="shared" si="302"/>
        <v>0.69</v>
      </c>
      <c r="U402" s="194">
        <f t="shared" si="303"/>
        <v>1.4999999999999999E-4</v>
      </c>
      <c r="V402" s="197">
        <f t="shared" si="282"/>
        <v>0.3888888888888889</v>
      </c>
      <c r="W402" s="197">
        <f t="shared" si="248"/>
        <v>4.3555555555555561E-3</v>
      </c>
      <c r="X402" s="286">
        <f t="shared" si="249"/>
        <v>1</v>
      </c>
      <c r="Y402" s="286">
        <f t="shared" si="250"/>
        <v>0.17335969315081967</v>
      </c>
      <c r="Z402" s="286">
        <f t="shared" si="251"/>
        <v>0.54964853345132902</v>
      </c>
      <c r="AA402" s="286">
        <f t="shared" si="283"/>
        <v>0.17335969315081967</v>
      </c>
      <c r="AB402" s="197">
        <f t="shared" si="252"/>
        <v>0.36419974881911377</v>
      </c>
      <c r="AC402" s="287">
        <f t="shared" si="253"/>
        <v>4.4451203372005044E-7</v>
      </c>
      <c r="AD402" s="197">
        <f t="shared" si="284"/>
        <v>11.693936048110356</v>
      </c>
      <c r="AE402" s="197">
        <f t="shared" si="285"/>
        <v>35.08180814433107</v>
      </c>
      <c r="AF402" s="197">
        <f t="shared" si="286"/>
        <v>8.5178571428571423E-2</v>
      </c>
      <c r="AG402" s="197">
        <f t="shared" si="287"/>
        <v>0.25553571428571431</v>
      </c>
      <c r="AH402" s="197">
        <f t="shared" si="254"/>
        <v>0.11660930017110901</v>
      </c>
      <c r="AI402" s="197">
        <f t="shared" si="288"/>
        <v>0.11660930017110901</v>
      </c>
      <c r="AJ402" s="218">
        <f t="shared" si="255"/>
        <v>390.00000000000006</v>
      </c>
      <c r="AK402" s="197">
        <f t="shared" si="289"/>
        <v>6.0930617977437734E-2</v>
      </c>
      <c r="AL402" s="197">
        <f t="shared" si="290"/>
        <v>9.6203707235237593E-2</v>
      </c>
      <c r="AM402" s="197">
        <f t="shared" si="291"/>
        <v>4.0790371867740751E-3</v>
      </c>
      <c r="AN402" s="197">
        <f t="shared" si="256"/>
        <v>24.05</v>
      </c>
      <c r="AO402" s="197">
        <f t="shared" si="257"/>
        <v>21.69</v>
      </c>
      <c r="AP402" s="197">
        <f t="shared" si="292"/>
        <v>7.4093290390420161E-2</v>
      </c>
      <c r="AQ402" s="197">
        <f t="shared" si="293"/>
        <v>0.42250439890466829</v>
      </c>
      <c r="AR402" s="197">
        <f t="shared" si="294"/>
        <v>0.30589509873355925</v>
      </c>
      <c r="AS402" s="258">
        <f t="shared" si="295"/>
        <v>0.15228632177729159</v>
      </c>
      <c r="AT402" s="197">
        <f t="shared" si="258"/>
        <v>2.5974058656511614E-4</v>
      </c>
      <c r="AU402" s="194">
        <f t="shared" si="259"/>
        <v>21.19</v>
      </c>
      <c r="AV402" s="197">
        <f t="shared" si="260"/>
        <v>2.7E-2</v>
      </c>
      <c r="AW402" s="197">
        <f t="shared" si="261"/>
        <v>3.4260000000000002E-3</v>
      </c>
      <c r="AX402" s="197">
        <f t="shared" si="296"/>
        <v>6.1668000000000001E-2</v>
      </c>
      <c r="AY402" s="197">
        <f t="shared" si="262"/>
        <v>2.8867476000000005E-3</v>
      </c>
      <c r="AZ402" s="197">
        <f t="shared" si="263"/>
        <v>0</v>
      </c>
      <c r="BA402" s="197">
        <f t="shared" si="297"/>
        <v>7.2596940000000013E-2</v>
      </c>
      <c r="BB402" s="258">
        <f t="shared" si="264"/>
        <v>0.36575210336206115</v>
      </c>
      <c r="BC402" s="197">
        <f t="shared" si="265"/>
        <v>2.2380490766334034E-2</v>
      </c>
      <c r="BD402" s="197">
        <f t="shared" si="298"/>
        <v>4.4760981532668068E-3</v>
      </c>
      <c r="BE402" s="197">
        <f t="shared" si="299"/>
        <v>2.6856588919600841E-2</v>
      </c>
      <c r="BF402" s="197">
        <f t="shared" si="266"/>
        <v>0.20773291256157633</v>
      </c>
      <c r="BG402" s="197">
        <f t="shared" si="267"/>
        <v>5.4608303342508187E-4</v>
      </c>
      <c r="BH402" s="197">
        <f t="shared" si="268"/>
        <v>3.5336687086656722E-2</v>
      </c>
      <c r="BI402" s="197">
        <f t="shared" si="300"/>
        <v>0.44730899017824427</v>
      </c>
      <c r="BJ402" s="197">
        <f t="shared" si="269"/>
        <v>6.769615024661003</v>
      </c>
      <c r="BK402" s="288">
        <f t="shared" si="270"/>
        <v>0.93392401361838984</v>
      </c>
      <c r="BL402" s="197">
        <f t="shared" si="271"/>
        <v>0.37608972359227794</v>
      </c>
      <c r="BM402" s="197">
        <f t="shared" si="272"/>
        <v>7.4353030976985271E-2</v>
      </c>
      <c r="BN402" s="197">
        <f t="shared" si="273"/>
        <v>54.461181858619113</v>
      </c>
      <c r="BO402" s="197">
        <f t="shared" si="301"/>
        <v>0.2082789955950014</v>
      </c>
      <c r="BP402" s="197">
        <f t="shared" si="274"/>
        <v>65.620924669625111</v>
      </c>
      <c r="BQ402" s="197">
        <f t="shared" si="275"/>
        <v>9.9596940000000009E-2</v>
      </c>
      <c r="BR402" s="288">
        <f t="shared" si="276"/>
        <v>0.16008975919012108</v>
      </c>
      <c r="BS402" s="197">
        <f t="shared" si="277"/>
        <v>0.11660930017110901</v>
      </c>
      <c r="BT402" s="197">
        <f t="shared" si="278"/>
        <v>0.36419974881911377</v>
      </c>
      <c r="BU402" s="197">
        <f t="shared" si="279"/>
        <v>0.1713930788771201</v>
      </c>
      <c r="BV402" s="197">
        <f t="shared" si="280"/>
        <v>0.53530306917875781</v>
      </c>
      <c r="BW402" s="194"/>
      <c r="BX402" s="194"/>
      <c r="BY402" s="194"/>
      <c r="BZ402" s="194"/>
      <c r="CA402" s="194"/>
      <c r="CB402" s="194"/>
      <c r="CC402" s="194"/>
      <c r="CD402" s="194"/>
      <c r="CE402" s="194"/>
      <c r="CF402" s="194"/>
      <c r="CG402" s="194"/>
      <c r="CH402" s="194"/>
      <c r="CI402" s="194"/>
      <c r="CJ402" s="194"/>
      <c r="CK402" s="194"/>
      <c r="CL402" s="194"/>
      <c r="CM402" s="194"/>
      <c r="CN402" s="194"/>
      <c r="CO402" s="194"/>
      <c r="CP402" s="194"/>
      <c r="CQ402" s="194"/>
      <c r="CR402" s="194"/>
      <c r="CS402" s="194"/>
      <c r="CT402" s="194"/>
      <c r="CU402" s="194"/>
      <c r="CV402" s="194"/>
      <c r="CW402" s="194"/>
      <c r="CX402" s="194"/>
      <c r="CY402" s="194"/>
      <c r="CZ402" s="194"/>
      <c r="DA402" s="194"/>
      <c r="DB402" s="194"/>
      <c r="DC402" s="194"/>
      <c r="DD402" s="194"/>
      <c r="DE402" s="194"/>
      <c r="DF402" s="194"/>
    </row>
    <row r="403" spans="2:110" s="192" customFormat="1" hidden="1" x14ac:dyDescent="0.35">
      <c r="B403" s="289"/>
      <c r="C403" s="289"/>
      <c r="Q403" s="193"/>
      <c r="R403" s="194">
        <f t="shared" si="281"/>
        <v>18</v>
      </c>
      <c r="S403" s="197">
        <f t="shared" si="247"/>
        <v>0.3888888888888889</v>
      </c>
      <c r="T403" s="194">
        <f t="shared" si="302"/>
        <v>0.69</v>
      </c>
      <c r="U403" s="194">
        <f t="shared" si="303"/>
        <v>1.4999999999999999E-4</v>
      </c>
      <c r="V403" s="197">
        <f t="shared" si="282"/>
        <v>0.3888888888888889</v>
      </c>
      <c r="W403" s="197">
        <f t="shared" si="248"/>
        <v>4.3555555555555561E-3</v>
      </c>
      <c r="X403" s="286">
        <f t="shared" si="249"/>
        <v>1</v>
      </c>
      <c r="Y403" s="286">
        <f t="shared" si="250"/>
        <v>0.17335969315081967</v>
      </c>
      <c r="Z403" s="286">
        <f t="shared" si="251"/>
        <v>0.54964853345132902</v>
      </c>
      <c r="AA403" s="286">
        <f t="shared" si="283"/>
        <v>0.17335969315081967</v>
      </c>
      <c r="AB403" s="197">
        <f t="shared" si="252"/>
        <v>0.36419974881911377</v>
      </c>
      <c r="AC403" s="287">
        <f t="shared" si="253"/>
        <v>4.4451203372005044E-7</v>
      </c>
      <c r="AD403" s="197">
        <f t="shared" si="284"/>
        <v>11.693936048110356</v>
      </c>
      <c r="AE403" s="197">
        <f t="shared" si="285"/>
        <v>35.08180814433107</v>
      </c>
      <c r="AF403" s="197">
        <f t="shared" si="286"/>
        <v>8.5178571428571423E-2</v>
      </c>
      <c r="AG403" s="197">
        <f t="shared" si="287"/>
        <v>0.25553571428571431</v>
      </c>
      <c r="AH403" s="197">
        <f t="shared" si="254"/>
        <v>0.11660930017110901</v>
      </c>
      <c r="AI403" s="197">
        <f t="shared" si="288"/>
        <v>0.11660930017110901</v>
      </c>
      <c r="AJ403" s="218">
        <f t="shared" si="255"/>
        <v>390.00000000000006</v>
      </c>
      <c r="AK403" s="197">
        <f t="shared" si="289"/>
        <v>6.0930617977437734E-2</v>
      </c>
      <c r="AL403" s="197">
        <f t="shared" si="290"/>
        <v>9.6203707235237593E-2</v>
      </c>
      <c r="AM403" s="197">
        <f t="shared" si="291"/>
        <v>4.0790371867740751E-3</v>
      </c>
      <c r="AN403" s="197">
        <f t="shared" si="256"/>
        <v>24.05</v>
      </c>
      <c r="AO403" s="197">
        <f t="shared" si="257"/>
        <v>21.69</v>
      </c>
      <c r="AP403" s="197">
        <f t="shared" si="292"/>
        <v>7.4093290390420161E-2</v>
      </c>
      <c r="AQ403" s="197">
        <f t="shared" si="293"/>
        <v>0.42250439890466829</v>
      </c>
      <c r="AR403" s="197">
        <f t="shared" si="294"/>
        <v>0.30589509873355925</v>
      </c>
      <c r="AS403" s="258">
        <f t="shared" si="295"/>
        <v>0.15228632177729159</v>
      </c>
      <c r="AT403" s="197">
        <f t="shared" si="258"/>
        <v>2.5974058656511614E-4</v>
      </c>
      <c r="AU403" s="194">
        <f t="shared" si="259"/>
        <v>21.19</v>
      </c>
      <c r="AV403" s="197">
        <f t="shared" si="260"/>
        <v>2.7E-2</v>
      </c>
      <c r="AW403" s="197">
        <f t="shared" si="261"/>
        <v>3.4260000000000002E-3</v>
      </c>
      <c r="AX403" s="197">
        <f t="shared" si="296"/>
        <v>6.1668000000000001E-2</v>
      </c>
      <c r="AY403" s="197">
        <f t="shared" si="262"/>
        <v>2.8867476000000005E-3</v>
      </c>
      <c r="AZ403" s="197">
        <f t="shared" si="263"/>
        <v>0</v>
      </c>
      <c r="BA403" s="197">
        <f t="shared" si="297"/>
        <v>7.2596940000000013E-2</v>
      </c>
      <c r="BB403" s="258">
        <f t="shared" si="264"/>
        <v>0.36575210336206115</v>
      </c>
      <c r="BC403" s="197">
        <f t="shared" si="265"/>
        <v>2.2380490766334034E-2</v>
      </c>
      <c r="BD403" s="197">
        <f t="shared" si="298"/>
        <v>4.4760981532668068E-3</v>
      </c>
      <c r="BE403" s="197">
        <f t="shared" si="299"/>
        <v>2.6856588919600841E-2</v>
      </c>
      <c r="BF403" s="197">
        <f t="shared" si="266"/>
        <v>0.20773291256157633</v>
      </c>
      <c r="BG403" s="197">
        <f t="shared" si="267"/>
        <v>5.4608303342508187E-4</v>
      </c>
      <c r="BH403" s="197">
        <f t="shared" si="268"/>
        <v>3.5336687086656722E-2</v>
      </c>
      <c r="BI403" s="197">
        <f t="shared" si="300"/>
        <v>0.44730899017824427</v>
      </c>
      <c r="BJ403" s="197">
        <f t="shared" si="269"/>
        <v>6.769615024661003</v>
      </c>
      <c r="BK403" s="288">
        <f t="shared" si="270"/>
        <v>0.93392401361838984</v>
      </c>
      <c r="BL403" s="197">
        <f t="shared" si="271"/>
        <v>0.37608972359227794</v>
      </c>
      <c r="BM403" s="197">
        <f t="shared" si="272"/>
        <v>7.4353030976985271E-2</v>
      </c>
      <c r="BN403" s="197">
        <f t="shared" si="273"/>
        <v>54.461181858619113</v>
      </c>
      <c r="BO403" s="197">
        <f t="shared" si="301"/>
        <v>0.2082789955950014</v>
      </c>
      <c r="BP403" s="197">
        <f t="shared" si="274"/>
        <v>65.620924669625111</v>
      </c>
      <c r="BQ403" s="197">
        <f t="shared" si="275"/>
        <v>9.9596940000000009E-2</v>
      </c>
      <c r="BR403" s="288">
        <f t="shared" si="276"/>
        <v>0.16008975919012108</v>
      </c>
      <c r="BS403" s="197">
        <f t="shared" si="277"/>
        <v>0.11660930017110901</v>
      </c>
      <c r="BT403" s="197">
        <f t="shared" si="278"/>
        <v>0.36419974881911377</v>
      </c>
      <c r="BU403" s="197">
        <f t="shared" si="279"/>
        <v>0.1713930788771201</v>
      </c>
      <c r="BV403" s="197">
        <f t="shared" si="280"/>
        <v>0.53530306917875781</v>
      </c>
      <c r="BW403" s="194"/>
      <c r="BX403" s="194"/>
      <c r="BY403" s="194"/>
      <c r="BZ403" s="194"/>
      <c r="CA403" s="194"/>
      <c r="CB403" s="194"/>
      <c r="CC403" s="194"/>
      <c r="CD403" s="194"/>
      <c r="CE403" s="194"/>
      <c r="CF403" s="194"/>
      <c r="CG403" s="194"/>
      <c r="CH403" s="194"/>
      <c r="CI403" s="194"/>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row>
    <row r="404" spans="2:110" s="192" customFormat="1" hidden="1" x14ac:dyDescent="0.35">
      <c r="B404" s="289"/>
      <c r="C404" s="289"/>
      <c r="Q404" s="193"/>
      <c r="R404" s="194">
        <f t="shared" si="281"/>
        <v>18</v>
      </c>
      <c r="S404" s="197">
        <f t="shared" si="247"/>
        <v>0.3888888888888889</v>
      </c>
      <c r="T404" s="194">
        <f t="shared" si="302"/>
        <v>0.69</v>
      </c>
      <c r="U404" s="194">
        <f t="shared" si="303"/>
        <v>1.4999999999999999E-4</v>
      </c>
      <c r="V404" s="197">
        <f t="shared" si="282"/>
        <v>0.3888888888888889</v>
      </c>
      <c r="W404" s="197">
        <f t="shared" si="248"/>
        <v>4.3555555555555561E-3</v>
      </c>
      <c r="X404" s="286">
        <f t="shared" si="249"/>
        <v>1</v>
      </c>
      <c r="Y404" s="286">
        <f t="shared" si="250"/>
        <v>0.17335969315081967</v>
      </c>
      <c r="Z404" s="286">
        <f t="shared" si="251"/>
        <v>0.54964853345132902</v>
      </c>
      <c r="AA404" s="286">
        <f t="shared" si="283"/>
        <v>0.17335969315081967</v>
      </c>
      <c r="AB404" s="197">
        <f t="shared" si="252"/>
        <v>0.36419974881911377</v>
      </c>
      <c r="AC404" s="287">
        <f t="shared" si="253"/>
        <v>4.4451203372005044E-7</v>
      </c>
      <c r="AD404" s="197">
        <f t="shared" si="284"/>
        <v>11.693936048110356</v>
      </c>
      <c r="AE404" s="197">
        <f t="shared" si="285"/>
        <v>35.08180814433107</v>
      </c>
      <c r="AF404" s="197">
        <f t="shared" si="286"/>
        <v>8.5178571428571423E-2</v>
      </c>
      <c r="AG404" s="197">
        <f t="shared" si="287"/>
        <v>0.25553571428571431</v>
      </c>
      <c r="AH404" s="197">
        <f t="shared" si="254"/>
        <v>0.11660930017110901</v>
      </c>
      <c r="AI404" s="197">
        <f t="shared" si="288"/>
        <v>0.11660930017110901</v>
      </c>
      <c r="AJ404" s="218">
        <f t="shared" si="255"/>
        <v>390.00000000000006</v>
      </c>
      <c r="AK404" s="197">
        <f t="shared" si="289"/>
        <v>6.0930617977437734E-2</v>
      </c>
      <c r="AL404" s="197">
        <f t="shared" si="290"/>
        <v>9.6203707235237593E-2</v>
      </c>
      <c r="AM404" s="197">
        <f t="shared" si="291"/>
        <v>4.0790371867740751E-3</v>
      </c>
      <c r="AN404" s="197">
        <f t="shared" si="256"/>
        <v>24.05</v>
      </c>
      <c r="AO404" s="197">
        <f t="shared" si="257"/>
        <v>21.69</v>
      </c>
      <c r="AP404" s="197">
        <f t="shared" si="292"/>
        <v>7.4093290390420161E-2</v>
      </c>
      <c r="AQ404" s="197">
        <f t="shared" si="293"/>
        <v>0.42250439890466829</v>
      </c>
      <c r="AR404" s="197">
        <f t="shared" si="294"/>
        <v>0.30589509873355925</v>
      </c>
      <c r="AS404" s="258">
        <f t="shared" si="295"/>
        <v>0.15228632177729159</v>
      </c>
      <c r="AT404" s="197">
        <f t="shared" si="258"/>
        <v>2.5974058656511614E-4</v>
      </c>
      <c r="AU404" s="194">
        <f t="shared" si="259"/>
        <v>21.19</v>
      </c>
      <c r="AV404" s="197">
        <f t="shared" si="260"/>
        <v>2.7E-2</v>
      </c>
      <c r="AW404" s="197">
        <f t="shared" si="261"/>
        <v>3.4260000000000002E-3</v>
      </c>
      <c r="AX404" s="197">
        <f t="shared" si="296"/>
        <v>6.1668000000000001E-2</v>
      </c>
      <c r="AY404" s="197">
        <f t="shared" si="262"/>
        <v>2.8867476000000005E-3</v>
      </c>
      <c r="AZ404" s="197">
        <f t="shared" si="263"/>
        <v>0</v>
      </c>
      <c r="BA404" s="197">
        <f t="shared" si="297"/>
        <v>7.2596940000000013E-2</v>
      </c>
      <c r="BB404" s="258">
        <f t="shared" si="264"/>
        <v>0.36575210336206115</v>
      </c>
      <c r="BC404" s="197">
        <f t="shared" si="265"/>
        <v>2.2380490766334034E-2</v>
      </c>
      <c r="BD404" s="197">
        <f t="shared" si="298"/>
        <v>4.4760981532668068E-3</v>
      </c>
      <c r="BE404" s="197">
        <f t="shared" si="299"/>
        <v>2.6856588919600841E-2</v>
      </c>
      <c r="BF404" s="197">
        <f t="shared" si="266"/>
        <v>0.20773291256157633</v>
      </c>
      <c r="BG404" s="197">
        <f t="shared" si="267"/>
        <v>5.4608303342508187E-4</v>
      </c>
      <c r="BH404" s="197">
        <f t="shared" si="268"/>
        <v>3.5336687086656722E-2</v>
      </c>
      <c r="BI404" s="197">
        <f t="shared" si="300"/>
        <v>0.44730899017824427</v>
      </c>
      <c r="BJ404" s="197">
        <f t="shared" si="269"/>
        <v>6.769615024661003</v>
      </c>
      <c r="BK404" s="288">
        <f t="shared" si="270"/>
        <v>0.93392401361838984</v>
      </c>
      <c r="BL404" s="197">
        <f t="shared" si="271"/>
        <v>0.37608972359227794</v>
      </c>
      <c r="BM404" s="197">
        <f t="shared" si="272"/>
        <v>7.4353030976985271E-2</v>
      </c>
      <c r="BN404" s="197">
        <f t="shared" si="273"/>
        <v>54.461181858619113</v>
      </c>
      <c r="BO404" s="197">
        <f t="shared" si="301"/>
        <v>0.2082789955950014</v>
      </c>
      <c r="BP404" s="197">
        <f t="shared" si="274"/>
        <v>65.620924669625111</v>
      </c>
      <c r="BQ404" s="197">
        <f t="shared" si="275"/>
        <v>9.9596940000000009E-2</v>
      </c>
      <c r="BR404" s="288">
        <f t="shared" si="276"/>
        <v>0.16008975919012108</v>
      </c>
      <c r="BS404" s="197">
        <f t="shared" si="277"/>
        <v>0.11660930017110901</v>
      </c>
      <c r="BT404" s="197">
        <f t="shared" si="278"/>
        <v>0.36419974881911377</v>
      </c>
      <c r="BU404" s="197">
        <f t="shared" si="279"/>
        <v>0.1713930788771201</v>
      </c>
      <c r="BV404" s="197">
        <f t="shared" si="280"/>
        <v>0.53530306917875781</v>
      </c>
      <c r="BW404" s="194"/>
      <c r="BX404" s="194"/>
      <c r="BY404" s="194"/>
      <c r="BZ404" s="194"/>
      <c r="CA404" s="194"/>
      <c r="CB404" s="194"/>
      <c r="CC404" s="194"/>
      <c r="CD404" s="194"/>
      <c r="CE404" s="194"/>
      <c r="CF404" s="194"/>
      <c r="CG404" s="194"/>
      <c r="CH404" s="194"/>
      <c r="CI404" s="194"/>
      <c r="CJ404" s="194"/>
      <c r="CK404" s="194"/>
      <c r="CL404" s="194"/>
      <c r="CM404" s="194"/>
      <c r="CN404" s="194"/>
      <c r="CO404" s="194"/>
      <c r="CP404" s="194"/>
      <c r="CQ404" s="194"/>
      <c r="CR404" s="194"/>
      <c r="CS404" s="194"/>
      <c r="CT404" s="194"/>
      <c r="CU404" s="194"/>
      <c r="CV404" s="194"/>
      <c r="CW404" s="194"/>
      <c r="CX404" s="194"/>
      <c r="CY404" s="194"/>
      <c r="CZ404" s="194"/>
      <c r="DA404" s="194"/>
      <c r="DB404" s="194"/>
      <c r="DC404" s="194"/>
      <c r="DD404" s="194"/>
      <c r="DE404" s="194"/>
      <c r="DF404" s="194"/>
    </row>
    <row r="405" spans="2:110" s="192" customFormat="1" hidden="1" x14ac:dyDescent="0.35">
      <c r="B405" s="289"/>
      <c r="C405" s="289"/>
      <c r="Q405" s="193"/>
      <c r="R405" s="194">
        <f t="shared" si="281"/>
        <v>18</v>
      </c>
      <c r="S405" s="197">
        <f t="shared" si="247"/>
        <v>0.3888888888888889</v>
      </c>
      <c r="T405" s="194">
        <f t="shared" si="302"/>
        <v>0.69</v>
      </c>
      <c r="U405" s="194">
        <f t="shared" si="303"/>
        <v>1.4999999999999999E-4</v>
      </c>
      <c r="V405" s="197">
        <f t="shared" si="282"/>
        <v>0.3888888888888889</v>
      </c>
      <c r="W405" s="197">
        <f t="shared" si="248"/>
        <v>4.3555555555555561E-3</v>
      </c>
      <c r="X405" s="286">
        <f t="shared" si="249"/>
        <v>1</v>
      </c>
      <c r="Y405" s="286">
        <f t="shared" si="250"/>
        <v>0.17335969315081967</v>
      </c>
      <c r="Z405" s="286">
        <f t="shared" si="251"/>
        <v>0.54964853345132902</v>
      </c>
      <c r="AA405" s="286">
        <f t="shared" si="283"/>
        <v>0.17335969315081967</v>
      </c>
      <c r="AB405" s="197">
        <f t="shared" si="252"/>
        <v>0.36419974881911377</v>
      </c>
      <c r="AC405" s="287">
        <f t="shared" si="253"/>
        <v>4.4451203372005044E-7</v>
      </c>
      <c r="AD405" s="197">
        <f t="shared" si="284"/>
        <v>11.693936048110356</v>
      </c>
      <c r="AE405" s="197">
        <f t="shared" si="285"/>
        <v>35.08180814433107</v>
      </c>
      <c r="AF405" s="197">
        <f t="shared" si="286"/>
        <v>8.5178571428571423E-2</v>
      </c>
      <c r="AG405" s="197">
        <f t="shared" si="287"/>
        <v>0.25553571428571431</v>
      </c>
      <c r="AH405" s="197">
        <f t="shared" si="254"/>
        <v>0.11660930017110901</v>
      </c>
      <c r="AI405" s="197">
        <f t="shared" si="288"/>
        <v>0.11660930017110901</v>
      </c>
      <c r="AJ405" s="218">
        <f t="shared" si="255"/>
        <v>390.00000000000006</v>
      </c>
      <c r="AK405" s="197">
        <f t="shared" si="289"/>
        <v>6.0930617977437734E-2</v>
      </c>
      <c r="AL405" s="197">
        <f t="shared" si="290"/>
        <v>9.6203707235237593E-2</v>
      </c>
      <c r="AM405" s="197">
        <f t="shared" si="291"/>
        <v>4.0790371867740751E-3</v>
      </c>
      <c r="AN405" s="197">
        <f t="shared" si="256"/>
        <v>24.05</v>
      </c>
      <c r="AO405" s="197">
        <f t="shared" si="257"/>
        <v>21.69</v>
      </c>
      <c r="AP405" s="197">
        <f t="shared" si="292"/>
        <v>7.4093290390420161E-2</v>
      </c>
      <c r="AQ405" s="197">
        <f t="shared" si="293"/>
        <v>0.42250439890466829</v>
      </c>
      <c r="AR405" s="197">
        <f t="shared" si="294"/>
        <v>0.30589509873355925</v>
      </c>
      <c r="AS405" s="258">
        <f t="shared" si="295"/>
        <v>0.15228632177729159</v>
      </c>
      <c r="AT405" s="197">
        <f t="shared" si="258"/>
        <v>2.5974058656511614E-4</v>
      </c>
      <c r="AU405" s="194">
        <f t="shared" si="259"/>
        <v>21.19</v>
      </c>
      <c r="AV405" s="197">
        <f t="shared" si="260"/>
        <v>2.7E-2</v>
      </c>
      <c r="AW405" s="197">
        <f t="shared" si="261"/>
        <v>3.4260000000000002E-3</v>
      </c>
      <c r="AX405" s="197">
        <f t="shared" si="296"/>
        <v>6.1668000000000001E-2</v>
      </c>
      <c r="AY405" s="197">
        <f t="shared" si="262"/>
        <v>2.8867476000000005E-3</v>
      </c>
      <c r="AZ405" s="197">
        <f t="shared" si="263"/>
        <v>0</v>
      </c>
      <c r="BA405" s="197">
        <f t="shared" si="297"/>
        <v>7.2596940000000013E-2</v>
      </c>
      <c r="BB405" s="258">
        <f t="shared" si="264"/>
        <v>0.36575210336206115</v>
      </c>
      <c r="BC405" s="197">
        <f t="shared" si="265"/>
        <v>2.2380490766334034E-2</v>
      </c>
      <c r="BD405" s="197">
        <f t="shared" si="298"/>
        <v>4.4760981532668068E-3</v>
      </c>
      <c r="BE405" s="197">
        <f t="shared" si="299"/>
        <v>2.6856588919600841E-2</v>
      </c>
      <c r="BF405" s="197">
        <f t="shared" si="266"/>
        <v>0.20773291256157633</v>
      </c>
      <c r="BG405" s="197">
        <f t="shared" si="267"/>
        <v>5.4608303342508187E-4</v>
      </c>
      <c r="BH405" s="197">
        <f t="shared" si="268"/>
        <v>3.5336687086656722E-2</v>
      </c>
      <c r="BI405" s="197">
        <f t="shared" si="300"/>
        <v>0.44730899017824427</v>
      </c>
      <c r="BJ405" s="197">
        <f t="shared" si="269"/>
        <v>6.769615024661003</v>
      </c>
      <c r="BK405" s="288">
        <f t="shared" si="270"/>
        <v>0.93392401361838984</v>
      </c>
      <c r="BL405" s="197">
        <f t="shared" si="271"/>
        <v>0.37608972359227794</v>
      </c>
      <c r="BM405" s="197">
        <f t="shared" si="272"/>
        <v>7.4353030976985271E-2</v>
      </c>
      <c r="BN405" s="197">
        <f t="shared" si="273"/>
        <v>54.461181858619113</v>
      </c>
      <c r="BO405" s="197">
        <f t="shared" si="301"/>
        <v>0.2082789955950014</v>
      </c>
      <c r="BP405" s="197">
        <f t="shared" si="274"/>
        <v>65.620924669625111</v>
      </c>
      <c r="BQ405" s="197">
        <f t="shared" si="275"/>
        <v>9.9596940000000009E-2</v>
      </c>
      <c r="BR405" s="288">
        <f t="shared" si="276"/>
        <v>0.16008975919012108</v>
      </c>
      <c r="BS405" s="197">
        <f t="shared" si="277"/>
        <v>0.11660930017110901</v>
      </c>
      <c r="BT405" s="197">
        <f t="shared" si="278"/>
        <v>0.36419974881911377</v>
      </c>
      <c r="BU405" s="197">
        <f t="shared" si="279"/>
        <v>0.1713930788771201</v>
      </c>
      <c r="BV405" s="197">
        <f t="shared" si="280"/>
        <v>0.53530306917875781</v>
      </c>
      <c r="BW405" s="194"/>
      <c r="BX405" s="194"/>
      <c r="BY405" s="194"/>
      <c r="BZ405" s="194"/>
      <c r="CA405" s="194"/>
      <c r="CB405" s="194"/>
      <c r="CC405" s="194"/>
      <c r="CD405" s="194"/>
      <c r="CE405" s="194"/>
      <c r="CF405" s="194"/>
      <c r="CG405" s="194"/>
      <c r="CH405" s="194"/>
      <c r="CI405" s="194"/>
      <c r="CJ405" s="194"/>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row>
    <row r="406" spans="2:110" s="192" customFormat="1" hidden="1" x14ac:dyDescent="0.35">
      <c r="B406" s="289"/>
      <c r="C406" s="289"/>
      <c r="Q406" s="193"/>
      <c r="R406" s="194">
        <f t="shared" si="281"/>
        <v>18</v>
      </c>
      <c r="S406" s="197">
        <f t="shared" si="247"/>
        <v>0.3888888888888889</v>
      </c>
      <c r="T406" s="194">
        <f t="shared" si="302"/>
        <v>0.69</v>
      </c>
      <c r="U406" s="194">
        <f t="shared" si="303"/>
        <v>1.4999999999999999E-4</v>
      </c>
      <c r="V406" s="197">
        <f t="shared" si="282"/>
        <v>0.3888888888888889</v>
      </c>
      <c r="W406" s="197">
        <f t="shared" si="248"/>
        <v>4.3555555555555561E-3</v>
      </c>
      <c r="X406" s="286">
        <f t="shared" si="249"/>
        <v>1</v>
      </c>
      <c r="Y406" s="286">
        <f t="shared" si="250"/>
        <v>0.17335969315081967</v>
      </c>
      <c r="Z406" s="286">
        <f t="shared" si="251"/>
        <v>0.54964853345132902</v>
      </c>
      <c r="AA406" s="286">
        <f t="shared" si="283"/>
        <v>0.17335969315081967</v>
      </c>
      <c r="AB406" s="197">
        <f t="shared" si="252"/>
        <v>0.36419974881911377</v>
      </c>
      <c r="AC406" s="287">
        <f t="shared" si="253"/>
        <v>4.4451203372005044E-7</v>
      </c>
      <c r="AD406" s="197">
        <f t="shared" si="284"/>
        <v>11.693936048110356</v>
      </c>
      <c r="AE406" s="197">
        <f t="shared" si="285"/>
        <v>35.08180814433107</v>
      </c>
      <c r="AF406" s="197">
        <f t="shared" si="286"/>
        <v>8.5178571428571423E-2</v>
      </c>
      <c r="AG406" s="197">
        <f t="shared" si="287"/>
        <v>0.25553571428571431</v>
      </c>
      <c r="AH406" s="197">
        <f t="shared" si="254"/>
        <v>0.11660930017110901</v>
      </c>
      <c r="AI406" s="197">
        <f t="shared" si="288"/>
        <v>0.11660930017110901</v>
      </c>
      <c r="AJ406" s="218">
        <f t="shared" si="255"/>
        <v>390.00000000000006</v>
      </c>
      <c r="AK406" s="197">
        <f t="shared" si="289"/>
        <v>6.0930617977437734E-2</v>
      </c>
      <c r="AL406" s="197">
        <f t="shared" si="290"/>
        <v>9.6203707235237593E-2</v>
      </c>
      <c r="AM406" s="197">
        <f t="shared" si="291"/>
        <v>4.0790371867740751E-3</v>
      </c>
      <c r="AN406" s="197">
        <f t="shared" si="256"/>
        <v>24.05</v>
      </c>
      <c r="AO406" s="197">
        <f t="shared" si="257"/>
        <v>21.69</v>
      </c>
      <c r="AP406" s="197">
        <f t="shared" si="292"/>
        <v>7.4093290390420161E-2</v>
      </c>
      <c r="AQ406" s="197">
        <f t="shared" si="293"/>
        <v>0.42250439890466829</v>
      </c>
      <c r="AR406" s="197">
        <f t="shared" si="294"/>
        <v>0.30589509873355925</v>
      </c>
      <c r="AS406" s="258">
        <f t="shared" si="295"/>
        <v>0.15228632177729159</v>
      </c>
      <c r="AT406" s="197">
        <f t="shared" si="258"/>
        <v>2.5974058656511614E-4</v>
      </c>
      <c r="AU406" s="194">
        <f t="shared" si="259"/>
        <v>21.19</v>
      </c>
      <c r="AV406" s="197">
        <f t="shared" si="260"/>
        <v>2.7E-2</v>
      </c>
      <c r="AW406" s="197">
        <f t="shared" si="261"/>
        <v>3.4260000000000002E-3</v>
      </c>
      <c r="AX406" s="197">
        <f t="shared" si="296"/>
        <v>6.1668000000000001E-2</v>
      </c>
      <c r="AY406" s="197">
        <f t="shared" si="262"/>
        <v>2.8867476000000005E-3</v>
      </c>
      <c r="AZ406" s="197">
        <f t="shared" si="263"/>
        <v>0</v>
      </c>
      <c r="BA406" s="197">
        <f t="shared" si="297"/>
        <v>7.2596940000000013E-2</v>
      </c>
      <c r="BB406" s="258">
        <f t="shared" si="264"/>
        <v>0.36575210336206115</v>
      </c>
      <c r="BC406" s="197">
        <f t="shared" si="265"/>
        <v>2.2380490766334034E-2</v>
      </c>
      <c r="BD406" s="197">
        <f t="shared" si="298"/>
        <v>4.4760981532668068E-3</v>
      </c>
      <c r="BE406" s="197">
        <f t="shared" si="299"/>
        <v>2.6856588919600841E-2</v>
      </c>
      <c r="BF406" s="197">
        <f t="shared" si="266"/>
        <v>0.20773291256157633</v>
      </c>
      <c r="BG406" s="197">
        <f t="shared" si="267"/>
        <v>5.4608303342508187E-4</v>
      </c>
      <c r="BH406" s="197">
        <f t="shared" si="268"/>
        <v>3.5336687086656722E-2</v>
      </c>
      <c r="BI406" s="197">
        <f t="shared" si="300"/>
        <v>0.44730899017824427</v>
      </c>
      <c r="BJ406" s="197">
        <f t="shared" si="269"/>
        <v>6.769615024661003</v>
      </c>
      <c r="BK406" s="288">
        <f t="shared" si="270"/>
        <v>0.93392401361838984</v>
      </c>
      <c r="BL406" s="197">
        <f t="shared" si="271"/>
        <v>0.37608972359227794</v>
      </c>
      <c r="BM406" s="197">
        <f t="shared" si="272"/>
        <v>7.4353030976985271E-2</v>
      </c>
      <c r="BN406" s="197">
        <f t="shared" si="273"/>
        <v>54.461181858619113</v>
      </c>
      <c r="BO406" s="197">
        <f t="shared" si="301"/>
        <v>0.2082789955950014</v>
      </c>
      <c r="BP406" s="197">
        <f t="shared" si="274"/>
        <v>65.620924669625111</v>
      </c>
      <c r="BQ406" s="197">
        <f t="shared" si="275"/>
        <v>9.9596940000000009E-2</v>
      </c>
      <c r="BR406" s="288">
        <f t="shared" si="276"/>
        <v>0.16008975919012108</v>
      </c>
      <c r="BS406" s="197">
        <f t="shared" si="277"/>
        <v>0.11660930017110901</v>
      </c>
      <c r="BT406" s="197">
        <f t="shared" si="278"/>
        <v>0.36419974881911377</v>
      </c>
      <c r="BU406" s="197">
        <f t="shared" si="279"/>
        <v>0.1713930788771201</v>
      </c>
      <c r="BV406" s="197">
        <f t="shared" si="280"/>
        <v>0.53530306917875781</v>
      </c>
      <c r="BW406" s="194"/>
      <c r="BX406" s="194"/>
      <c r="BY406" s="194"/>
      <c r="BZ406" s="194"/>
      <c r="CA406" s="194"/>
      <c r="CB406" s="194"/>
      <c r="CC406" s="194"/>
      <c r="CD406" s="194"/>
      <c r="CE406" s="194"/>
      <c r="CF406" s="194"/>
      <c r="CG406" s="194"/>
      <c r="CH406" s="194"/>
      <c r="CI406" s="194"/>
      <c r="CJ406" s="194"/>
      <c r="CK406" s="194"/>
      <c r="CL406" s="194"/>
      <c r="CM406" s="194"/>
      <c r="CN406" s="194"/>
      <c r="CO406" s="194"/>
      <c r="CP406" s="194"/>
      <c r="CQ406" s="194"/>
      <c r="CR406" s="194"/>
      <c r="CS406" s="194"/>
      <c r="CT406" s="194"/>
      <c r="CU406" s="194"/>
      <c r="CV406" s="194"/>
      <c r="CW406" s="194"/>
      <c r="CX406" s="194"/>
      <c r="CY406" s="194"/>
      <c r="CZ406" s="194"/>
      <c r="DA406" s="194"/>
      <c r="DB406" s="194"/>
      <c r="DC406" s="194"/>
      <c r="DD406" s="194"/>
      <c r="DE406" s="194"/>
      <c r="DF406" s="194"/>
    </row>
    <row r="407" spans="2:110" s="192" customFormat="1" hidden="1" x14ac:dyDescent="0.35">
      <c r="B407" s="289"/>
      <c r="C407" s="289"/>
      <c r="Q407" s="193"/>
      <c r="R407" s="194">
        <f t="shared" si="281"/>
        <v>18</v>
      </c>
      <c r="S407" s="197">
        <f t="shared" si="247"/>
        <v>0.3888888888888889</v>
      </c>
      <c r="T407" s="194">
        <f t="shared" si="302"/>
        <v>0.69</v>
      </c>
      <c r="U407" s="194">
        <f t="shared" si="303"/>
        <v>1.4999999999999999E-4</v>
      </c>
      <c r="V407" s="197">
        <f t="shared" si="282"/>
        <v>0.3888888888888889</v>
      </c>
      <c r="W407" s="197">
        <f t="shared" si="248"/>
        <v>4.3555555555555561E-3</v>
      </c>
      <c r="X407" s="286">
        <f t="shared" si="249"/>
        <v>1</v>
      </c>
      <c r="Y407" s="286">
        <f t="shared" si="250"/>
        <v>0.17335969315081967</v>
      </c>
      <c r="Z407" s="286">
        <f t="shared" si="251"/>
        <v>0.54964853345132902</v>
      </c>
      <c r="AA407" s="286">
        <f t="shared" si="283"/>
        <v>0.17335969315081967</v>
      </c>
      <c r="AB407" s="197">
        <f t="shared" si="252"/>
        <v>0.36419974881911377</v>
      </c>
      <c r="AC407" s="287">
        <f t="shared" si="253"/>
        <v>4.4451203372005044E-7</v>
      </c>
      <c r="AD407" s="197">
        <f t="shared" si="284"/>
        <v>11.693936048110356</v>
      </c>
      <c r="AE407" s="197">
        <f t="shared" si="285"/>
        <v>35.08180814433107</v>
      </c>
      <c r="AF407" s="197">
        <f t="shared" si="286"/>
        <v>8.5178571428571423E-2</v>
      </c>
      <c r="AG407" s="197">
        <f t="shared" si="287"/>
        <v>0.25553571428571431</v>
      </c>
      <c r="AH407" s="197">
        <f t="shared" si="254"/>
        <v>0.11660930017110901</v>
      </c>
      <c r="AI407" s="197">
        <f t="shared" si="288"/>
        <v>0.11660930017110901</v>
      </c>
      <c r="AJ407" s="218">
        <f t="shared" si="255"/>
        <v>390.00000000000006</v>
      </c>
      <c r="AK407" s="197">
        <f t="shared" si="289"/>
        <v>6.0930617977437734E-2</v>
      </c>
      <c r="AL407" s="197">
        <f t="shared" si="290"/>
        <v>9.6203707235237593E-2</v>
      </c>
      <c r="AM407" s="197">
        <f t="shared" si="291"/>
        <v>4.0790371867740751E-3</v>
      </c>
      <c r="AN407" s="197">
        <f t="shared" si="256"/>
        <v>24.05</v>
      </c>
      <c r="AO407" s="197">
        <f t="shared" si="257"/>
        <v>21.69</v>
      </c>
      <c r="AP407" s="197">
        <f t="shared" si="292"/>
        <v>7.4093290390420161E-2</v>
      </c>
      <c r="AQ407" s="197">
        <f t="shared" si="293"/>
        <v>0.42250439890466829</v>
      </c>
      <c r="AR407" s="197">
        <f t="shared" si="294"/>
        <v>0.30589509873355925</v>
      </c>
      <c r="AS407" s="258">
        <f t="shared" si="295"/>
        <v>0.15228632177729159</v>
      </c>
      <c r="AT407" s="197">
        <f t="shared" si="258"/>
        <v>2.5974058656511614E-4</v>
      </c>
      <c r="AU407" s="194">
        <f t="shared" si="259"/>
        <v>21.19</v>
      </c>
      <c r="AV407" s="197">
        <f t="shared" si="260"/>
        <v>2.7E-2</v>
      </c>
      <c r="AW407" s="197">
        <f t="shared" si="261"/>
        <v>3.4260000000000002E-3</v>
      </c>
      <c r="AX407" s="197">
        <f t="shared" si="296"/>
        <v>6.1668000000000001E-2</v>
      </c>
      <c r="AY407" s="197">
        <f t="shared" si="262"/>
        <v>2.8867476000000005E-3</v>
      </c>
      <c r="AZ407" s="197">
        <f t="shared" si="263"/>
        <v>0</v>
      </c>
      <c r="BA407" s="197">
        <f t="shared" si="297"/>
        <v>7.2596940000000013E-2</v>
      </c>
      <c r="BB407" s="258">
        <f t="shared" si="264"/>
        <v>0.36575210336206115</v>
      </c>
      <c r="BC407" s="197">
        <f t="shared" si="265"/>
        <v>2.2380490766334034E-2</v>
      </c>
      <c r="BD407" s="197">
        <f t="shared" si="298"/>
        <v>4.4760981532668068E-3</v>
      </c>
      <c r="BE407" s="197">
        <f t="shared" si="299"/>
        <v>2.6856588919600841E-2</v>
      </c>
      <c r="BF407" s="197">
        <f t="shared" si="266"/>
        <v>0.20773291256157633</v>
      </c>
      <c r="BG407" s="197">
        <f t="shared" si="267"/>
        <v>5.4608303342508187E-4</v>
      </c>
      <c r="BH407" s="197">
        <f t="shared" si="268"/>
        <v>3.5336687086656722E-2</v>
      </c>
      <c r="BI407" s="197">
        <f t="shared" si="300"/>
        <v>0.44730899017824427</v>
      </c>
      <c r="BJ407" s="197">
        <f t="shared" si="269"/>
        <v>6.769615024661003</v>
      </c>
      <c r="BK407" s="288">
        <f t="shared" si="270"/>
        <v>0.93392401361838984</v>
      </c>
      <c r="BL407" s="197">
        <f t="shared" si="271"/>
        <v>0.37608972359227794</v>
      </c>
      <c r="BM407" s="197">
        <f t="shared" si="272"/>
        <v>7.4353030976985271E-2</v>
      </c>
      <c r="BN407" s="197">
        <f t="shared" si="273"/>
        <v>54.461181858619113</v>
      </c>
      <c r="BO407" s="197">
        <f t="shared" si="301"/>
        <v>0.2082789955950014</v>
      </c>
      <c r="BP407" s="197">
        <f t="shared" si="274"/>
        <v>65.620924669625111</v>
      </c>
      <c r="BQ407" s="197">
        <f t="shared" si="275"/>
        <v>9.9596940000000009E-2</v>
      </c>
      <c r="BR407" s="288">
        <f t="shared" si="276"/>
        <v>0.16008975919012108</v>
      </c>
      <c r="BS407" s="197">
        <f t="shared" si="277"/>
        <v>0.11660930017110901</v>
      </c>
      <c r="BT407" s="197">
        <f t="shared" si="278"/>
        <v>0.36419974881911377</v>
      </c>
      <c r="BU407" s="197">
        <f t="shared" si="279"/>
        <v>0.1713930788771201</v>
      </c>
      <c r="BV407" s="197">
        <f t="shared" si="280"/>
        <v>0.53530306917875781</v>
      </c>
      <c r="BW407" s="194"/>
      <c r="BX407" s="194"/>
      <c r="BY407" s="194"/>
      <c r="BZ407" s="194"/>
      <c r="CA407" s="194"/>
      <c r="CB407" s="194"/>
      <c r="CC407" s="194"/>
      <c r="CD407" s="194"/>
      <c r="CE407" s="194"/>
      <c r="CF407" s="194"/>
      <c r="CG407" s="194"/>
      <c r="CH407" s="194"/>
      <c r="CI407" s="194"/>
      <c r="CJ407" s="194"/>
      <c r="CK407" s="194"/>
      <c r="CL407" s="194"/>
      <c r="CM407" s="194"/>
      <c r="CN407" s="194"/>
      <c r="CO407" s="194"/>
      <c r="CP407" s="194"/>
      <c r="CQ407" s="194"/>
      <c r="CR407" s="194"/>
      <c r="CS407" s="194"/>
      <c r="CT407" s="194"/>
      <c r="CU407" s="194"/>
      <c r="CV407" s="194"/>
      <c r="CW407" s="194"/>
      <c r="CX407" s="194"/>
      <c r="CY407" s="194"/>
      <c r="CZ407" s="194"/>
      <c r="DA407" s="194"/>
      <c r="DB407" s="194"/>
      <c r="DC407" s="194"/>
      <c r="DD407" s="194"/>
      <c r="DE407" s="194"/>
      <c r="DF407" s="194"/>
    </row>
    <row r="408" spans="2:110" s="192" customFormat="1" hidden="1" x14ac:dyDescent="0.35">
      <c r="B408" s="289"/>
      <c r="C408" s="289"/>
      <c r="Q408" s="193"/>
      <c r="R408" s="194">
        <f t="shared" si="281"/>
        <v>18</v>
      </c>
      <c r="S408" s="197">
        <f t="shared" si="247"/>
        <v>0.3888888888888889</v>
      </c>
      <c r="T408" s="194">
        <f t="shared" si="302"/>
        <v>0.69</v>
      </c>
      <c r="U408" s="194">
        <f t="shared" si="303"/>
        <v>1.4999999999999999E-4</v>
      </c>
      <c r="V408" s="197">
        <f t="shared" si="282"/>
        <v>0.3888888888888889</v>
      </c>
      <c r="W408" s="197">
        <f t="shared" si="248"/>
        <v>4.3555555555555561E-3</v>
      </c>
      <c r="X408" s="286">
        <f t="shared" si="249"/>
        <v>1</v>
      </c>
      <c r="Y408" s="286">
        <f t="shared" si="250"/>
        <v>0.17335969315081967</v>
      </c>
      <c r="Z408" s="286">
        <f t="shared" si="251"/>
        <v>0.54964853345132902</v>
      </c>
      <c r="AA408" s="286">
        <f t="shared" si="283"/>
        <v>0.17335969315081967</v>
      </c>
      <c r="AB408" s="197">
        <f t="shared" si="252"/>
        <v>0.36419974881911377</v>
      </c>
      <c r="AC408" s="287">
        <f t="shared" si="253"/>
        <v>4.4451203372005044E-7</v>
      </c>
      <c r="AD408" s="197">
        <f t="shared" si="284"/>
        <v>11.693936048110356</v>
      </c>
      <c r="AE408" s="197">
        <f t="shared" si="285"/>
        <v>35.08180814433107</v>
      </c>
      <c r="AF408" s="197">
        <f t="shared" si="286"/>
        <v>8.5178571428571423E-2</v>
      </c>
      <c r="AG408" s="197">
        <f t="shared" si="287"/>
        <v>0.25553571428571431</v>
      </c>
      <c r="AH408" s="197">
        <f t="shared" si="254"/>
        <v>0.11660930017110901</v>
      </c>
      <c r="AI408" s="197">
        <f t="shared" si="288"/>
        <v>0.11660930017110901</v>
      </c>
      <c r="AJ408" s="218">
        <f t="shared" si="255"/>
        <v>390.00000000000006</v>
      </c>
      <c r="AK408" s="197">
        <f t="shared" si="289"/>
        <v>6.0930617977437734E-2</v>
      </c>
      <c r="AL408" s="197">
        <f t="shared" si="290"/>
        <v>9.6203707235237593E-2</v>
      </c>
      <c r="AM408" s="197">
        <f t="shared" si="291"/>
        <v>4.0790371867740751E-3</v>
      </c>
      <c r="AN408" s="197">
        <f t="shared" si="256"/>
        <v>24.05</v>
      </c>
      <c r="AO408" s="197">
        <f t="shared" si="257"/>
        <v>21.69</v>
      </c>
      <c r="AP408" s="197">
        <f t="shared" si="292"/>
        <v>7.4093290390420161E-2</v>
      </c>
      <c r="AQ408" s="197">
        <f t="shared" si="293"/>
        <v>0.42250439890466829</v>
      </c>
      <c r="AR408" s="197">
        <f t="shared" si="294"/>
        <v>0.30589509873355925</v>
      </c>
      <c r="AS408" s="258">
        <f t="shared" si="295"/>
        <v>0.15228632177729159</v>
      </c>
      <c r="AT408" s="197">
        <f t="shared" si="258"/>
        <v>2.5974058656511614E-4</v>
      </c>
      <c r="AU408" s="194">
        <f t="shared" si="259"/>
        <v>21.19</v>
      </c>
      <c r="AV408" s="197">
        <f t="shared" si="260"/>
        <v>2.7E-2</v>
      </c>
      <c r="AW408" s="197">
        <f t="shared" si="261"/>
        <v>3.4260000000000002E-3</v>
      </c>
      <c r="AX408" s="197">
        <f t="shared" si="296"/>
        <v>6.1668000000000001E-2</v>
      </c>
      <c r="AY408" s="197">
        <f t="shared" si="262"/>
        <v>2.8867476000000005E-3</v>
      </c>
      <c r="AZ408" s="197">
        <f t="shared" si="263"/>
        <v>0</v>
      </c>
      <c r="BA408" s="197">
        <f t="shared" si="297"/>
        <v>7.2596940000000013E-2</v>
      </c>
      <c r="BB408" s="258">
        <f t="shared" si="264"/>
        <v>0.36575210336206115</v>
      </c>
      <c r="BC408" s="197">
        <f t="shared" si="265"/>
        <v>2.2380490766334034E-2</v>
      </c>
      <c r="BD408" s="197">
        <f t="shared" si="298"/>
        <v>4.4760981532668068E-3</v>
      </c>
      <c r="BE408" s="197">
        <f t="shared" si="299"/>
        <v>2.6856588919600841E-2</v>
      </c>
      <c r="BF408" s="197">
        <f t="shared" si="266"/>
        <v>0.20773291256157633</v>
      </c>
      <c r="BG408" s="197">
        <f t="shared" si="267"/>
        <v>5.4608303342508187E-4</v>
      </c>
      <c r="BH408" s="197">
        <f t="shared" si="268"/>
        <v>3.5336687086656722E-2</v>
      </c>
      <c r="BI408" s="197">
        <f t="shared" si="300"/>
        <v>0.44730899017824427</v>
      </c>
      <c r="BJ408" s="197">
        <f t="shared" si="269"/>
        <v>6.769615024661003</v>
      </c>
      <c r="BK408" s="288">
        <f t="shared" si="270"/>
        <v>0.93392401361838984</v>
      </c>
      <c r="BL408" s="197">
        <f t="shared" si="271"/>
        <v>0.37608972359227794</v>
      </c>
      <c r="BM408" s="197">
        <f t="shared" si="272"/>
        <v>7.4353030976985271E-2</v>
      </c>
      <c r="BN408" s="197">
        <f t="shared" si="273"/>
        <v>54.461181858619113</v>
      </c>
      <c r="BO408" s="197">
        <f t="shared" si="301"/>
        <v>0.2082789955950014</v>
      </c>
      <c r="BP408" s="197">
        <f t="shared" si="274"/>
        <v>65.620924669625111</v>
      </c>
      <c r="BQ408" s="197">
        <f t="shared" si="275"/>
        <v>9.9596940000000009E-2</v>
      </c>
      <c r="BR408" s="288">
        <f t="shared" si="276"/>
        <v>0.16008975919012108</v>
      </c>
      <c r="BS408" s="197">
        <f t="shared" si="277"/>
        <v>0.11660930017110901</v>
      </c>
      <c r="BT408" s="197">
        <f t="shared" si="278"/>
        <v>0.36419974881911377</v>
      </c>
      <c r="BU408" s="197">
        <f t="shared" si="279"/>
        <v>0.1713930788771201</v>
      </c>
      <c r="BV408" s="197">
        <f t="shared" si="280"/>
        <v>0.53530306917875781</v>
      </c>
      <c r="BW408" s="194"/>
      <c r="BX408" s="194"/>
      <c r="BY408" s="194"/>
      <c r="BZ408" s="194"/>
      <c r="CA408" s="194"/>
      <c r="CB408" s="194"/>
      <c r="CC408" s="194"/>
      <c r="CD408" s="194"/>
      <c r="CE408" s="194"/>
      <c r="CF408" s="194"/>
      <c r="CG408" s="194"/>
      <c r="CH408" s="194"/>
      <c r="CI408" s="194"/>
      <c r="CJ408" s="194"/>
      <c r="CK408" s="194"/>
      <c r="CL408" s="194"/>
      <c r="CM408" s="194"/>
      <c r="CN408" s="194"/>
      <c r="CO408" s="194"/>
      <c r="CP408" s="194"/>
      <c r="CQ408" s="194"/>
      <c r="CR408" s="194"/>
      <c r="CS408" s="194"/>
      <c r="CT408" s="194"/>
      <c r="CU408" s="194"/>
      <c r="CV408" s="194"/>
      <c r="CW408" s="194"/>
      <c r="CX408" s="194"/>
      <c r="CY408" s="194"/>
      <c r="CZ408" s="194"/>
      <c r="DA408" s="194"/>
      <c r="DB408" s="194"/>
      <c r="DC408" s="194"/>
      <c r="DD408" s="194"/>
      <c r="DE408" s="194"/>
      <c r="DF408" s="194"/>
    </row>
    <row r="409" spans="2:110" s="192" customFormat="1" hidden="1" x14ac:dyDescent="0.35">
      <c r="B409" s="289"/>
      <c r="C409" s="289"/>
      <c r="Q409" s="193"/>
      <c r="R409" s="194">
        <f t="shared" si="281"/>
        <v>18</v>
      </c>
      <c r="S409" s="197">
        <f t="shared" si="247"/>
        <v>0.3888888888888889</v>
      </c>
      <c r="T409" s="194">
        <f t="shared" si="302"/>
        <v>0.69</v>
      </c>
      <c r="U409" s="194">
        <f t="shared" si="303"/>
        <v>1.4999999999999999E-4</v>
      </c>
      <c r="V409" s="197">
        <f t="shared" si="282"/>
        <v>0.3888888888888889</v>
      </c>
      <c r="W409" s="197">
        <f t="shared" si="248"/>
        <v>4.3555555555555561E-3</v>
      </c>
      <c r="X409" s="286">
        <f t="shared" si="249"/>
        <v>1</v>
      </c>
      <c r="Y409" s="286">
        <f t="shared" si="250"/>
        <v>0.17335969315081967</v>
      </c>
      <c r="Z409" s="286">
        <f t="shared" si="251"/>
        <v>0.54964853345132902</v>
      </c>
      <c r="AA409" s="286">
        <f t="shared" si="283"/>
        <v>0.17335969315081967</v>
      </c>
      <c r="AB409" s="197">
        <f t="shared" si="252"/>
        <v>0.36419974881911377</v>
      </c>
      <c r="AC409" s="287">
        <f t="shared" si="253"/>
        <v>4.4451203372005044E-7</v>
      </c>
      <c r="AD409" s="197">
        <f t="shared" si="284"/>
        <v>11.693936048110356</v>
      </c>
      <c r="AE409" s="197">
        <f t="shared" si="285"/>
        <v>35.08180814433107</v>
      </c>
      <c r="AF409" s="197">
        <f t="shared" si="286"/>
        <v>8.5178571428571423E-2</v>
      </c>
      <c r="AG409" s="197">
        <f t="shared" si="287"/>
        <v>0.25553571428571431</v>
      </c>
      <c r="AH409" s="197">
        <f t="shared" si="254"/>
        <v>0.11660930017110901</v>
      </c>
      <c r="AI409" s="197">
        <f t="shared" si="288"/>
        <v>0.11660930017110901</v>
      </c>
      <c r="AJ409" s="218">
        <f t="shared" si="255"/>
        <v>390.00000000000006</v>
      </c>
      <c r="AK409" s="197">
        <f t="shared" si="289"/>
        <v>6.0930617977437734E-2</v>
      </c>
      <c r="AL409" s="197">
        <f t="shared" si="290"/>
        <v>9.6203707235237593E-2</v>
      </c>
      <c r="AM409" s="197">
        <f t="shared" si="291"/>
        <v>4.0790371867740751E-3</v>
      </c>
      <c r="AN409" s="197">
        <f t="shared" si="256"/>
        <v>24.05</v>
      </c>
      <c r="AO409" s="197">
        <f t="shared" si="257"/>
        <v>21.69</v>
      </c>
      <c r="AP409" s="197">
        <f t="shared" si="292"/>
        <v>7.4093290390420161E-2</v>
      </c>
      <c r="AQ409" s="197">
        <f t="shared" si="293"/>
        <v>0.42250439890466829</v>
      </c>
      <c r="AR409" s="197">
        <f t="shared" si="294"/>
        <v>0.30589509873355925</v>
      </c>
      <c r="AS409" s="258">
        <f t="shared" si="295"/>
        <v>0.15228632177729159</v>
      </c>
      <c r="AT409" s="197">
        <f t="shared" si="258"/>
        <v>2.5974058656511614E-4</v>
      </c>
      <c r="AU409" s="194">
        <f t="shared" si="259"/>
        <v>21.19</v>
      </c>
      <c r="AV409" s="197">
        <f t="shared" si="260"/>
        <v>2.7E-2</v>
      </c>
      <c r="AW409" s="197">
        <f t="shared" si="261"/>
        <v>3.4260000000000002E-3</v>
      </c>
      <c r="AX409" s="197">
        <f t="shared" si="296"/>
        <v>6.1668000000000001E-2</v>
      </c>
      <c r="AY409" s="197">
        <f t="shared" si="262"/>
        <v>2.8867476000000005E-3</v>
      </c>
      <c r="AZ409" s="197">
        <f t="shared" si="263"/>
        <v>0</v>
      </c>
      <c r="BA409" s="197">
        <f t="shared" si="297"/>
        <v>7.2596940000000013E-2</v>
      </c>
      <c r="BB409" s="258">
        <f t="shared" si="264"/>
        <v>0.36575210336206115</v>
      </c>
      <c r="BC409" s="197">
        <f t="shared" si="265"/>
        <v>2.2380490766334034E-2</v>
      </c>
      <c r="BD409" s="197">
        <f t="shared" si="298"/>
        <v>4.4760981532668068E-3</v>
      </c>
      <c r="BE409" s="197">
        <f t="shared" si="299"/>
        <v>2.6856588919600841E-2</v>
      </c>
      <c r="BF409" s="197">
        <f t="shared" si="266"/>
        <v>0.20773291256157633</v>
      </c>
      <c r="BG409" s="197">
        <f t="shared" si="267"/>
        <v>5.4608303342508187E-4</v>
      </c>
      <c r="BH409" s="197">
        <f t="shared" si="268"/>
        <v>3.5336687086656722E-2</v>
      </c>
      <c r="BI409" s="197">
        <f t="shared" si="300"/>
        <v>0.44730899017824427</v>
      </c>
      <c r="BJ409" s="197">
        <f t="shared" si="269"/>
        <v>6.769615024661003</v>
      </c>
      <c r="BK409" s="288">
        <f t="shared" si="270"/>
        <v>0.93392401361838984</v>
      </c>
      <c r="BL409" s="197">
        <f t="shared" si="271"/>
        <v>0.37608972359227794</v>
      </c>
      <c r="BM409" s="197">
        <f t="shared" si="272"/>
        <v>7.4353030976985271E-2</v>
      </c>
      <c r="BN409" s="197">
        <f t="shared" si="273"/>
        <v>54.461181858619113</v>
      </c>
      <c r="BO409" s="197">
        <f t="shared" si="301"/>
        <v>0.2082789955950014</v>
      </c>
      <c r="BP409" s="197">
        <f t="shared" si="274"/>
        <v>65.620924669625111</v>
      </c>
      <c r="BQ409" s="197">
        <f t="shared" si="275"/>
        <v>9.9596940000000009E-2</v>
      </c>
      <c r="BR409" s="288">
        <f t="shared" si="276"/>
        <v>0.16008975919012108</v>
      </c>
      <c r="BS409" s="197">
        <f t="shared" si="277"/>
        <v>0.11660930017110901</v>
      </c>
      <c r="BT409" s="197">
        <f t="shared" si="278"/>
        <v>0.36419974881911377</v>
      </c>
      <c r="BU409" s="197">
        <f t="shared" si="279"/>
        <v>0.1713930788771201</v>
      </c>
      <c r="BV409" s="197">
        <f t="shared" si="280"/>
        <v>0.53530306917875781</v>
      </c>
      <c r="BW409" s="194"/>
      <c r="BX409" s="194"/>
      <c r="BY409" s="194"/>
      <c r="BZ409" s="194"/>
      <c r="CA409" s="194"/>
      <c r="CB409" s="194"/>
      <c r="CC409" s="194"/>
      <c r="CD409" s="194"/>
      <c r="CE409" s="194"/>
      <c r="CF409" s="194"/>
      <c r="CG409" s="194"/>
      <c r="CH409" s="194"/>
      <c r="CI409" s="194"/>
      <c r="CJ409" s="194"/>
      <c r="CK409" s="194"/>
      <c r="CL409" s="194"/>
      <c r="CM409" s="194"/>
      <c r="CN409" s="194"/>
      <c r="CO409" s="194"/>
      <c r="CP409" s="194"/>
      <c r="CQ409" s="194"/>
      <c r="CR409" s="194"/>
      <c r="CS409" s="194"/>
      <c r="CT409" s="194"/>
      <c r="CU409" s="194"/>
      <c r="CV409" s="194"/>
      <c r="CW409" s="194"/>
      <c r="CX409" s="194"/>
      <c r="CY409" s="194"/>
      <c r="CZ409" s="194"/>
      <c r="DA409" s="194"/>
      <c r="DB409" s="194"/>
      <c r="DC409" s="194"/>
      <c r="DD409" s="194"/>
      <c r="DE409" s="194"/>
      <c r="DF409" s="194"/>
    </row>
    <row r="410" spans="2:110" s="192" customFormat="1" hidden="1" x14ac:dyDescent="0.35">
      <c r="B410" s="289"/>
      <c r="C410" s="289"/>
      <c r="Q410" s="193"/>
      <c r="R410" s="194">
        <f t="shared" si="281"/>
        <v>18</v>
      </c>
      <c r="S410" s="197">
        <f t="shared" si="247"/>
        <v>0.3888888888888889</v>
      </c>
      <c r="T410" s="194">
        <f t="shared" si="302"/>
        <v>0.69</v>
      </c>
      <c r="U410" s="194">
        <f t="shared" si="303"/>
        <v>1.4999999999999999E-4</v>
      </c>
      <c r="V410" s="197">
        <f t="shared" si="282"/>
        <v>0.3888888888888889</v>
      </c>
      <c r="W410" s="197">
        <f t="shared" si="248"/>
        <v>4.3555555555555561E-3</v>
      </c>
      <c r="X410" s="286">
        <f t="shared" si="249"/>
        <v>1</v>
      </c>
      <c r="Y410" s="286">
        <f t="shared" si="250"/>
        <v>0.17335969315081967</v>
      </c>
      <c r="Z410" s="286">
        <f t="shared" si="251"/>
        <v>0.54964853345132902</v>
      </c>
      <c r="AA410" s="286">
        <f t="shared" si="283"/>
        <v>0.17335969315081967</v>
      </c>
      <c r="AB410" s="197">
        <f t="shared" si="252"/>
        <v>0.36419974881911377</v>
      </c>
      <c r="AC410" s="287">
        <f t="shared" si="253"/>
        <v>4.4451203372005044E-7</v>
      </c>
      <c r="AD410" s="197">
        <f t="shared" si="284"/>
        <v>11.693936048110356</v>
      </c>
      <c r="AE410" s="197">
        <f t="shared" si="285"/>
        <v>35.08180814433107</v>
      </c>
      <c r="AF410" s="197">
        <f t="shared" si="286"/>
        <v>8.5178571428571423E-2</v>
      </c>
      <c r="AG410" s="197">
        <f t="shared" si="287"/>
        <v>0.25553571428571431</v>
      </c>
      <c r="AH410" s="197">
        <f t="shared" si="254"/>
        <v>0.11660930017110901</v>
      </c>
      <c r="AI410" s="197">
        <f t="shared" si="288"/>
        <v>0.11660930017110901</v>
      </c>
      <c r="AJ410" s="218">
        <f t="shared" si="255"/>
        <v>390.00000000000006</v>
      </c>
      <c r="AK410" s="197">
        <f t="shared" si="289"/>
        <v>6.0930617977437734E-2</v>
      </c>
      <c r="AL410" s="197">
        <f t="shared" si="290"/>
        <v>9.6203707235237593E-2</v>
      </c>
      <c r="AM410" s="197">
        <f t="shared" si="291"/>
        <v>4.0790371867740751E-3</v>
      </c>
      <c r="AN410" s="197">
        <f t="shared" si="256"/>
        <v>24.05</v>
      </c>
      <c r="AO410" s="197">
        <f t="shared" si="257"/>
        <v>21.69</v>
      </c>
      <c r="AP410" s="197">
        <f t="shared" si="292"/>
        <v>7.4093290390420161E-2</v>
      </c>
      <c r="AQ410" s="197">
        <f t="shared" si="293"/>
        <v>0.42250439890466829</v>
      </c>
      <c r="AR410" s="197">
        <f t="shared" si="294"/>
        <v>0.30589509873355925</v>
      </c>
      <c r="AS410" s="258">
        <f t="shared" si="295"/>
        <v>0.15228632177729159</v>
      </c>
      <c r="AT410" s="197">
        <f t="shared" si="258"/>
        <v>2.5974058656511614E-4</v>
      </c>
      <c r="AU410" s="194">
        <f t="shared" si="259"/>
        <v>21.19</v>
      </c>
      <c r="AV410" s="197">
        <f t="shared" si="260"/>
        <v>2.7E-2</v>
      </c>
      <c r="AW410" s="197">
        <f t="shared" si="261"/>
        <v>3.4260000000000002E-3</v>
      </c>
      <c r="AX410" s="197">
        <f t="shared" si="296"/>
        <v>6.1668000000000001E-2</v>
      </c>
      <c r="AY410" s="197">
        <f t="shared" si="262"/>
        <v>2.8867476000000005E-3</v>
      </c>
      <c r="AZ410" s="197">
        <f t="shared" si="263"/>
        <v>0</v>
      </c>
      <c r="BA410" s="197">
        <f t="shared" si="297"/>
        <v>7.2596940000000013E-2</v>
      </c>
      <c r="BB410" s="258">
        <f t="shared" si="264"/>
        <v>0.36575210336206115</v>
      </c>
      <c r="BC410" s="197">
        <f t="shared" si="265"/>
        <v>2.2380490766334034E-2</v>
      </c>
      <c r="BD410" s="197">
        <f t="shared" si="298"/>
        <v>4.4760981532668068E-3</v>
      </c>
      <c r="BE410" s="197">
        <f t="shared" si="299"/>
        <v>2.6856588919600841E-2</v>
      </c>
      <c r="BF410" s="197">
        <f t="shared" si="266"/>
        <v>0.20773291256157633</v>
      </c>
      <c r="BG410" s="197">
        <f t="shared" si="267"/>
        <v>5.4608303342508187E-4</v>
      </c>
      <c r="BH410" s="197">
        <f t="shared" si="268"/>
        <v>3.5336687086656722E-2</v>
      </c>
      <c r="BI410" s="197">
        <f t="shared" si="300"/>
        <v>0.44730899017824427</v>
      </c>
      <c r="BJ410" s="197">
        <f t="shared" si="269"/>
        <v>6.769615024661003</v>
      </c>
      <c r="BK410" s="288">
        <f t="shared" si="270"/>
        <v>0.93392401361838984</v>
      </c>
      <c r="BL410" s="197">
        <f t="shared" si="271"/>
        <v>0.37608972359227794</v>
      </c>
      <c r="BM410" s="197">
        <f t="shared" si="272"/>
        <v>7.4353030976985271E-2</v>
      </c>
      <c r="BN410" s="197">
        <f t="shared" si="273"/>
        <v>54.461181858619113</v>
      </c>
      <c r="BO410" s="197">
        <f t="shared" si="301"/>
        <v>0.2082789955950014</v>
      </c>
      <c r="BP410" s="197">
        <f t="shared" si="274"/>
        <v>65.620924669625111</v>
      </c>
      <c r="BQ410" s="197">
        <f t="shared" si="275"/>
        <v>9.9596940000000009E-2</v>
      </c>
      <c r="BR410" s="288">
        <f t="shared" si="276"/>
        <v>0.16008975919012108</v>
      </c>
      <c r="BS410" s="197">
        <f t="shared" si="277"/>
        <v>0.11660930017110901</v>
      </c>
      <c r="BT410" s="197">
        <f t="shared" si="278"/>
        <v>0.36419974881911377</v>
      </c>
      <c r="BU410" s="197">
        <f t="shared" si="279"/>
        <v>0.1713930788771201</v>
      </c>
      <c r="BV410" s="197">
        <f t="shared" si="280"/>
        <v>0.53530306917875781</v>
      </c>
      <c r="BW410" s="194"/>
      <c r="BX410" s="194"/>
      <c r="BY410" s="194"/>
      <c r="BZ410" s="194"/>
      <c r="CA410" s="194"/>
      <c r="CB410" s="194"/>
      <c r="CC410" s="194"/>
      <c r="CD410" s="194"/>
      <c r="CE410" s="194"/>
      <c r="CF410" s="194"/>
      <c r="CG410" s="194"/>
      <c r="CH410" s="194"/>
      <c r="CI410" s="194"/>
      <c r="CJ410" s="194"/>
      <c r="CK410" s="194"/>
      <c r="CL410" s="194"/>
      <c r="CM410" s="194"/>
      <c r="CN410" s="194"/>
      <c r="CO410" s="194"/>
      <c r="CP410" s="194"/>
      <c r="CQ410" s="194"/>
      <c r="CR410" s="194"/>
      <c r="CS410" s="194"/>
      <c r="CT410" s="194"/>
      <c r="CU410" s="194"/>
      <c r="CV410" s="194"/>
      <c r="CW410" s="194"/>
      <c r="CX410" s="194"/>
      <c r="CY410" s="194"/>
      <c r="CZ410" s="194"/>
      <c r="DA410" s="194"/>
      <c r="DB410" s="194"/>
      <c r="DC410" s="194"/>
      <c r="DD410" s="194"/>
      <c r="DE410" s="194"/>
      <c r="DF410" s="194"/>
    </row>
    <row r="411" spans="2:110" s="192" customFormat="1" hidden="1" x14ac:dyDescent="0.35">
      <c r="B411" s="289"/>
      <c r="C411" s="289"/>
      <c r="Q411" s="193"/>
      <c r="R411" s="194">
        <f t="shared" si="281"/>
        <v>18</v>
      </c>
      <c r="S411" s="197">
        <f t="shared" si="247"/>
        <v>0.3888888888888889</v>
      </c>
      <c r="T411" s="194">
        <f t="shared" si="302"/>
        <v>0.69</v>
      </c>
      <c r="U411" s="194">
        <f t="shared" si="303"/>
        <v>1.4999999999999999E-4</v>
      </c>
      <c r="V411" s="197">
        <f t="shared" si="282"/>
        <v>0.3888888888888889</v>
      </c>
      <c r="W411" s="197">
        <f t="shared" si="248"/>
        <v>4.3555555555555561E-3</v>
      </c>
      <c r="X411" s="286">
        <f t="shared" si="249"/>
        <v>1</v>
      </c>
      <c r="Y411" s="286">
        <f t="shared" si="250"/>
        <v>0.17335969315081967</v>
      </c>
      <c r="Z411" s="286">
        <f t="shared" si="251"/>
        <v>0.54964853345132902</v>
      </c>
      <c r="AA411" s="286">
        <f t="shared" si="283"/>
        <v>0.17335969315081967</v>
      </c>
      <c r="AB411" s="197">
        <f t="shared" si="252"/>
        <v>0.36419974881911377</v>
      </c>
      <c r="AC411" s="287">
        <f t="shared" si="253"/>
        <v>4.4451203372005044E-7</v>
      </c>
      <c r="AD411" s="197">
        <f t="shared" si="284"/>
        <v>11.693936048110356</v>
      </c>
      <c r="AE411" s="197">
        <f t="shared" si="285"/>
        <v>35.08180814433107</v>
      </c>
      <c r="AF411" s="197">
        <f t="shared" si="286"/>
        <v>8.5178571428571423E-2</v>
      </c>
      <c r="AG411" s="197">
        <f t="shared" si="287"/>
        <v>0.25553571428571431</v>
      </c>
      <c r="AH411" s="197">
        <f t="shared" si="254"/>
        <v>0.11660930017110901</v>
      </c>
      <c r="AI411" s="197">
        <f t="shared" si="288"/>
        <v>0.11660930017110901</v>
      </c>
      <c r="AJ411" s="218">
        <f t="shared" si="255"/>
        <v>390.00000000000006</v>
      </c>
      <c r="AK411" s="197">
        <f t="shared" si="289"/>
        <v>6.0930617977437734E-2</v>
      </c>
      <c r="AL411" s="197">
        <f t="shared" si="290"/>
        <v>9.6203707235237593E-2</v>
      </c>
      <c r="AM411" s="197">
        <f t="shared" si="291"/>
        <v>4.0790371867740751E-3</v>
      </c>
      <c r="AN411" s="197">
        <f t="shared" si="256"/>
        <v>24.05</v>
      </c>
      <c r="AO411" s="197">
        <f t="shared" si="257"/>
        <v>21.69</v>
      </c>
      <c r="AP411" s="197">
        <f t="shared" si="292"/>
        <v>7.4093290390420161E-2</v>
      </c>
      <c r="AQ411" s="197">
        <f t="shared" si="293"/>
        <v>0.42250439890466829</v>
      </c>
      <c r="AR411" s="197">
        <f t="shared" si="294"/>
        <v>0.30589509873355925</v>
      </c>
      <c r="AS411" s="258">
        <f t="shared" si="295"/>
        <v>0.15228632177729159</v>
      </c>
      <c r="AT411" s="197">
        <f t="shared" si="258"/>
        <v>2.5974058656511614E-4</v>
      </c>
      <c r="AU411" s="194">
        <f t="shared" si="259"/>
        <v>21.19</v>
      </c>
      <c r="AV411" s="197">
        <f t="shared" si="260"/>
        <v>2.7E-2</v>
      </c>
      <c r="AW411" s="197">
        <f t="shared" si="261"/>
        <v>3.4260000000000002E-3</v>
      </c>
      <c r="AX411" s="197">
        <f t="shared" si="296"/>
        <v>6.1668000000000001E-2</v>
      </c>
      <c r="AY411" s="197">
        <f t="shared" si="262"/>
        <v>2.8867476000000005E-3</v>
      </c>
      <c r="AZ411" s="197">
        <f t="shared" si="263"/>
        <v>0</v>
      </c>
      <c r="BA411" s="197">
        <f t="shared" si="297"/>
        <v>7.2596940000000013E-2</v>
      </c>
      <c r="BB411" s="258">
        <f t="shared" si="264"/>
        <v>0.36575210336206115</v>
      </c>
      <c r="BC411" s="197">
        <f t="shared" si="265"/>
        <v>2.2380490766334034E-2</v>
      </c>
      <c r="BD411" s="197">
        <f t="shared" si="298"/>
        <v>4.4760981532668068E-3</v>
      </c>
      <c r="BE411" s="197">
        <f t="shared" si="299"/>
        <v>2.6856588919600841E-2</v>
      </c>
      <c r="BF411" s="197">
        <f t="shared" si="266"/>
        <v>0.20773291256157633</v>
      </c>
      <c r="BG411" s="197">
        <f t="shared" si="267"/>
        <v>5.4608303342508187E-4</v>
      </c>
      <c r="BH411" s="197">
        <f t="shared" si="268"/>
        <v>3.5336687086656722E-2</v>
      </c>
      <c r="BI411" s="197">
        <f t="shared" si="300"/>
        <v>0.44730899017824427</v>
      </c>
      <c r="BJ411" s="197">
        <f t="shared" si="269"/>
        <v>6.769615024661003</v>
      </c>
      <c r="BK411" s="288">
        <f t="shared" si="270"/>
        <v>0.93392401361838984</v>
      </c>
      <c r="BL411" s="197">
        <f t="shared" si="271"/>
        <v>0.37608972359227794</v>
      </c>
      <c r="BM411" s="197">
        <f t="shared" si="272"/>
        <v>7.4353030976985271E-2</v>
      </c>
      <c r="BN411" s="197">
        <f t="shared" si="273"/>
        <v>54.461181858619113</v>
      </c>
      <c r="BO411" s="197">
        <f t="shared" si="301"/>
        <v>0.2082789955950014</v>
      </c>
      <c r="BP411" s="197">
        <f t="shared" si="274"/>
        <v>65.620924669625111</v>
      </c>
      <c r="BQ411" s="197">
        <f t="shared" si="275"/>
        <v>9.9596940000000009E-2</v>
      </c>
      <c r="BR411" s="288">
        <f t="shared" si="276"/>
        <v>0.16008975919012108</v>
      </c>
      <c r="BS411" s="197">
        <f t="shared" si="277"/>
        <v>0.11660930017110901</v>
      </c>
      <c r="BT411" s="197">
        <f t="shared" si="278"/>
        <v>0.36419974881911377</v>
      </c>
      <c r="BU411" s="197">
        <f t="shared" si="279"/>
        <v>0.1713930788771201</v>
      </c>
      <c r="BV411" s="197">
        <f t="shared" si="280"/>
        <v>0.53530306917875781</v>
      </c>
      <c r="BW411" s="194"/>
      <c r="BX411" s="194"/>
      <c r="BY411" s="194"/>
      <c r="BZ411" s="194"/>
      <c r="CA411" s="194"/>
      <c r="CB411" s="194"/>
      <c r="CC411" s="194"/>
      <c r="CD411" s="194"/>
      <c r="CE411" s="194"/>
      <c r="CF411" s="194"/>
      <c r="CG411" s="194"/>
      <c r="CH411" s="194"/>
      <c r="CI411" s="194"/>
      <c r="CJ411" s="194"/>
      <c r="CK411" s="194"/>
      <c r="CL411" s="194"/>
      <c r="CM411" s="194"/>
      <c r="CN411" s="194"/>
      <c r="CO411" s="194"/>
      <c r="CP411" s="194"/>
      <c r="CQ411" s="194"/>
      <c r="CR411" s="194"/>
      <c r="CS411" s="194"/>
      <c r="CT411" s="194"/>
      <c r="CU411" s="194"/>
      <c r="CV411" s="194"/>
      <c r="CW411" s="194"/>
      <c r="CX411" s="194"/>
      <c r="CY411" s="194"/>
      <c r="CZ411" s="194"/>
      <c r="DA411" s="194"/>
      <c r="DB411" s="194"/>
      <c r="DC411" s="194"/>
      <c r="DD411" s="194"/>
      <c r="DE411" s="194"/>
      <c r="DF411" s="194"/>
    </row>
    <row r="412" spans="2:110" s="192" customFormat="1" hidden="1" x14ac:dyDescent="0.35">
      <c r="B412" s="289"/>
      <c r="C412" s="289"/>
      <c r="Q412" s="193"/>
      <c r="R412" s="194">
        <f t="shared" si="281"/>
        <v>18</v>
      </c>
      <c r="S412" s="197">
        <f t="shared" si="247"/>
        <v>0.3888888888888889</v>
      </c>
      <c r="T412" s="194">
        <f t="shared" si="302"/>
        <v>0.69</v>
      </c>
      <c r="U412" s="194">
        <f t="shared" si="303"/>
        <v>1.4999999999999999E-4</v>
      </c>
      <c r="V412" s="197">
        <f t="shared" si="282"/>
        <v>0.3888888888888889</v>
      </c>
      <c r="W412" s="197">
        <f t="shared" si="248"/>
        <v>4.3555555555555561E-3</v>
      </c>
      <c r="X412" s="286">
        <f t="shared" si="249"/>
        <v>1</v>
      </c>
      <c r="Y412" s="286">
        <f t="shared" si="250"/>
        <v>0.17335969315081967</v>
      </c>
      <c r="Z412" s="286">
        <f t="shared" si="251"/>
        <v>0.54964853345132902</v>
      </c>
      <c r="AA412" s="286">
        <f t="shared" si="283"/>
        <v>0.17335969315081967</v>
      </c>
      <c r="AB412" s="197">
        <f t="shared" si="252"/>
        <v>0.36419974881911377</v>
      </c>
      <c r="AC412" s="287">
        <f t="shared" si="253"/>
        <v>4.4451203372005044E-7</v>
      </c>
      <c r="AD412" s="197">
        <f t="shared" si="284"/>
        <v>11.693936048110356</v>
      </c>
      <c r="AE412" s="197">
        <f t="shared" si="285"/>
        <v>35.08180814433107</v>
      </c>
      <c r="AF412" s="197">
        <f t="shared" si="286"/>
        <v>8.5178571428571423E-2</v>
      </c>
      <c r="AG412" s="197">
        <f t="shared" si="287"/>
        <v>0.25553571428571431</v>
      </c>
      <c r="AH412" s="197">
        <f t="shared" si="254"/>
        <v>0.11660930017110901</v>
      </c>
      <c r="AI412" s="197">
        <f t="shared" si="288"/>
        <v>0.11660930017110901</v>
      </c>
      <c r="AJ412" s="218">
        <f t="shared" si="255"/>
        <v>390.00000000000006</v>
      </c>
      <c r="AK412" s="197">
        <f t="shared" si="289"/>
        <v>6.0930617977437734E-2</v>
      </c>
      <c r="AL412" s="197">
        <f t="shared" si="290"/>
        <v>9.6203707235237593E-2</v>
      </c>
      <c r="AM412" s="197">
        <f t="shared" si="291"/>
        <v>4.0790371867740751E-3</v>
      </c>
      <c r="AN412" s="197">
        <f t="shared" si="256"/>
        <v>24.05</v>
      </c>
      <c r="AO412" s="197">
        <f t="shared" si="257"/>
        <v>21.69</v>
      </c>
      <c r="AP412" s="197">
        <f t="shared" si="292"/>
        <v>7.4093290390420161E-2</v>
      </c>
      <c r="AQ412" s="197">
        <f t="shared" si="293"/>
        <v>0.42250439890466829</v>
      </c>
      <c r="AR412" s="197">
        <f t="shared" si="294"/>
        <v>0.30589509873355925</v>
      </c>
      <c r="AS412" s="258">
        <f t="shared" si="295"/>
        <v>0.15228632177729159</v>
      </c>
      <c r="AT412" s="197">
        <f t="shared" si="258"/>
        <v>2.5974058656511614E-4</v>
      </c>
      <c r="AU412" s="194">
        <f t="shared" si="259"/>
        <v>21.19</v>
      </c>
      <c r="AV412" s="197">
        <f t="shared" si="260"/>
        <v>2.7E-2</v>
      </c>
      <c r="AW412" s="197">
        <f t="shared" si="261"/>
        <v>3.4260000000000002E-3</v>
      </c>
      <c r="AX412" s="197">
        <f t="shared" si="296"/>
        <v>6.1668000000000001E-2</v>
      </c>
      <c r="AY412" s="197">
        <f t="shared" si="262"/>
        <v>2.8867476000000005E-3</v>
      </c>
      <c r="AZ412" s="197">
        <f t="shared" si="263"/>
        <v>0</v>
      </c>
      <c r="BA412" s="197">
        <f t="shared" si="297"/>
        <v>7.2596940000000013E-2</v>
      </c>
      <c r="BB412" s="258">
        <f t="shared" si="264"/>
        <v>0.36575210336206115</v>
      </c>
      <c r="BC412" s="197">
        <f t="shared" si="265"/>
        <v>2.2380490766334034E-2</v>
      </c>
      <c r="BD412" s="197">
        <f t="shared" si="298"/>
        <v>4.4760981532668068E-3</v>
      </c>
      <c r="BE412" s="197">
        <f t="shared" si="299"/>
        <v>2.6856588919600841E-2</v>
      </c>
      <c r="BF412" s="197">
        <f t="shared" si="266"/>
        <v>0.20773291256157633</v>
      </c>
      <c r="BG412" s="197">
        <f t="shared" si="267"/>
        <v>5.4608303342508187E-4</v>
      </c>
      <c r="BH412" s="197">
        <f t="shared" si="268"/>
        <v>3.5336687086656722E-2</v>
      </c>
      <c r="BI412" s="197">
        <f t="shared" si="300"/>
        <v>0.44730899017824427</v>
      </c>
      <c r="BJ412" s="197">
        <f t="shared" si="269"/>
        <v>6.769615024661003</v>
      </c>
      <c r="BK412" s="288">
        <f t="shared" si="270"/>
        <v>0.93392401361838984</v>
      </c>
      <c r="BL412" s="197">
        <f t="shared" si="271"/>
        <v>0.37608972359227794</v>
      </c>
      <c r="BM412" s="197">
        <f t="shared" si="272"/>
        <v>7.4353030976985271E-2</v>
      </c>
      <c r="BN412" s="197">
        <f t="shared" si="273"/>
        <v>54.461181858619113</v>
      </c>
      <c r="BO412" s="197">
        <f t="shared" si="301"/>
        <v>0.2082789955950014</v>
      </c>
      <c r="BP412" s="197">
        <f t="shared" si="274"/>
        <v>65.620924669625111</v>
      </c>
      <c r="BQ412" s="197">
        <f t="shared" si="275"/>
        <v>9.9596940000000009E-2</v>
      </c>
      <c r="BR412" s="288">
        <f t="shared" si="276"/>
        <v>0.16008975919012108</v>
      </c>
      <c r="BS412" s="197">
        <f t="shared" si="277"/>
        <v>0.11660930017110901</v>
      </c>
      <c r="BT412" s="197">
        <f t="shared" si="278"/>
        <v>0.36419974881911377</v>
      </c>
      <c r="BU412" s="197">
        <f t="shared" si="279"/>
        <v>0.1713930788771201</v>
      </c>
      <c r="BV412" s="197">
        <f t="shared" si="280"/>
        <v>0.53530306917875781</v>
      </c>
      <c r="BW412" s="194"/>
      <c r="BX412" s="194"/>
      <c r="BY412" s="194"/>
      <c r="BZ412" s="194"/>
      <c r="CA412" s="194"/>
      <c r="CB412" s="194"/>
      <c r="CC412" s="194"/>
      <c r="CD412" s="194"/>
      <c r="CE412" s="194"/>
      <c r="CF412" s="194"/>
      <c r="CG412" s="194"/>
      <c r="CH412" s="194"/>
      <c r="CI412" s="194"/>
      <c r="CJ412" s="194"/>
      <c r="CK412" s="194"/>
      <c r="CL412" s="194"/>
      <c r="CM412" s="194"/>
      <c r="CN412" s="194"/>
      <c r="CO412" s="194"/>
      <c r="CP412" s="194"/>
      <c r="CQ412" s="194"/>
      <c r="CR412" s="194"/>
      <c r="CS412" s="194"/>
      <c r="CT412" s="194"/>
      <c r="CU412" s="194"/>
      <c r="CV412" s="194"/>
      <c r="CW412" s="194"/>
      <c r="CX412" s="194"/>
      <c r="CY412" s="194"/>
      <c r="CZ412" s="194"/>
      <c r="DA412" s="194"/>
      <c r="DB412" s="194"/>
      <c r="DC412" s="194"/>
      <c r="DD412" s="194"/>
      <c r="DE412" s="194"/>
      <c r="DF412" s="194"/>
    </row>
    <row r="413" spans="2:110" s="192" customFormat="1" hidden="1" x14ac:dyDescent="0.35">
      <c r="B413" s="289"/>
      <c r="C413" s="289"/>
      <c r="Q413" s="193"/>
      <c r="R413" s="194">
        <f t="shared" si="281"/>
        <v>18</v>
      </c>
      <c r="S413" s="197">
        <f t="shared" si="247"/>
        <v>0.3888888888888889</v>
      </c>
      <c r="T413" s="194">
        <f t="shared" si="302"/>
        <v>0.69</v>
      </c>
      <c r="U413" s="194">
        <f t="shared" si="303"/>
        <v>1.4999999999999999E-4</v>
      </c>
      <c r="V413" s="197">
        <f t="shared" si="282"/>
        <v>0.3888888888888889</v>
      </c>
      <c r="W413" s="197">
        <f t="shared" si="248"/>
        <v>4.3555555555555561E-3</v>
      </c>
      <c r="X413" s="286">
        <f t="shared" si="249"/>
        <v>1</v>
      </c>
      <c r="Y413" s="286">
        <f t="shared" si="250"/>
        <v>0.17335969315081967</v>
      </c>
      <c r="Z413" s="286">
        <f t="shared" si="251"/>
        <v>0.54964853345132902</v>
      </c>
      <c r="AA413" s="286">
        <f t="shared" si="283"/>
        <v>0.17335969315081967</v>
      </c>
      <c r="AB413" s="197">
        <f t="shared" si="252"/>
        <v>0.36419974881911377</v>
      </c>
      <c r="AC413" s="287">
        <f t="shared" si="253"/>
        <v>4.4451203372005044E-7</v>
      </c>
      <c r="AD413" s="197">
        <f t="shared" si="284"/>
        <v>11.693936048110356</v>
      </c>
      <c r="AE413" s="197">
        <f t="shared" si="285"/>
        <v>35.08180814433107</v>
      </c>
      <c r="AF413" s="197">
        <f t="shared" si="286"/>
        <v>8.5178571428571423E-2</v>
      </c>
      <c r="AG413" s="197">
        <f t="shared" si="287"/>
        <v>0.25553571428571431</v>
      </c>
      <c r="AH413" s="197">
        <f t="shared" si="254"/>
        <v>0.11660930017110901</v>
      </c>
      <c r="AI413" s="197">
        <f t="shared" si="288"/>
        <v>0.11660930017110901</v>
      </c>
      <c r="AJ413" s="218">
        <f t="shared" si="255"/>
        <v>390.00000000000006</v>
      </c>
      <c r="AK413" s="197">
        <f t="shared" si="289"/>
        <v>6.0930617977437734E-2</v>
      </c>
      <c r="AL413" s="197">
        <f t="shared" si="290"/>
        <v>9.6203707235237593E-2</v>
      </c>
      <c r="AM413" s="197">
        <f t="shared" si="291"/>
        <v>4.0790371867740751E-3</v>
      </c>
      <c r="AN413" s="197">
        <f t="shared" si="256"/>
        <v>24.05</v>
      </c>
      <c r="AO413" s="197">
        <f t="shared" si="257"/>
        <v>21.69</v>
      </c>
      <c r="AP413" s="197">
        <f t="shared" si="292"/>
        <v>7.4093290390420161E-2</v>
      </c>
      <c r="AQ413" s="197">
        <f t="shared" si="293"/>
        <v>0.42250439890466829</v>
      </c>
      <c r="AR413" s="197">
        <f t="shared" si="294"/>
        <v>0.30589509873355925</v>
      </c>
      <c r="AS413" s="258">
        <f t="shared" si="295"/>
        <v>0.15228632177729159</v>
      </c>
      <c r="AT413" s="197">
        <f t="shared" si="258"/>
        <v>2.5974058656511614E-4</v>
      </c>
      <c r="AU413" s="194">
        <f t="shared" si="259"/>
        <v>21.19</v>
      </c>
      <c r="AV413" s="197">
        <f t="shared" si="260"/>
        <v>2.7E-2</v>
      </c>
      <c r="AW413" s="197">
        <f t="shared" si="261"/>
        <v>3.4260000000000002E-3</v>
      </c>
      <c r="AX413" s="197">
        <f t="shared" si="296"/>
        <v>6.1668000000000001E-2</v>
      </c>
      <c r="AY413" s="197">
        <f t="shared" si="262"/>
        <v>2.8867476000000005E-3</v>
      </c>
      <c r="AZ413" s="197">
        <f t="shared" si="263"/>
        <v>0</v>
      </c>
      <c r="BA413" s="197">
        <f t="shared" si="297"/>
        <v>7.2596940000000013E-2</v>
      </c>
      <c r="BB413" s="258">
        <f t="shared" si="264"/>
        <v>0.36575210336206115</v>
      </c>
      <c r="BC413" s="197">
        <f t="shared" si="265"/>
        <v>2.2380490766334034E-2</v>
      </c>
      <c r="BD413" s="197">
        <f t="shared" si="298"/>
        <v>4.4760981532668068E-3</v>
      </c>
      <c r="BE413" s="197">
        <f t="shared" si="299"/>
        <v>2.6856588919600841E-2</v>
      </c>
      <c r="BF413" s="197">
        <f t="shared" si="266"/>
        <v>0.20773291256157633</v>
      </c>
      <c r="BG413" s="197">
        <f t="shared" si="267"/>
        <v>5.4608303342508187E-4</v>
      </c>
      <c r="BH413" s="197">
        <f t="shared" si="268"/>
        <v>3.5336687086656722E-2</v>
      </c>
      <c r="BI413" s="197">
        <f t="shared" si="300"/>
        <v>0.44730899017824427</v>
      </c>
      <c r="BJ413" s="197">
        <f t="shared" si="269"/>
        <v>6.769615024661003</v>
      </c>
      <c r="BK413" s="288">
        <f t="shared" si="270"/>
        <v>0.93392401361838984</v>
      </c>
      <c r="BL413" s="197">
        <f t="shared" si="271"/>
        <v>0.37608972359227794</v>
      </c>
      <c r="BM413" s="197">
        <f t="shared" si="272"/>
        <v>7.4353030976985271E-2</v>
      </c>
      <c r="BN413" s="197">
        <f t="shared" si="273"/>
        <v>54.461181858619113</v>
      </c>
      <c r="BO413" s="197">
        <f t="shared" si="301"/>
        <v>0.2082789955950014</v>
      </c>
      <c r="BP413" s="197">
        <f t="shared" si="274"/>
        <v>65.620924669625111</v>
      </c>
      <c r="BQ413" s="197">
        <f t="shared" si="275"/>
        <v>9.9596940000000009E-2</v>
      </c>
      <c r="BR413" s="288">
        <f t="shared" si="276"/>
        <v>0.16008975919012108</v>
      </c>
      <c r="BS413" s="197">
        <f t="shared" si="277"/>
        <v>0.11660930017110901</v>
      </c>
      <c r="BT413" s="197">
        <f t="shared" si="278"/>
        <v>0.36419974881911377</v>
      </c>
      <c r="BU413" s="197">
        <f t="shared" si="279"/>
        <v>0.1713930788771201</v>
      </c>
      <c r="BV413" s="197">
        <f t="shared" si="280"/>
        <v>0.53530306917875781</v>
      </c>
      <c r="BW413" s="194"/>
      <c r="BX413" s="194"/>
      <c r="BY413" s="194"/>
      <c r="BZ413" s="194"/>
      <c r="CA413" s="194"/>
      <c r="CB413" s="194"/>
      <c r="CC413" s="194"/>
      <c r="CD413" s="194"/>
      <c r="CE413" s="194"/>
      <c r="CF413" s="194"/>
      <c r="CG413" s="194"/>
      <c r="CH413" s="194"/>
      <c r="CI413" s="194"/>
      <c r="CJ413" s="194"/>
      <c r="CK413" s="194"/>
      <c r="CL413" s="194"/>
      <c r="CM413" s="194"/>
      <c r="CN413" s="194"/>
      <c r="CO413" s="194"/>
      <c r="CP413" s="194"/>
      <c r="CQ413" s="194"/>
      <c r="CR413" s="194"/>
      <c r="CS413" s="194"/>
      <c r="CT413" s="194"/>
      <c r="CU413" s="194"/>
      <c r="CV413" s="194"/>
      <c r="CW413" s="194"/>
      <c r="CX413" s="194"/>
      <c r="CY413" s="194"/>
      <c r="CZ413" s="194"/>
      <c r="DA413" s="194"/>
      <c r="DB413" s="194"/>
      <c r="DC413" s="194"/>
      <c r="DD413" s="194"/>
      <c r="DE413" s="194"/>
      <c r="DF413" s="194"/>
    </row>
    <row r="414" spans="2:110" s="192" customFormat="1" hidden="1" x14ac:dyDescent="0.35">
      <c r="B414" s="289"/>
      <c r="C414" s="289"/>
      <c r="Q414" s="193"/>
      <c r="R414" s="194">
        <f t="shared" si="281"/>
        <v>18</v>
      </c>
      <c r="S414" s="197">
        <f t="shared" si="247"/>
        <v>0.3888888888888889</v>
      </c>
      <c r="T414" s="194">
        <f t="shared" si="302"/>
        <v>0.69</v>
      </c>
      <c r="U414" s="194">
        <f t="shared" si="303"/>
        <v>1.4999999999999999E-4</v>
      </c>
      <c r="V414" s="197">
        <f t="shared" si="282"/>
        <v>0.3888888888888889</v>
      </c>
      <c r="W414" s="197">
        <f t="shared" si="248"/>
        <v>4.3555555555555561E-3</v>
      </c>
      <c r="X414" s="286">
        <f t="shared" si="249"/>
        <v>1</v>
      </c>
      <c r="Y414" s="286">
        <f t="shared" si="250"/>
        <v>0.17335969315081967</v>
      </c>
      <c r="Z414" s="286">
        <f t="shared" si="251"/>
        <v>0.54964853345132902</v>
      </c>
      <c r="AA414" s="286">
        <f t="shared" si="283"/>
        <v>0.17335969315081967</v>
      </c>
      <c r="AB414" s="197">
        <f t="shared" si="252"/>
        <v>0.36419974881911377</v>
      </c>
      <c r="AC414" s="287">
        <f t="shared" si="253"/>
        <v>4.4451203372005044E-7</v>
      </c>
      <c r="AD414" s="197">
        <f t="shared" si="284"/>
        <v>11.693936048110356</v>
      </c>
      <c r="AE414" s="197">
        <f t="shared" si="285"/>
        <v>35.08180814433107</v>
      </c>
      <c r="AF414" s="197">
        <f t="shared" si="286"/>
        <v>8.5178571428571423E-2</v>
      </c>
      <c r="AG414" s="197">
        <f t="shared" si="287"/>
        <v>0.25553571428571431</v>
      </c>
      <c r="AH414" s="197">
        <f t="shared" si="254"/>
        <v>0.11660930017110901</v>
      </c>
      <c r="AI414" s="197">
        <f t="shared" si="288"/>
        <v>0.11660930017110901</v>
      </c>
      <c r="AJ414" s="218">
        <f t="shared" si="255"/>
        <v>390.00000000000006</v>
      </c>
      <c r="AK414" s="197">
        <f t="shared" si="289"/>
        <v>6.0930617977437734E-2</v>
      </c>
      <c r="AL414" s="197">
        <f t="shared" si="290"/>
        <v>9.6203707235237593E-2</v>
      </c>
      <c r="AM414" s="197">
        <f t="shared" si="291"/>
        <v>4.0790371867740751E-3</v>
      </c>
      <c r="AN414" s="197">
        <f t="shared" si="256"/>
        <v>24.05</v>
      </c>
      <c r="AO414" s="197">
        <f t="shared" si="257"/>
        <v>21.69</v>
      </c>
      <c r="AP414" s="197">
        <f t="shared" si="292"/>
        <v>7.4093290390420161E-2</v>
      </c>
      <c r="AQ414" s="197">
        <f t="shared" si="293"/>
        <v>0.42250439890466829</v>
      </c>
      <c r="AR414" s="197">
        <f t="shared" si="294"/>
        <v>0.30589509873355925</v>
      </c>
      <c r="AS414" s="258">
        <f t="shared" si="295"/>
        <v>0.15228632177729159</v>
      </c>
      <c r="AT414" s="197">
        <f t="shared" si="258"/>
        <v>2.5974058656511614E-4</v>
      </c>
      <c r="AU414" s="194">
        <f t="shared" si="259"/>
        <v>21.19</v>
      </c>
      <c r="AV414" s="197">
        <f t="shared" si="260"/>
        <v>2.7E-2</v>
      </c>
      <c r="AW414" s="197">
        <f t="shared" si="261"/>
        <v>3.4260000000000002E-3</v>
      </c>
      <c r="AX414" s="197">
        <f t="shared" si="296"/>
        <v>6.1668000000000001E-2</v>
      </c>
      <c r="AY414" s="197">
        <f t="shared" si="262"/>
        <v>2.8867476000000005E-3</v>
      </c>
      <c r="AZ414" s="197">
        <f t="shared" si="263"/>
        <v>0</v>
      </c>
      <c r="BA414" s="197">
        <f t="shared" si="297"/>
        <v>7.2596940000000013E-2</v>
      </c>
      <c r="BB414" s="258">
        <f t="shared" si="264"/>
        <v>0.36575210336206115</v>
      </c>
      <c r="BC414" s="197">
        <f t="shared" si="265"/>
        <v>2.2380490766334034E-2</v>
      </c>
      <c r="BD414" s="197">
        <f t="shared" si="298"/>
        <v>4.4760981532668068E-3</v>
      </c>
      <c r="BE414" s="197">
        <f t="shared" si="299"/>
        <v>2.6856588919600841E-2</v>
      </c>
      <c r="BF414" s="197">
        <f t="shared" si="266"/>
        <v>0.20773291256157633</v>
      </c>
      <c r="BG414" s="197">
        <f t="shared" si="267"/>
        <v>5.4608303342508187E-4</v>
      </c>
      <c r="BH414" s="197">
        <f t="shared" si="268"/>
        <v>3.5336687086656722E-2</v>
      </c>
      <c r="BI414" s="197">
        <f t="shared" si="300"/>
        <v>0.44730899017824427</v>
      </c>
      <c r="BJ414" s="197">
        <f t="shared" si="269"/>
        <v>6.769615024661003</v>
      </c>
      <c r="BK414" s="288">
        <f t="shared" si="270"/>
        <v>0.93392401361838984</v>
      </c>
      <c r="BL414" s="197">
        <f t="shared" si="271"/>
        <v>0.37608972359227794</v>
      </c>
      <c r="BM414" s="197">
        <f t="shared" si="272"/>
        <v>7.4353030976985271E-2</v>
      </c>
      <c r="BN414" s="197">
        <f t="shared" si="273"/>
        <v>54.461181858619113</v>
      </c>
      <c r="BO414" s="197">
        <f t="shared" si="301"/>
        <v>0.2082789955950014</v>
      </c>
      <c r="BP414" s="197">
        <f t="shared" si="274"/>
        <v>65.620924669625111</v>
      </c>
      <c r="BQ414" s="197">
        <f t="shared" si="275"/>
        <v>9.9596940000000009E-2</v>
      </c>
      <c r="BR414" s="288">
        <f t="shared" si="276"/>
        <v>0.16008975919012108</v>
      </c>
      <c r="BS414" s="197">
        <f t="shared" si="277"/>
        <v>0.11660930017110901</v>
      </c>
      <c r="BT414" s="197">
        <f t="shared" si="278"/>
        <v>0.36419974881911377</v>
      </c>
      <c r="BU414" s="197">
        <f t="shared" si="279"/>
        <v>0.1713930788771201</v>
      </c>
      <c r="BV414" s="197">
        <f t="shared" si="280"/>
        <v>0.53530306917875781</v>
      </c>
      <c r="BW414" s="194"/>
      <c r="BX414" s="194"/>
      <c r="BY414" s="194"/>
      <c r="BZ414" s="194"/>
      <c r="CA414" s="194"/>
      <c r="CB414" s="194"/>
      <c r="CC414" s="194"/>
      <c r="CD414" s="194"/>
      <c r="CE414" s="194"/>
      <c r="CF414" s="194"/>
      <c r="CG414" s="194"/>
      <c r="CH414" s="194"/>
      <c r="CI414" s="194"/>
      <c r="CJ414" s="194"/>
      <c r="CK414" s="194"/>
      <c r="CL414" s="194"/>
      <c r="CM414" s="194"/>
      <c r="CN414" s="194"/>
      <c r="CO414" s="194"/>
      <c r="CP414" s="194"/>
      <c r="CQ414" s="194"/>
      <c r="CR414" s="194"/>
      <c r="CS414" s="194"/>
      <c r="CT414" s="194"/>
      <c r="CU414" s="194"/>
      <c r="CV414" s="194"/>
      <c r="CW414" s="194"/>
      <c r="CX414" s="194"/>
      <c r="CY414" s="194"/>
      <c r="CZ414" s="194"/>
      <c r="DA414" s="194"/>
      <c r="DB414" s="194"/>
      <c r="DC414" s="194"/>
      <c r="DD414" s="194"/>
      <c r="DE414" s="194"/>
      <c r="DF414" s="194"/>
    </row>
    <row r="415" spans="2:110" s="192" customFormat="1" hidden="1" x14ac:dyDescent="0.35">
      <c r="B415" s="289"/>
      <c r="C415" s="289"/>
      <c r="Q415" s="193"/>
      <c r="R415" s="194">
        <f t="shared" si="281"/>
        <v>18</v>
      </c>
      <c r="S415" s="197">
        <f t="shared" si="247"/>
        <v>0.3888888888888889</v>
      </c>
      <c r="T415" s="194">
        <f t="shared" si="302"/>
        <v>0.69</v>
      </c>
      <c r="U415" s="194">
        <f t="shared" si="303"/>
        <v>1.4999999999999999E-4</v>
      </c>
      <c r="V415" s="197">
        <f t="shared" si="282"/>
        <v>0.3888888888888889</v>
      </c>
      <c r="W415" s="197">
        <f t="shared" si="248"/>
        <v>4.3555555555555561E-3</v>
      </c>
      <c r="X415" s="286">
        <f t="shared" si="249"/>
        <v>1</v>
      </c>
      <c r="Y415" s="286">
        <f t="shared" si="250"/>
        <v>0.17335969315081967</v>
      </c>
      <c r="Z415" s="286">
        <f t="shared" si="251"/>
        <v>0.54964853345132902</v>
      </c>
      <c r="AA415" s="286">
        <f t="shared" si="283"/>
        <v>0.17335969315081967</v>
      </c>
      <c r="AB415" s="197">
        <f t="shared" si="252"/>
        <v>0.36419974881911377</v>
      </c>
      <c r="AC415" s="287">
        <f t="shared" si="253"/>
        <v>4.4451203372005044E-7</v>
      </c>
      <c r="AD415" s="197">
        <f t="shared" si="284"/>
        <v>11.693936048110356</v>
      </c>
      <c r="AE415" s="197">
        <f t="shared" si="285"/>
        <v>35.08180814433107</v>
      </c>
      <c r="AF415" s="197">
        <f t="shared" si="286"/>
        <v>8.5178571428571423E-2</v>
      </c>
      <c r="AG415" s="197">
        <f t="shared" si="287"/>
        <v>0.25553571428571431</v>
      </c>
      <c r="AH415" s="197">
        <f t="shared" si="254"/>
        <v>0.11660930017110901</v>
      </c>
      <c r="AI415" s="197">
        <f t="shared" si="288"/>
        <v>0.11660930017110901</v>
      </c>
      <c r="AJ415" s="218">
        <f t="shared" si="255"/>
        <v>390.00000000000006</v>
      </c>
      <c r="AK415" s="197">
        <f t="shared" si="289"/>
        <v>6.0930617977437734E-2</v>
      </c>
      <c r="AL415" s="197">
        <f t="shared" si="290"/>
        <v>9.6203707235237593E-2</v>
      </c>
      <c r="AM415" s="197">
        <f t="shared" si="291"/>
        <v>4.0790371867740751E-3</v>
      </c>
      <c r="AN415" s="197">
        <f t="shared" si="256"/>
        <v>24.05</v>
      </c>
      <c r="AO415" s="197">
        <f t="shared" si="257"/>
        <v>21.69</v>
      </c>
      <c r="AP415" s="197">
        <f t="shared" si="292"/>
        <v>7.4093290390420161E-2</v>
      </c>
      <c r="AQ415" s="197">
        <f t="shared" si="293"/>
        <v>0.42250439890466829</v>
      </c>
      <c r="AR415" s="197">
        <f t="shared" si="294"/>
        <v>0.30589509873355925</v>
      </c>
      <c r="AS415" s="258">
        <f t="shared" si="295"/>
        <v>0.15228632177729159</v>
      </c>
      <c r="AT415" s="197">
        <f t="shared" si="258"/>
        <v>2.5974058656511614E-4</v>
      </c>
      <c r="AU415" s="194">
        <f t="shared" si="259"/>
        <v>21.19</v>
      </c>
      <c r="AV415" s="197">
        <f t="shared" si="260"/>
        <v>2.7E-2</v>
      </c>
      <c r="AW415" s="197">
        <f t="shared" si="261"/>
        <v>3.4260000000000002E-3</v>
      </c>
      <c r="AX415" s="197">
        <f t="shared" si="296"/>
        <v>6.1668000000000001E-2</v>
      </c>
      <c r="AY415" s="197">
        <f t="shared" si="262"/>
        <v>2.8867476000000005E-3</v>
      </c>
      <c r="AZ415" s="197">
        <f t="shared" si="263"/>
        <v>0</v>
      </c>
      <c r="BA415" s="197">
        <f t="shared" si="297"/>
        <v>7.2596940000000013E-2</v>
      </c>
      <c r="BB415" s="258">
        <f t="shared" si="264"/>
        <v>0.36575210336206115</v>
      </c>
      <c r="BC415" s="197">
        <f t="shared" si="265"/>
        <v>2.2380490766334034E-2</v>
      </c>
      <c r="BD415" s="197">
        <f t="shared" si="298"/>
        <v>4.4760981532668068E-3</v>
      </c>
      <c r="BE415" s="197">
        <f t="shared" si="299"/>
        <v>2.6856588919600841E-2</v>
      </c>
      <c r="BF415" s="197">
        <f t="shared" si="266"/>
        <v>0.20773291256157633</v>
      </c>
      <c r="BG415" s="197">
        <f t="shared" si="267"/>
        <v>5.4608303342508187E-4</v>
      </c>
      <c r="BH415" s="197">
        <f t="shared" si="268"/>
        <v>3.5336687086656722E-2</v>
      </c>
      <c r="BI415" s="197">
        <f t="shared" si="300"/>
        <v>0.44730899017824427</v>
      </c>
      <c r="BJ415" s="197">
        <f t="shared" si="269"/>
        <v>6.769615024661003</v>
      </c>
      <c r="BK415" s="288">
        <f t="shared" si="270"/>
        <v>0.93392401361838984</v>
      </c>
      <c r="BL415" s="197">
        <f t="shared" si="271"/>
        <v>0.37608972359227794</v>
      </c>
      <c r="BM415" s="197">
        <f t="shared" si="272"/>
        <v>7.4353030976985271E-2</v>
      </c>
      <c r="BN415" s="197">
        <f t="shared" si="273"/>
        <v>54.461181858619113</v>
      </c>
      <c r="BO415" s="197">
        <f t="shared" si="301"/>
        <v>0.2082789955950014</v>
      </c>
      <c r="BP415" s="197">
        <f t="shared" si="274"/>
        <v>65.620924669625111</v>
      </c>
      <c r="BQ415" s="197">
        <f t="shared" si="275"/>
        <v>9.9596940000000009E-2</v>
      </c>
      <c r="BR415" s="288">
        <f t="shared" si="276"/>
        <v>0.16008975919012108</v>
      </c>
      <c r="BS415" s="197">
        <f t="shared" si="277"/>
        <v>0.11660930017110901</v>
      </c>
      <c r="BT415" s="197">
        <f t="shared" si="278"/>
        <v>0.36419974881911377</v>
      </c>
      <c r="BU415" s="197">
        <f t="shared" si="279"/>
        <v>0.1713930788771201</v>
      </c>
      <c r="BV415" s="197">
        <f t="shared" si="280"/>
        <v>0.53530306917875781</v>
      </c>
      <c r="BW415" s="194"/>
      <c r="BX415" s="194"/>
      <c r="BY415" s="194"/>
      <c r="BZ415" s="194"/>
      <c r="CA415" s="194"/>
      <c r="CB415" s="194"/>
      <c r="CC415" s="194"/>
      <c r="CD415" s="194"/>
      <c r="CE415" s="194"/>
      <c r="CF415" s="194"/>
      <c r="CG415" s="194"/>
      <c r="CH415" s="194"/>
      <c r="CI415" s="194"/>
      <c r="CJ415" s="194"/>
      <c r="CK415" s="194"/>
      <c r="CL415" s="194"/>
      <c r="CM415" s="194"/>
      <c r="CN415" s="194"/>
      <c r="CO415" s="194"/>
      <c r="CP415" s="194"/>
      <c r="CQ415" s="194"/>
      <c r="CR415" s="194"/>
      <c r="CS415" s="194"/>
      <c r="CT415" s="194"/>
      <c r="CU415" s="194"/>
      <c r="CV415" s="194"/>
      <c r="CW415" s="194"/>
      <c r="CX415" s="194"/>
      <c r="CY415" s="194"/>
      <c r="CZ415" s="194"/>
      <c r="DA415" s="194"/>
      <c r="DB415" s="194"/>
      <c r="DC415" s="194"/>
      <c r="DD415" s="194"/>
      <c r="DE415" s="194"/>
      <c r="DF415" s="194"/>
    </row>
    <row r="416" spans="2:110" s="192" customFormat="1" hidden="1" x14ac:dyDescent="0.35">
      <c r="B416" s="289"/>
      <c r="C416" s="289"/>
      <c r="Q416" s="193"/>
      <c r="R416" s="194">
        <f t="shared" si="281"/>
        <v>18</v>
      </c>
      <c r="S416" s="197">
        <f t="shared" si="247"/>
        <v>0.3888888888888889</v>
      </c>
      <c r="T416" s="194">
        <f t="shared" si="302"/>
        <v>0.69</v>
      </c>
      <c r="U416" s="194">
        <f t="shared" si="303"/>
        <v>1.4999999999999999E-4</v>
      </c>
      <c r="V416" s="197">
        <f t="shared" si="282"/>
        <v>0.3888888888888889</v>
      </c>
      <c r="W416" s="197">
        <f t="shared" si="248"/>
        <v>4.3555555555555561E-3</v>
      </c>
      <c r="X416" s="286">
        <f t="shared" si="249"/>
        <v>1</v>
      </c>
      <c r="Y416" s="286">
        <f t="shared" si="250"/>
        <v>0.17335969315081967</v>
      </c>
      <c r="Z416" s="286">
        <f t="shared" si="251"/>
        <v>0.54964853345132902</v>
      </c>
      <c r="AA416" s="286">
        <f t="shared" si="283"/>
        <v>0.17335969315081967</v>
      </c>
      <c r="AB416" s="197">
        <f t="shared" si="252"/>
        <v>0.36419974881911377</v>
      </c>
      <c r="AC416" s="287">
        <f t="shared" si="253"/>
        <v>4.4451203372005044E-7</v>
      </c>
      <c r="AD416" s="197">
        <f t="shared" si="284"/>
        <v>11.693936048110356</v>
      </c>
      <c r="AE416" s="197">
        <f t="shared" si="285"/>
        <v>35.08180814433107</v>
      </c>
      <c r="AF416" s="197">
        <f t="shared" si="286"/>
        <v>8.5178571428571423E-2</v>
      </c>
      <c r="AG416" s="197">
        <f t="shared" si="287"/>
        <v>0.25553571428571431</v>
      </c>
      <c r="AH416" s="197">
        <f t="shared" si="254"/>
        <v>0.11660930017110901</v>
      </c>
      <c r="AI416" s="197">
        <f t="shared" si="288"/>
        <v>0.11660930017110901</v>
      </c>
      <c r="AJ416" s="218">
        <f t="shared" si="255"/>
        <v>390.00000000000006</v>
      </c>
      <c r="AK416" s="197">
        <f t="shared" si="289"/>
        <v>6.0930617977437734E-2</v>
      </c>
      <c r="AL416" s="197">
        <f t="shared" si="290"/>
        <v>9.6203707235237593E-2</v>
      </c>
      <c r="AM416" s="197">
        <f t="shared" si="291"/>
        <v>4.0790371867740751E-3</v>
      </c>
      <c r="AN416" s="197">
        <f t="shared" si="256"/>
        <v>24.05</v>
      </c>
      <c r="AO416" s="197">
        <f t="shared" si="257"/>
        <v>21.69</v>
      </c>
      <c r="AP416" s="197">
        <f t="shared" si="292"/>
        <v>7.4093290390420161E-2</v>
      </c>
      <c r="AQ416" s="197">
        <f t="shared" si="293"/>
        <v>0.42250439890466829</v>
      </c>
      <c r="AR416" s="197">
        <f t="shared" si="294"/>
        <v>0.30589509873355925</v>
      </c>
      <c r="AS416" s="258">
        <f t="shared" si="295"/>
        <v>0.15228632177729159</v>
      </c>
      <c r="AT416" s="197">
        <f t="shared" si="258"/>
        <v>2.5974058656511614E-4</v>
      </c>
      <c r="AU416" s="194">
        <f t="shared" si="259"/>
        <v>21.19</v>
      </c>
      <c r="AV416" s="197">
        <f t="shared" si="260"/>
        <v>2.7E-2</v>
      </c>
      <c r="AW416" s="197">
        <f t="shared" si="261"/>
        <v>3.4260000000000002E-3</v>
      </c>
      <c r="AX416" s="197">
        <f t="shared" si="296"/>
        <v>6.1668000000000001E-2</v>
      </c>
      <c r="AY416" s="197">
        <f t="shared" si="262"/>
        <v>2.8867476000000005E-3</v>
      </c>
      <c r="AZ416" s="197">
        <f t="shared" si="263"/>
        <v>0</v>
      </c>
      <c r="BA416" s="197">
        <f t="shared" si="297"/>
        <v>7.2596940000000013E-2</v>
      </c>
      <c r="BB416" s="258">
        <f t="shared" si="264"/>
        <v>0.36575210336206115</v>
      </c>
      <c r="BC416" s="197">
        <f t="shared" si="265"/>
        <v>2.2380490766334034E-2</v>
      </c>
      <c r="BD416" s="197">
        <f t="shared" si="298"/>
        <v>4.4760981532668068E-3</v>
      </c>
      <c r="BE416" s="197">
        <f t="shared" si="299"/>
        <v>2.6856588919600841E-2</v>
      </c>
      <c r="BF416" s="197">
        <f t="shared" si="266"/>
        <v>0.20773291256157633</v>
      </c>
      <c r="BG416" s="197">
        <f t="shared" si="267"/>
        <v>5.4608303342508187E-4</v>
      </c>
      <c r="BH416" s="197">
        <f t="shared" si="268"/>
        <v>3.5336687086656722E-2</v>
      </c>
      <c r="BI416" s="197">
        <f t="shared" si="300"/>
        <v>0.44730899017824427</v>
      </c>
      <c r="BJ416" s="197">
        <f t="shared" si="269"/>
        <v>6.769615024661003</v>
      </c>
      <c r="BK416" s="288">
        <f t="shared" si="270"/>
        <v>0.93392401361838984</v>
      </c>
      <c r="BL416" s="197">
        <f t="shared" si="271"/>
        <v>0.37608972359227794</v>
      </c>
      <c r="BM416" s="197">
        <f t="shared" si="272"/>
        <v>7.4353030976985271E-2</v>
      </c>
      <c r="BN416" s="197">
        <f t="shared" si="273"/>
        <v>54.461181858619113</v>
      </c>
      <c r="BO416" s="197">
        <f t="shared" si="301"/>
        <v>0.2082789955950014</v>
      </c>
      <c r="BP416" s="197">
        <f t="shared" si="274"/>
        <v>65.620924669625111</v>
      </c>
      <c r="BQ416" s="197">
        <f t="shared" si="275"/>
        <v>9.9596940000000009E-2</v>
      </c>
      <c r="BR416" s="288">
        <f t="shared" si="276"/>
        <v>0.16008975919012108</v>
      </c>
      <c r="BS416" s="197">
        <f t="shared" si="277"/>
        <v>0.11660930017110901</v>
      </c>
      <c r="BT416" s="197">
        <f t="shared" si="278"/>
        <v>0.36419974881911377</v>
      </c>
      <c r="BU416" s="197">
        <f t="shared" si="279"/>
        <v>0.1713930788771201</v>
      </c>
      <c r="BV416" s="197">
        <f t="shared" si="280"/>
        <v>0.53530306917875781</v>
      </c>
      <c r="BW416" s="194"/>
      <c r="BX416" s="194"/>
      <c r="BY416" s="194"/>
      <c r="BZ416" s="194"/>
      <c r="CA416" s="194"/>
      <c r="CB416" s="194"/>
      <c r="CC416" s="194"/>
      <c r="CD416" s="194"/>
      <c r="CE416" s="194"/>
      <c r="CF416" s="194"/>
      <c r="CG416" s="194"/>
      <c r="CH416" s="194"/>
      <c r="CI416" s="194"/>
      <c r="CJ416" s="194"/>
      <c r="CK416" s="194"/>
      <c r="CL416" s="194"/>
      <c r="CM416" s="194"/>
      <c r="CN416" s="194"/>
      <c r="CO416" s="194"/>
      <c r="CP416" s="194"/>
      <c r="CQ416" s="194"/>
      <c r="CR416" s="194"/>
      <c r="CS416" s="194"/>
      <c r="CT416" s="194"/>
      <c r="CU416" s="194"/>
      <c r="CV416" s="194"/>
      <c r="CW416" s="194"/>
      <c r="CX416" s="194"/>
      <c r="CY416" s="194"/>
      <c r="CZ416" s="194"/>
      <c r="DA416" s="194"/>
      <c r="DB416" s="194"/>
      <c r="DC416" s="194"/>
      <c r="DD416" s="194"/>
      <c r="DE416" s="194"/>
      <c r="DF416" s="194"/>
    </row>
    <row r="417" spans="2:110" s="192" customFormat="1" hidden="1" x14ac:dyDescent="0.35">
      <c r="B417" s="289"/>
      <c r="C417" s="289"/>
      <c r="Q417" s="193"/>
      <c r="R417" s="194">
        <f t="shared" si="281"/>
        <v>18</v>
      </c>
      <c r="S417" s="197">
        <f t="shared" si="247"/>
        <v>0.3888888888888889</v>
      </c>
      <c r="T417" s="194">
        <f t="shared" si="302"/>
        <v>0.69</v>
      </c>
      <c r="U417" s="194">
        <f t="shared" si="303"/>
        <v>1.4999999999999999E-4</v>
      </c>
      <c r="V417" s="197">
        <f t="shared" si="282"/>
        <v>0.3888888888888889</v>
      </c>
      <c r="W417" s="197">
        <f t="shared" si="248"/>
        <v>4.3555555555555561E-3</v>
      </c>
      <c r="X417" s="286">
        <f t="shared" si="249"/>
        <v>1</v>
      </c>
      <c r="Y417" s="286">
        <f t="shared" si="250"/>
        <v>0.17335969315081967</v>
      </c>
      <c r="Z417" s="286">
        <f t="shared" si="251"/>
        <v>0.54964853345132902</v>
      </c>
      <c r="AA417" s="286">
        <f t="shared" si="283"/>
        <v>0.17335969315081967</v>
      </c>
      <c r="AB417" s="197">
        <f t="shared" si="252"/>
        <v>0.36419974881911377</v>
      </c>
      <c r="AC417" s="287">
        <f t="shared" si="253"/>
        <v>4.4451203372005044E-7</v>
      </c>
      <c r="AD417" s="197">
        <f t="shared" si="284"/>
        <v>11.693936048110356</v>
      </c>
      <c r="AE417" s="197">
        <f t="shared" si="285"/>
        <v>35.08180814433107</v>
      </c>
      <c r="AF417" s="197">
        <f t="shared" si="286"/>
        <v>8.5178571428571423E-2</v>
      </c>
      <c r="AG417" s="197">
        <f t="shared" si="287"/>
        <v>0.25553571428571431</v>
      </c>
      <c r="AH417" s="197">
        <f t="shared" si="254"/>
        <v>0.11660930017110901</v>
      </c>
      <c r="AI417" s="197">
        <f t="shared" si="288"/>
        <v>0.11660930017110901</v>
      </c>
      <c r="AJ417" s="218">
        <f t="shared" si="255"/>
        <v>390.00000000000006</v>
      </c>
      <c r="AK417" s="197">
        <f t="shared" si="289"/>
        <v>6.0930617977437734E-2</v>
      </c>
      <c r="AL417" s="197">
        <f t="shared" si="290"/>
        <v>9.6203707235237593E-2</v>
      </c>
      <c r="AM417" s="197">
        <f t="shared" si="291"/>
        <v>4.0790371867740751E-3</v>
      </c>
      <c r="AN417" s="197">
        <f t="shared" si="256"/>
        <v>24.05</v>
      </c>
      <c r="AO417" s="197">
        <f t="shared" si="257"/>
        <v>21.69</v>
      </c>
      <c r="AP417" s="197">
        <f t="shared" si="292"/>
        <v>7.4093290390420161E-2</v>
      </c>
      <c r="AQ417" s="197">
        <f t="shared" si="293"/>
        <v>0.42250439890466829</v>
      </c>
      <c r="AR417" s="197">
        <f t="shared" si="294"/>
        <v>0.30589509873355925</v>
      </c>
      <c r="AS417" s="258">
        <f t="shared" si="295"/>
        <v>0.15228632177729159</v>
      </c>
      <c r="AT417" s="197">
        <f t="shared" si="258"/>
        <v>2.5974058656511614E-4</v>
      </c>
      <c r="AU417" s="194">
        <f t="shared" si="259"/>
        <v>21.19</v>
      </c>
      <c r="AV417" s="197">
        <f t="shared" si="260"/>
        <v>2.7E-2</v>
      </c>
      <c r="AW417" s="197">
        <f t="shared" si="261"/>
        <v>3.4260000000000002E-3</v>
      </c>
      <c r="AX417" s="197">
        <f t="shared" si="296"/>
        <v>6.1668000000000001E-2</v>
      </c>
      <c r="AY417" s="197">
        <f t="shared" si="262"/>
        <v>2.8867476000000005E-3</v>
      </c>
      <c r="AZ417" s="197">
        <f t="shared" si="263"/>
        <v>0</v>
      </c>
      <c r="BA417" s="197">
        <f t="shared" si="297"/>
        <v>7.2596940000000013E-2</v>
      </c>
      <c r="BB417" s="258">
        <f t="shared" si="264"/>
        <v>0.36575210336206115</v>
      </c>
      <c r="BC417" s="197">
        <f t="shared" si="265"/>
        <v>2.2380490766334034E-2</v>
      </c>
      <c r="BD417" s="197">
        <f t="shared" si="298"/>
        <v>4.4760981532668068E-3</v>
      </c>
      <c r="BE417" s="197">
        <f t="shared" si="299"/>
        <v>2.6856588919600841E-2</v>
      </c>
      <c r="BF417" s="197">
        <f t="shared" si="266"/>
        <v>0.20773291256157633</v>
      </c>
      <c r="BG417" s="197">
        <f t="shared" si="267"/>
        <v>5.4608303342508187E-4</v>
      </c>
      <c r="BH417" s="197">
        <f t="shared" si="268"/>
        <v>3.5336687086656722E-2</v>
      </c>
      <c r="BI417" s="197">
        <f t="shared" si="300"/>
        <v>0.44730899017824427</v>
      </c>
      <c r="BJ417" s="197">
        <f t="shared" si="269"/>
        <v>6.769615024661003</v>
      </c>
      <c r="BK417" s="288">
        <f t="shared" si="270"/>
        <v>0.93392401361838984</v>
      </c>
      <c r="BL417" s="197">
        <f t="shared" si="271"/>
        <v>0.37608972359227794</v>
      </c>
      <c r="BM417" s="197">
        <f t="shared" si="272"/>
        <v>7.4353030976985271E-2</v>
      </c>
      <c r="BN417" s="197">
        <f t="shared" si="273"/>
        <v>54.461181858619113</v>
      </c>
      <c r="BO417" s="197">
        <f t="shared" si="301"/>
        <v>0.2082789955950014</v>
      </c>
      <c r="BP417" s="197">
        <f t="shared" si="274"/>
        <v>65.620924669625111</v>
      </c>
      <c r="BQ417" s="197">
        <f t="shared" si="275"/>
        <v>9.9596940000000009E-2</v>
      </c>
      <c r="BR417" s="288">
        <f t="shared" si="276"/>
        <v>0.16008975919012108</v>
      </c>
      <c r="BS417" s="197">
        <f t="shared" si="277"/>
        <v>0.11660930017110901</v>
      </c>
      <c r="BT417" s="197">
        <f t="shared" si="278"/>
        <v>0.36419974881911377</v>
      </c>
      <c r="BU417" s="197">
        <f t="shared" si="279"/>
        <v>0.1713930788771201</v>
      </c>
      <c r="BV417" s="197">
        <f t="shared" si="280"/>
        <v>0.53530306917875781</v>
      </c>
      <c r="BW417" s="194"/>
      <c r="BX417" s="194"/>
      <c r="BY417" s="194"/>
      <c r="BZ417" s="194"/>
      <c r="CA417" s="194"/>
      <c r="CB417" s="194"/>
      <c r="CC417" s="194"/>
      <c r="CD417" s="194"/>
      <c r="CE417" s="194"/>
      <c r="CF417" s="194"/>
      <c r="CG417" s="194"/>
      <c r="CH417" s="194"/>
      <c r="CI417" s="194"/>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row>
    <row r="418" spans="2:110" s="192" customFormat="1" hidden="1" x14ac:dyDescent="0.35">
      <c r="B418" s="289"/>
      <c r="C418" s="289"/>
      <c r="Q418" s="193"/>
      <c r="R418" s="194">
        <f t="shared" si="281"/>
        <v>18</v>
      </c>
      <c r="S418" s="197">
        <f t="shared" si="247"/>
        <v>0.3888888888888889</v>
      </c>
      <c r="T418" s="194">
        <f t="shared" si="302"/>
        <v>0.69</v>
      </c>
      <c r="U418" s="194">
        <f t="shared" si="303"/>
        <v>1.4999999999999999E-4</v>
      </c>
      <c r="V418" s="197">
        <f t="shared" si="282"/>
        <v>0.3888888888888889</v>
      </c>
      <c r="W418" s="197">
        <f t="shared" si="248"/>
        <v>4.3555555555555561E-3</v>
      </c>
      <c r="X418" s="286">
        <f t="shared" si="249"/>
        <v>1</v>
      </c>
      <c r="Y418" s="286">
        <f t="shared" si="250"/>
        <v>0.17335969315081967</v>
      </c>
      <c r="Z418" s="286">
        <f t="shared" si="251"/>
        <v>0.54964853345132902</v>
      </c>
      <c r="AA418" s="286">
        <f t="shared" si="283"/>
        <v>0.17335969315081967</v>
      </c>
      <c r="AB418" s="197">
        <f t="shared" si="252"/>
        <v>0.36419974881911377</v>
      </c>
      <c r="AC418" s="287">
        <f t="shared" si="253"/>
        <v>4.4451203372005044E-7</v>
      </c>
      <c r="AD418" s="197">
        <f t="shared" si="284"/>
        <v>11.693936048110356</v>
      </c>
      <c r="AE418" s="197">
        <f t="shared" si="285"/>
        <v>35.08180814433107</v>
      </c>
      <c r="AF418" s="197">
        <f t="shared" si="286"/>
        <v>8.5178571428571423E-2</v>
      </c>
      <c r="AG418" s="197">
        <f t="shared" si="287"/>
        <v>0.25553571428571431</v>
      </c>
      <c r="AH418" s="197">
        <f t="shared" si="254"/>
        <v>0.11660930017110901</v>
      </c>
      <c r="AI418" s="197">
        <f t="shared" si="288"/>
        <v>0.11660930017110901</v>
      </c>
      <c r="AJ418" s="218">
        <f t="shared" si="255"/>
        <v>390.00000000000006</v>
      </c>
      <c r="AK418" s="197">
        <f t="shared" si="289"/>
        <v>6.0930617977437734E-2</v>
      </c>
      <c r="AL418" s="197">
        <f t="shared" si="290"/>
        <v>9.6203707235237593E-2</v>
      </c>
      <c r="AM418" s="197">
        <f t="shared" si="291"/>
        <v>4.0790371867740751E-3</v>
      </c>
      <c r="AN418" s="197">
        <f t="shared" si="256"/>
        <v>24.05</v>
      </c>
      <c r="AO418" s="197">
        <f t="shared" si="257"/>
        <v>21.69</v>
      </c>
      <c r="AP418" s="197">
        <f t="shared" si="292"/>
        <v>7.4093290390420161E-2</v>
      </c>
      <c r="AQ418" s="197">
        <f t="shared" si="293"/>
        <v>0.42250439890466829</v>
      </c>
      <c r="AR418" s="197">
        <f t="shared" si="294"/>
        <v>0.30589509873355925</v>
      </c>
      <c r="AS418" s="258">
        <f t="shared" si="295"/>
        <v>0.15228632177729159</v>
      </c>
      <c r="AT418" s="197">
        <f t="shared" si="258"/>
        <v>2.5974058656511614E-4</v>
      </c>
      <c r="AU418" s="194">
        <f t="shared" si="259"/>
        <v>21.19</v>
      </c>
      <c r="AV418" s="197">
        <f t="shared" si="260"/>
        <v>2.7E-2</v>
      </c>
      <c r="AW418" s="197">
        <f t="shared" si="261"/>
        <v>3.4260000000000002E-3</v>
      </c>
      <c r="AX418" s="197">
        <f t="shared" si="296"/>
        <v>6.1668000000000001E-2</v>
      </c>
      <c r="AY418" s="197">
        <f t="shared" si="262"/>
        <v>2.8867476000000005E-3</v>
      </c>
      <c r="AZ418" s="197">
        <f t="shared" si="263"/>
        <v>0</v>
      </c>
      <c r="BA418" s="197">
        <f t="shared" si="297"/>
        <v>7.2596940000000013E-2</v>
      </c>
      <c r="BB418" s="258">
        <f t="shared" si="264"/>
        <v>0.36575210336206115</v>
      </c>
      <c r="BC418" s="197">
        <f t="shared" si="265"/>
        <v>2.2380490766334034E-2</v>
      </c>
      <c r="BD418" s="197">
        <f t="shared" si="298"/>
        <v>4.4760981532668068E-3</v>
      </c>
      <c r="BE418" s="197">
        <f t="shared" si="299"/>
        <v>2.6856588919600841E-2</v>
      </c>
      <c r="BF418" s="197">
        <f t="shared" si="266"/>
        <v>0.20773291256157633</v>
      </c>
      <c r="BG418" s="197">
        <f t="shared" si="267"/>
        <v>5.4608303342508187E-4</v>
      </c>
      <c r="BH418" s="197">
        <f t="shared" si="268"/>
        <v>3.5336687086656722E-2</v>
      </c>
      <c r="BI418" s="197">
        <f t="shared" si="300"/>
        <v>0.44730899017824427</v>
      </c>
      <c r="BJ418" s="197">
        <f t="shared" si="269"/>
        <v>6.769615024661003</v>
      </c>
      <c r="BK418" s="288">
        <f t="shared" si="270"/>
        <v>0.93392401361838984</v>
      </c>
      <c r="BL418" s="197">
        <f t="shared" si="271"/>
        <v>0.37608972359227794</v>
      </c>
      <c r="BM418" s="197">
        <f t="shared" si="272"/>
        <v>7.4353030976985271E-2</v>
      </c>
      <c r="BN418" s="197">
        <f t="shared" si="273"/>
        <v>54.461181858619113</v>
      </c>
      <c r="BO418" s="197">
        <f t="shared" si="301"/>
        <v>0.2082789955950014</v>
      </c>
      <c r="BP418" s="197">
        <f t="shared" si="274"/>
        <v>65.620924669625111</v>
      </c>
      <c r="BQ418" s="197">
        <f t="shared" si="275"/>
        <v>9.9596940000000009E-2</v>
      </c>
      <c r="BR418" s="288">
        <f t="shared" si="276"/>
        <v>0.16008975919012108</v>
      </c>
      <c r="BS418" s="197">
        <f t="shared" si="277"/>
        <v>0.11660930017110901</v>
      </c>
      <c r="BT418" s="197">
        <f t="shared" si="278"/>
        <v>0.36419974881911377</v>
      </c>
      <c r="BU418" s="197">
        <f t="shared" si="279"/>
        <v>0.1713930788771201</v>
      </c>
      <c r="BV418" s="197">
        <f t="shared" si="280"/>
        <v>0.53530306917875781</v>
      </c>
      <c r="BW418" s="194"/>
      <c r="BX418" s="194"/>
      <c r="BY418" s="194"/>
      <c r="BZ418" s="194"/>
      <c r="CA418" s="194"/>
      <c r="CB418" s="194"/>
      <c r="CC418" s="194"/>
      <c r="CD418" s="194"/>
      <c r="CE418" s="194"/>
      <c r="CF418" s="194"/>
      <c r="CG418" s="194"/>
      <c r="CH418" s="194"/>
      <c r="CI418" s="194"/>
      <c r="CJ418" s="194"/>
      <c r="CK418" s="194"/>
      <c r="CL418" s="194"/>
      <c r="CM418" s="194"/>
      <c r="CN418" s="194"/>
      <c r="CO418" s="194"/>
      <c r="CP418" s="194"/>
      <c r="CQ418" s="194"/>
      <c r="CR418" s="194"/>
      <c r="CS418" s="194"/>
      <c r="CT418" s="194"/>
      <c r="CU418" s="194"/>
      <c r="CV418" s="194"/>
      <c r="CW418" s="194"/>
      <c r="CX418" s="194"/>
      <c r="CY418" s="194"/>
      <c r="CZ418" s="194"/>
      <c r="DA418" s="194"/>
      <c r="DB418" s="194"/>
      <c r="DC418" s="194"/>
      <c r="DD418" s="194"/>
      <c r="DE418" s="194"/>
      <c r="DF418" s="194"/>
    </row>
    <row r="419" spans="2:110" s="192" customFormat="1" hidden="1" x14ac:dyDescent="0.35">
      <c r="B419" s="289"/>
      <c r="C419" s="289"/>
      <c r="Q419" s="193"/>
      <c r="R419" s="194">
        <f t="shared" si="281"/>
        <v>18</v>
      </c>
      <c r="S419" s="197">
        <f t="shared" si="247"/>
        <v>0.3888888888888889</v>
      </c>
      <c r="T419" s="194">
        <f t="shared" si="302"/>
        <v>0.69</v>
      </c>
      <c r="U419" s="194">
        <f t="shared" si="303"/>
        <v>1.4999999999999999E-4</v>
      </c>
      <c r="V419" s="197">
        <f t="shared" si="282"/>
        <v>0.3888888888888889</v>
      </c>
      <c r="W419" s="197">
        <f t="shared" si="248"/>
        <v>4.3555555555555561E-3</v>
      </c>
      <c r="X419" s="286">
        <f t="shared" si="249"/>
        <v>1</v>
      </c>
      <c r="Y419" s="286">
        <f t="shared" si="250"/>
        <v>0.17335969315081967</v>
      </c>
      <c r="Z419" s="286">
        <f t="shared" si="251"/>
        <v>0.54964853345132902</v>
      </c>
      <c r="AA419" s="286">
        <f t="shared" si="283"/>
        <v>0.17335969315081967</v>
      </c>
      <c r="AB419" s="197">
        <f t="shared" si="252"/>
        <v>0.36419974881911377</v>
      </c>
      <c r="AC419" s="287">
        <f t="shared" si="253"/>
        <v>4.4451203372005044E-7</v>
      </c>
      <c r="AD419" s="197">
        <f t="shared" si="284"/>
        <v>11.693936048110356</v>
      </c>
      <c r="AE419" s="197">
        <f t="shared" si="285"/>
        <v>35.08180814433107</v>
      </c>
      <c r="AF419" s="197">
        <f t="shared" si="286"/>
        <v>8.5178571428571423E-2</v>
      </c>
      <c r="AG419" s="197">
        <f t="shared" si="287"/>
        <v>0.25553571428571431</v>
      </c>
      <c r="AH419" s="197">
        <f t="shared" si="254"/>
        <v>0.11660930017110901</v>
      </c>
      <c r="AI419" s="197">
        <f t="shared" si="288"/>
        <v>0.11660930017110901</v>
      </c>
      <c r="AJ419" s="218">
        <f t="shared" si="255"/>
        <v>390.00000000000006</v>
      </c>
      <c r="AK419" s="197">
        <f t="shared" si="289"/>
        <v>6.0930617977437734E-2</v>
      </c>
      <c r="AL419" s="197">
        <f t="shared" si="290"/>
        <v>9.6203707235237593E-2</v>
      </c>
      <c r="AM419" s="197">
        <f t="shared" si="291"/>
        <v>4.0790371867740751E-3</v>
      </c>
      <c r="AN419" s="197">
        <f t="shared" si="256"/>
        <v>24.05</v>
      </c>
      <c r="AO419" s="197">
        <f t="shared" si="257"/>
        <v>21.69</v>
      </c>
      <c r="AP419" s="197">
        <f t="shared" si="292"/>
        <v>7.4093290390420161E-2</v>
      </c>
      <c r="AQ419" s="197">
        <f t="shared" si="293"/>
        <v>0.42250439890466829</v>
      </c>
      <c r="AR419" s="197">
        <f t="shared" si="294"/>
        <v>0.30589509873355925</v>
      </c>
      <c r="AS419" s="258">
        <f t="shared" si="295"/>
        <v>0.15228632177729159</v>
      </c>
      <c r="AT419" s="197">
        <f t="shared" si="258"/>
        <v>2.5974058656511614E-4</v>
      </c>
      <c r="AU419" s="194">
        <f t="shared" si="259"/>
        <v>21.19</v>
      </c>
      <c r="AV419" s="197">
        <f t="shared" si="260"/>
        <v>2.7E-2</v>
      </c>
      <c r="AW419" s="197">
        <f t="shared" si="261"/>
        <v>3.4260000000000002E-3</v>
      </c>
      <c r="AX419" s="197">
        <f t="shared" si="296"/>
        <v>6.1668000000000001E-2</v>
      </c>
      <c r="AY419" s="197">
        <f t="shared" si="262"/>
        <v>2.8867476000000005E-3</v>
      </c>
      <c r="AZ419" s="197">
        <f t="shared" si="263"/>
        <v>0</v>
      </c>
      <c r="BA419" s="197">
        <f t="shared" si="297"/>
        <v>7.2596940000000013E-2</v>
      </c>
      <c r="BB419" s="258">
        <f t="shared" si="264"/>
        <v>0.36575210336206115</v>
      </c>
      <c r="BC419" s="197">
        <f t="shared" si="265"/>
        <v>2.2380490766334034E-2</v>
      </c>
      <c r="BD419" s="197">
        <f t="shared" si="298"/>
        <v>4.4760981532668068E-3</v>
      </c>
      <c r="BE419" s="197">
        <f t="shared" si="299"/>
        <v>2.6856588919600841E-2</v>
      </c>
      <c r="BF419" s="197">
        <f t="shared" si="266"/>
        <v>0.20773291256157633</v>
      </c>
      <c r="BG419" s="197">
        <f t="shared" si="267"/>
        <v>5.4608303342508187E-4</v>
      </c>
      <c r="BH419" s="197">
        <f t="shared" si="268"/>
        <v>3.5336687086656722E-2</v>
      </c>
      <c r="BI419" s="197">
        <f t="shared" si="300"/>
        <v>0.44730899017824427</v>
      </c>
      <c r="BJ419" s="197">
        <f t="shared" si="269"/>
        <v>6.769615024661003</v>
      </c>
      <c r="BK419" s="288">
        <f t="shared" si="270"/>
        <v>0.93392401361838984</v>
      </c>
      <c r="BL419" s="197">
        <f t="shared" si="271"/>
        <v>0.37608972359227794</v>
      </c>
      <c r="BM419" s="197">
        <f t="shared" si="272"/>
        <v>7.4353030976985271E-2</v>
      </c>
      <c r="BN419" s="197">
        <f t="shared" si="273"/>
        <v>54.461181858619113</v>
      </c>
      <c r="BO419" s="197">
        <f t="shared" si="301"/>
        <v>0.2082789955950014</v>
      </c>
      <c r="BP419" s="197">
        <f t="shared" si="274"/>
        <v>65.620924669625111</v>
      </c>
      <c r="BQ419" s="197">
        <f t="shared" si="275"/>
        <v>9.9596940000000009E-2</v>
      </c>
      <c r="BR419" s="288">
        <f t="shared" si="276"/>
        <v>0.16008975919012108</v>
      </c>
      <c r="BS419" s="197">
        <f t="shared" si="277"/>
        <v>0.11660930017110901</v>
      </c>
      <c r="BT419" s="197">
        <f t="shared" si="278"/>
        <v>0.36419974881911377</v>
      </c>
      <c r="BU419" s="197">
        <f t="shared" si="279"/>
        <v>0.1713930788771201</v>
      </c>
      <c r="BV419" s="197">
        <f t="shared" si="280"/>
        <v>0.53530306917875781</v>
      </c>
      <c r="BW419" s="194"/>
      <c r="BX419" s="194"/>
      <c r="BY419" s="194"/>
      <c r="BZ419" s="194"/>
      <c r="CA419" s="194"/>
      <c r="CB419" s="194"/>
      <c r="CC419" s="194"/>
      <c r="CD419" s="194"/>
      <c r="CE419" s="194"/>
      <c r="CF419" s="194"/>
      <c r="CG419" s="194"/>
      <c r="CH419" s="194"/>
      <c r="CI419" s="194"/>
      <c r="CJ419" s="194"/>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row>
    <row r="420" spans="2:110" s="192" customFormat="1" hidden="1" x14ac:dyDescent="0.35">
      <c r="B420" s="289"/>
      <c r="C420" s="289"/>
      <c r="Q420" s="193"/>
      <c r="R420" s="194">
        <f t="shared" si="281"/>
        <v>18</v>
      </c>
      <c r="S420" s="197">
        <f t="shared" si="247"/>
        <v>0.3888888888888889</v>
      </c>
      <c r="T420" s="194">
        <f t="shared" si="302"/>
        <v>0.69</v>
      </c>
      <c r="U420" s="194">
        <f t="shared" si="303"/>
        <v>1.4999999999999999E-4</v>
      </c>
      <c r="V420" s="197">
        <f t="shared" si="282"/>
        <v>0.3888888888888889</v>
      </c>
      <c r="W420" s="197">
        <f t="shared" si="248"/>
        <v>4.3555555555555561E-3</v>
      </c>
      <c r="X420" s="286">
        <f t="shared" si="249"/>
        <v>1</v>
      </c>
      <c r="Y420" s="286">
        <f t="shared" si="250"/>
        <v>0.17335969315081967</v>
      </c>
      <c r="Z420" s="286">
        <f t="shared" si="251"/>
        <v>0.54964853345132902</v>
      </c>
      <c r="AA420" s="286">
        <f t="shared" si="283"/>
        <v>0.17335969315081967</v>
      </c>
      <c r="AB420" s="197">
        <f t="shared" si="252"/>
        <v>0.36419974881911377</v>
      </c>
      <c r="AC420" s="287">
        <f t="shared" si="253"/>
        <v>4.4451203372005044E-7</v>
      </c>
      <c r="AD420" s="197">
        <f t="shared" si="284"/>
        <v>11.693936048110356</v>
      </c>
      <c r="AE420" s="197">
        <f t="shared" si="285"/>
        <v>35.08180814433107</v>
      </c>
      <c r="AF420" s="197">
        <f t="shared" si="286"/>
        <v>8.5178571428571423E-2</v>
      </c>
      <c r="AG420" s="197">
        <f t="shared" si="287"/>
        <v>0.25553571428571431</v>
      </c>
      <c r="AH420" s="197">
        <f t="shared" si="254"/>
        <v>0.11660930017110901</v>
      </c>
      <c r="AI420" s="197">
        <f t="shared" si="288"/>
        <v>0.11660930017110901</v>
      </c>
      <c r="AJ420" s="218">
        <f t="shared" si="255"/>
        <v>390.00000000000006</v>
      </c>
      <c r="AK420" s="197">
        <f t="shared" si="289"/>
        <v>6.0930617977437734E-2</v>
      </c>
      <c r="AL420" s="197">
        <f t="shared" si="290"/>
        <v>9.6203707235237593E-2</v>
      </c>
      <c r="AM420" s="197">
        <f t="shared" si="291"/>
        <v>4.0790371867740751E-3</v>
      </c>
      <c r="AN420" s="197">
        <f t="shared" si="256"/>
        <v>24.05</v>
      </c>
      <c r="AO420" s="197">
        <f t="shared" si="257"/>
        <v>21.69</v>
      </c>
      <c r="AP420" s="197">
        <f t="shared" si="292"/>
        <v>7.4093290390420161E-2</v>
      </c>
      <c r="AQ420" s="197">
        <f t="shared" si="293"/>
        <v>0.42250439890466829</v>
      </c>
      <c r="AR420" s="197">
        <f t="shared" si="294"/>
        <v>0.30589509873355925</v>
      </c>
      <c r="AS420" s="258">
        <f t="shared" si="295"/>
        <v>0.15228632177729159</v>
      </c>
      <c r="AT420" s="197">
        <f t="shared" si="258"/>
        <v>2.5974058656511614E-4</v>
      </c>
      <c r="AU420" s="194">
        <f t="shared" si="259"/>
        <v>21.19</v>
      </c>
      <c r="AV420" s="197">
        <f t="shared" si="260"/>
        <v>2.7E-2</v>
      </c>
      <c r="AW420" s="197">
        <f t="shared" si="261"/>
        <v>3.4260000000000002E-3</v>
      </c>
      <c r="AX420" s="197">
        <f t="shared" si="296"/>
        <v>6.1668000000000001E-2</v>
      </c>
      <c r="AY420" s="197">
        <f t="shared" si="262"/>
        <v>2.8867476000000005E-3</v>
      </c>
      <c r="AZ420" s="197">
        <f t="shared" si="263"/>
        <v>0</v>
      </c>
      <c r="BA420" s="197">
        <f t="shared" si="297"/>
        <v>7.2596940000000013E-2</v>
      </c>
      <c r="BB420" s="258">
        <f t="shared" si="264"/>
        <v>0.36575210336206115</v>
      </c>
      <c r="BC420" s="197">
        <f t="shared" si="265"/>
        <v>2.2380490766334034E-2</v>
      </c>
      <c r="BD420" s="197">
        <f t="shared" si="298"/>
        <v>4.4760981532668068E-3</v>
      </c>
      <c r="BE420" s="197">
        <f t="shared" si="299"/>
        <v>2.6856588919600841E-2</v>
      </c>
      <c r="BF420" s="197">
        <f t="shared" si="266"/>
        <v>0.20773291256157633</v>
      </c>
      <c r="BG420" s="197">
        <f t="shared" si="267"/>
        <v>5.4608303342508187E-4</v>
      </c>
      <c r="BH420" s="197">
        <f t="shared" si="268"/>
        <v>3.5336687086656722E-2</v>
      </c>
      <c r="BI420" s="197">
        <f t="shared" si="300"/>
        <v>0.44730899017824427</v>
      </c>
      <c r="BJ420" s="197">
        <f t="shared" si="269"/>
        <v>6.769615024661003</v>
      </c>
      <c r="BK420" s="288">
        <f t="shared" si="270"/>
        <v>0.93392401361838984</v>
      </c>
      <c r="BL420" s="197">
        <f t="shared" si="271"/>
        <v>0.37608972359227794</v>
      </c>
      <c r="BM420" s="197">
        <f t="shared" si="272"/>
        <v>7.4353030976985271E-2</v>
      </c>
      <c r="BN420" s="197">
        <f t="shared" si="273"/>
        <v>54.461181858619113</v>
      </c>
      <c r="BO420" s="197">
        <f t="shared" si="301"/>
        <v>0.2082789955950014</v>
      </c>
      <c r="BP420" s="197">
        <f t="shared" si="274"/>
        <v>65.620924669625111</v>
      </c>
      <c r="BQ420" s="197">
        <f t="shared" si="275"/>
        <v>9.9596940000000009E-2</v>
      </c>
      <c r="BR420" s="288">
        <f t="shared" si="276"/>
        <v>0.16008975919012108</v>
      </c>
      <c r="BS420" s="197">
        <f t="shared" si="277"/>
        <v>0.11660930017110901</v>
      </c>
      <c r="BT420" s="197">
        <f t="shared" si="278"/>
        <v>0.36419974881911377</v>
      </c>
      <c r="BU420" s="197">
        <f t="shared" si="279"/>
        <v>0.1713930788771201</v>
      </c>
      <c r="BV420" s="197">
        <f t="shared" si="280"/>
        <v>0.53530306917875781</v>
      </c>
      <c r="BW420" s="194"/>
      <c r="BX420" s="194"/>
      <c r="BY420" s="194"/>
      <c r="BZ420" s="194"/>
      <c r="CA420" s="194"/>
      <c r="CB420" s="194"/>
      <c r="CC420" s="194"/>
      <c r="CD420" s="194"/>
      <c r="CE420" s="194"/>
      <c r="CF420" s="194"/>
      <c r="CG420" s="194"/>
      <c r="CH420" s="194"/>
      <c r="CI420" s="194"/>
      <c r="CJ420" s="194"/>
      <c r="CK420" s="194"/>
      <c r="CL420" s="194"/>
      <c r="CM420" s="194"/>
      <c r="CN420" s="194"/>
      <c r="CO420" s="194"/>
      <c r="CP420" s="194"/>
      <c r="CQ420" s="194"/>
      <c r="CR420" s="194"/>
      <c r="CS420" s="194"/>
      <c r="CT420" s="194"/>
      <c r="CU420" s="194"/>
      <c r="CV420" s="194"/>
      <c r="CW420" s="194"/>
      <c r="CX420" s="194"/>
      <c r="CY420" s="194"/>
      <c r="CZ420" s="194"/>
      <c r="DA420" s="194"/>
      <c r="DB420" s="194"/>
      <c r="DC420" s="194"/>
      <c r="DD420" s="194"/>
      <c r="DE420" s="194"/>
      <c r="DF420" s="194"/>
    </row>
    <row r="421" spans="2:110" s="192" customFormat="1" hidden="1" x14ac:dyDescent="0.35">
      <c r="B421" s="289"/>
      <c r="C421" s="289"/>
      <c r="Q421" s="193"/>
      <c r="R421" s="194">
        <f t="shared" si="281"/>
        <v>18</v>
      </c>
      <c r="S421" s="197">
        <f t="shared" si="247"/>
        <v>0.3888888888888889</v>
      </c>
      <c r="T421" s="194">
        <f t="shared" si="302"/>
        <v>0.69</v>
      </c>
      <c r="U421" s="194">
        <f t="shared" si="303"/>
        <v>1.4999999999999999E-4</v>
      </c>
      <c r="V421" s="197">
        <f t="shared" si="282"/>
        <v>0.3888888888888889</v>
      </c>
      <c r="W421" s="197">
        <f t="shared" si="248"/>
        <v>4.3555555555555561E-3</v>
      </c>
      <c r="X421" s="286">
        <f t="shared" si="249"/>
        <v>1</v>
      </c>
      <c r="Y421" s="286">
        <f t="shared" si="250"/>
        <v>0.17335969315081967</v>
      </c>
      <c r="Z421" s="286">
        <f t="shared" si="251"/>
        <v>0.54964853345132902</v>
      </c>
      <c r="AA421" s="286">
        <f t="shared" si="283"/>
        <v>0.17335969315081967</v>
      </c>
      <c r="AB421" s="197">
        <f t="shared" si="252"/>
        <v>0.36419974881911377</v>
      </c>
      <c r="AC421" s="287">
        <f t="shared" si="253"/>
        <v>4.4451203372005044E-7</v>
      </c>
      <c r="AD421" s="197">
        <f t="shared" si="284"/>
        <v>11.693936048110356</v>
      </c>
      <c r="AE421" s="197">
        <f t="shared" si="285"/>
        <v>35.08180814433107</v>
      </c>
      <c r="AF421" s="197">
        <f t="shared" si="286"/>
        <v>8.5178571428571423E-2</v>
      </c>
      <c r="AG421" s="197">
        <f t="shared" si="287"/>
        <v>0.25553571428571431</v>
      </c>
      <c r="AH421" s="197">
        <f t="shared" si="254"/>
        <v>0.11660930017110901</v>
      </c>
      <c r="AI421" s="197">
        <f t="shared" si="288"/>
        <v>0.11660930017110901</v>
      </c>
      <c r="AJ421" s="218">
        <f t="shared" si="255"/>
        <v>390.00000000000006</v>
      </c>
      <c r="AK421" s="197">
        <f t="shared" si="289"/>
        <v>6.0930617977437734E-2</v>
      </c>
      <c r="AL421" s="197">
        <f t="shared" si="290"/>
        <v>9.6203707235237593E-2</v>
      </c>
      <c r="AM421" s="197">
        <f t="shared" si="291"/>
        <v>4.0790371867740751E-3</v>
      </c>
      <c r="AN421" s="197">
        <f t="shared" si="256"/>
        <v>24.05</v>
      </c>
      <c r="AO421" s="197">
        <f t="shared" si="257"/>
        <v>21.69</v>
      </c>
      <c r="AP421" s="197">
        <f t="shared" si="292"/>
        <v>7.4093290390420161E-2</v>
      </c>
      <c r="AQ421" s="197">
        <f t="shared" si="293"/>
        <v>0.42250439890466829</v>
      </c>
      <c r="AR421" s="197">
        <f t="shared" si="294"/>
        <v>0.30589509873355925</v>
      </c>
      <c r="AS421" s="258">
        <f t="shared" si="295"/>
        <v>0.15228632177729159</v>
      </c>
      <c r="AT421" s="197">
        <f t="shared" si="258"/>
        <v>2.5974058656511614E-4</v>
      </c>
      <c r="AU421" s="194">
        <f t="shared" si="259"/>
        <v>21.19</v>
      </c>
      <c r="AV421" s="197">
        <f t="shared" si="260"/>
        <v>2.7E-2</v>
      </c>
      <c r="AW421" s="197">
        <f t="shared" si="261"/>
        <v>3.4260000000000002E-3</v>
      </c>
      <c r="AX421" s="197">
        <f t="shared" si="296"/>
        <v>6.1668000000000001E-2</v>
      </c>
      <c r="AY421" s="197">
        <f t="shared" si="262"/>
        <v>2.8867476000000005E-3</v>
      </c>
      <c r="AZ421" s="197">
        <f t="shared" si="263"/>
        <v>0</v>
      </c>
      <c r="BA421" s="197">
        <f t="shared" si="297"/>
        <v>7.2596940000000013E-2</v>
      </c>
      <c r="BB421" s="258">
        <f t="shared" si="264"/>
        <v>0.36575210336206115</v>
      </c>
      <c r="BC421" s="197">
        <f t="shared" si="265"/>
        <v>2.2380490766334034E-2</v>
      </c>
      <c r="BD421" s="197">
        <f t="shared" si="298"/>
        <v>4.4760981532668068E-3</v>
      </c>
      <c r="BE421" s="197">
        <f t="shared" si="299"/>
        <v>2.6856588919600841E-2</v>
      </c>
      <c r="BF421" s="197">
        <f t="shared" si="266"/>
        <v>0.20773291256157633</v>
      </c>
      <c r="BG421" s="197">
        <f t="shared" si="267"/>
        <v>5.4608303342508187E-4</v>
      </c>
      <c r="BH421" s="197">
        <f t="shared" si="268"/>
        <v>3.5336687086656722E-2</v>
      </c>
      <c r="BI421" s="197">
        <f t="shared" si="300"/>
        <v>0.44730899017824427</v>
      </c>
      <c r="BJ421" s="197">
        <f t="shared" si="269"/>
        <v>6.769615024661003</v>
      </c>
      <c r="BK421" s="288">
        <f t="shared" si="270"/>
        <v>0.93392401361838984</v>
      </c>
      <c r="BL421" s="197">
        <f t="shared" si="271"/>
        <v>0.37608972359227794</v>
      </c>
      <c r="BM421" s="197">
        <f t="shared" si="272"/>
        <v>7.4353030976985271E-2</v>
      </c>
      <c r="BN421" s="197">
        <f t="shared" si="273"/>
        <v>54.461181858619113</v>
      </c>
      <c r="BO421" s="197">
        <f t="shared" si="301"/>
        <v>0.2082789955950014</v>
      </c>
      <c r="BP421" s="197">
        <f t="shared" si="274"/>
        <v>65.620924669625111</v>
      </c>
      <c r="BQ421" s="197">
        <f t="shared" si="275"/>
        <v>9.9596940000000009E-2</v>
      </c>
      <c r="BR421" s="288">
        <f t="shared" si="276"/>
        <v>0.16008975919012108</v>
      </c>
      <c r="BS421" s="197">
        <f t="shared" si="277"/>
        <v>0.11660930017110901</v>
      </c>
      <c r="BT421" s="197">
        <f t="shared" si="278"/>
        <v>0.36419974881911377</v>
      </c>
      <c r="BU421" s="197">
        <f t="shared" si="279"/>
        <v>0.1713930788771201</v>
      </c>
      <c r="BV421" s="197">
        <f t="shared" si="280"/>
        <v>0.53530306917875781</v>
      </c>
      <c r="BW421" s="194"/>
      <c r="BX421" s="194"/>
      <c r="BY421" s="194"/>
      <c r="BZ421" s="194"/>
      <c r="CA421" s="194"/>
      <c r="CB421" s="194"/>
      <c r="CC421" s="194"/>
      <c r="CD421" s="194"/>
      <c r="CE421" s="194"/>
      <c r="CF421" s="194"/>
      <c r="CG421" s="194"/>
      <c r="CH421" s="194"/>
      <c r="CI421" s="194"/>
      <c r="CJ421" s="194"/>
      <c r="CK421" s="194"/>
      <c r="CL421" s="194"/>
      <c r="CM421" s="194"/>
      <c r="CN421" s="194"/>
      <c r="CO421" s="194"/>
      <c r="CP421" s="194"/>
      <c r="CQ421" s="194"/>
      <c r="CR421" s="194"/>
      <c r="CS421" s="194"/>
      <c r="CT421" s="194"/>
      <c r="CU421" s="194"/>
      <c r="CV421" s="194"/>
      <c r="CW421" s="194"/>
      <c r="CX421" s="194"/>
      <c r="CY421" s="194"/>
      <c r="CZ421" s="194"/>
      <c r="DA421" s="194"/>
      <c r="DB421" s="194"/>
      <c r="DC421" s="194"/>
      <c r="DD421" s="194"/>
      <c r="DE421" s="194"/>
      <c r="DF421" s="194"/>
    </row>
    <row r="422" spans="2:110" s="192" customFormat="1" hidden="1" x14ac:dyDescent="0.35">
      <c r="B422" s="289"/>
      <c r="C422" s="289"/>
      <c r="Q422" s="193"/>
      <c r="R422" s="194">
        <f t="shared" si="281"/>
        <v>18</v>
      </c>
      <c r="S422" s="197">
        <f t="shared" si="247"/>
        <v>0.3888888888888889</v>
      </c>
      <c r="T422" s="194">
        <f t="shared" si="302"/>
        <v>0.69</v>
      </c>
      <c r="U422" s="194">
        <f t="shared" si="303"/>
        <v>1.4999999999999999E-4</v>
      </c>
      <c r="V422" s="197">
        <f t="shared" si="282"/>
        <v>0.3888888888888889</v>
      </c>
      <c r="W422" s="197">
        <f t="shared" si="248"/>
        <v>4.3555555555555561E-3</v>
      </c>
      <c r="X422" s="286">
        <f t="shared" si="249"/>
        <v>1</v>
      </c>
      <c r="Y422" s="286">
        <f t="shared" si="250"/>
        <v>0.17335969315081967</v>
      </c>
      <c r="Z422" s="286">
        <f t="shared" si="251"/>
        <v>0.54964853345132902</v>
      </c>
      <c r="AA422" s="286">
        <f t="shared" si="283"/>
        <v>0.17335969315081967</v>
      </c>
      <c r="AB422" s="197">
        <f t="shared" si="252"/>
        <v>0.36419974881911377</v>
      </c>
      <c r="AC422" s="287">
        <f t="shared" si="253"/>
        <v>4.4451203372005044E-7</v>
      </c>
      <c r="AD422" s="197">
        <f t="shared" si="284"/>
        <v>11.693936048110356</v>
      </c>
      <c r="AE422" s="197">
        <f t="shared" si="285"/>
        <v>35.08180814433107</v>
      </c>
      <c r="AF422" s="197">
        <f t="shared" si="286"/>
        <v>8.5178571428571423E-2</v>
      </c>
      <c r="AG422" s="197">
        <f t="shared" si="287"/>
        <v>0.25553571428571431</v>
      </c>
      <c r="AH422" s="197">
        <f t="shared" si="254"/>
        <v>0.11660930017110901</v>
      </c>
      <c r="AI422" s="197">
        <f t="shared" si="288"/>
        <v>0.11660930017110901</v>
      </c>
      <c r="AJ422" s="218">
        <f t="shared" si="255"/>
        <v>390.00000000000006</v>
      </c>
      <c r="AK422" s="197">
        <f t="shared" si="289"/>
        <v>6.0930617977437734E-2</v>
      </c>
      <c r="AL422" s="197">
        <f t="shared" si="290"/>
        <v>9.6203707235237593E-2</v>
      </c>
      <c r="AM422" s="197">
        <f t="shared" si="291"/>
        <v>4.0790371867740751E-3</v>
      </c>
      <c r="AN422" s="197">
        <f t="shared" si="256"/>
        <v>24.05</v>
      </c>
      <c r="AO422" s="197">
        <f t="shared" si="257"/>
        <v>21.69</v>
      </c>
      <c r="AP422" s="197">
        <f t="shared" si="292"/>
        <v>7.4093290390420161E-2</v>
      </c>
      <c r="AQ422" s="197">
        <f t="shared" si="293"/>
        <v>0.42250439890466829</v>
      </c>
      <c r="AR422" s="197">
        <f t="shared" si="294"/>
        <v>0.30589509873355925</v>
      </c>
      <c r="AS422" s="258">
        <f t="shared" si="295"/>
        <v>0.15228632177729159</v>
      </c>
      <c r="AT422" s="197">
        <f t="shared" si="258"/>
        <v>2.5974058656511614E-4</v>
      </c>
      <c r="AU422" s="194">
        <f t="shared" si="259"/>
        <v>21.19</v>
      </c>
      <c r="AV422" s="197">
        <f t="shared" si="260"/>
        <v>2.7E-2</v>
      </c>
      <c r="AW422" s="197">
        <f t="shared" si="261"/>
        <v>3.4260000000000002E-3</v>
      </c>
      <c r="AX422" s="197">
        <f t="shared" si="296"/>
        <v>6.1668000000000001E-2</v>
      </c>
      <c r="AY422" s="197">
        <f t="shared" si="262"/>
        <v>2.8867476000000005E-3</v>
      </c>
      <c r="AZ422" s="197">
        <f t="shared" si="263"/>
        <v>0</v>
      </c>
      <c r="BA422" s="197">
        <f t="shared" si="297"/>
        <v>7.2596940000000013E-2</v>
      </c>
      <c r="BB422" s="258">
        <f t="shared" si="264"/>
        <v>0.36575210336206115</v>
      </c>
      <c r="BC422" s="197">
        <f t="shared" si="265"/>
        <v>2.2380490766334034E-2</v>
      </c>
      <c r="BD422" s="197">
        <f t="shared" si="298"/>
        <v>4.4760981532668068E-3</v>
      </c>
      <c r="BE422" s="197">
        <f t="shared" si="299"/>
        <v>2.6856588919600841E-2</v>
      </c>
      <c r="BF422" s="197">
        <f t="shared" si="266"/>
        <v>0.20773291256157633</v>
      </c>
      <c r="BG422" s="197">
        <f t="shared" si="267"/>
        <v>5.4608303342508187E-4</v>
      </c>
      <c r="BH422" s="197">
        <f t="shared" si="268"/>
        <v>3.5336687086656722E-2</v>
      </c>
      <c r="BI422" s="197">
        <f t="shared" si="300"/>
        <v>0.44730899017824427</v>
      </c>
      <c r="BJ422" s="197">
        <f t="shared" si="269"/>
        <v>6.769615024661003</v>
      </c>
      <c r="BK422" s="288">
        <f t="shared" si="270"/>
        <v>0.93392401361838984</v>
      </c>
      <c r="BL422" s="197">
        <f t="shared" si="271"/>
        <v>0.37608972359227794</v>
      </c>
      <c r="BM422" s="197">
        <f t="shared" si="272"/>
        <v>7.4353030976985271E-2</v>
      </c>
      <c r="BN422" s="197">
        <f t="shared" si="273"/>
        <v>54.461181858619113</v>
      </c>
      <c r="BO422" s="197">
        <f t="shared" si="301"/>
        <v>0.2082789955950014</v>
      </c>
      <c r="BP422" s="197">
        <f t="shared" si="274"/>
        <v>65.620924669625111</v>
      </c>
      <c r="BQ422" s="197">
        <f t="shared" si="275"/>
        <v>9.9596940000000009E-2</v>
      </c>
      <c r="BR422" s="288">
        <f t="shared" si="276"/>
        <v>0.16008975919012108</v>
      </c>
      <c r="BS422" s="197">
        <f t="shared" si="277"/>
        <v>0.11660930017110901</v>
      </c>
      <c r="BT422" s="197">
        <f t="shared" si="278"/>
        <v>0.36419974881911377</v>
      </c>
      <c r="BU422" s="197">
        <f t="shared" si="279"/>
        <v>0.1713930788771201</v>
      </c>
      <c r="BV422" s="197">
        <f t="shared" si="280"/>
        <v>0.53530306917875781</v>
      </c>
      <c r="BW422" s="194"/>
      <c r="BX422" s="194"/>
      <c r="BY422" s="194"/>
      <c r="BZ422" s="194"/>
      <c r="CA422" s="194"/>
      <c r="CB422" s="194"/>
      <c r="CC422" s="194"/>
      <c r="CD422" s="194"/>
      <c r="CE422" s="194"/>
      <c r="CF422" s="194"/>
      <c r="CG422" s="194"/>
      <c r="CH422" s="194"/>
      <c r="CI422" s="194"/>
      <c r="CJ422" s="194"/>
      <c r="CK422" s="194"/>
      <c r="CL422" s="194"/>
      <c r="CM422" s="194"/>
      <c r="CN422" s="194"/>
      <c r="CO422" s="194"/>
      <c r="CP422" s="194"/>
      <c r="CQ422" s="194"/>
      <c r="CR422" s="194"/>
      <c r="CS422" s="194"/>
      <c r="CT422" s="194"/>
      <c r="CU422" s="194"/>
      <c r="CV422" s="194"/>
      <c r="CW422" s="194"/>
      <c r="CX422" s="194"/>
      <c r="CY422" s="194"/>
      <c r="CZ422" s="194"/>
      <c r="DA422" s="194"/>
      <c r="DB422" s="194"/>
      <c r="DC422" s="194"/>
      <c r="DD422" s="194"/>
      <c r="DE422" s="194"/>
      <c r="DF422" s="194"/>
    </row>
    <row r="423" spans="2:110" s="192" customFormat="1" hidden="1" x14ac:dyDescent="0.35">
      <c r="B423" s="289"/>
      <c r="C423" s="289"/>
      <c r="Q423" s="193"/>
      <c r="R423" s="194">
        <f t="shared" si="281"/>
        <v>18</v>
      </c>
      <c r="S423" s="197">
        <f t="shared" si="247"/>
        <v>0.3888888888888889</v>
      </c>
      <c r="T423" s="194">
        <f t="shared" si="302"/>
        <v>0.69</v>
      </c>
      <c r="U423" s="194">
        <f t="shared" si="303"/>
        <v>1.4999999999999999E-4</v>
      </c>
      <c r="V423" s="197">
        <f t="shared" si="282"/>
        <v>0.3888888888888889</v>
      </c>
      <c r="W423" s="197">
        <f t="shared" si="248"/>
        <v>4.3555555555555561E-3</v>
      </c>
      <c r="X423" s="286">
        <f t="shared" si="249"/>
        <v>1</v>
      </c>
      <c r="Y423" s="286">
        <f t="shared" si="250"/>
        <v>0.17335969315081967</v>
      </c>
      <c r="Z423" s="286">
        <f t="shared" si="251"/>
        <v>0.54964853345132902</v>
      </c>
      <c r="AA423" s="286">
        <f t="shared" si="283"/>
        <v>0.17335969315081967</v>
      </c>
      <c r="AB423" s="197">
        <f t="shared" si="252"/>
        <v>0.36419974881911377</v>
      </c>
      <c r="AC423" s="287">
        <f t="shared" si="253"/>
        <v>4.4451203372005044E-7</v>
      </c>
      <c r="AD423" s="197">
        <f t="shared" si="284"/>
        <v>11.693936048110356</v>
      </c>
      <c r="AE423" s="197">
        <f t="shared" si="285"/>
        <v>35.08180814433107</v>
      </c>
      <c r="AF423" s="197">
        <f t="shared" si="286"/>
        <v>8.5178571428571423E-2</v>
      </c>
      <c r="AG423" s="197">
        <f t="shared" si="287"/>
        <v>0.25553571428571431</v>
      </c>
      <c r="AH423" s="197">
        <f t="shared" si="254"/>
        <v>0.11660930017110901</v>
      </c>
      <c r="AI423" s="197">
        <f t="shared" si="288"/>
        <v>0.11660930017110901</v>
      </c>
      <c r="AJ423" s="218">
        <f t="shared" si="255"/>
        <v>390.00000000000006</v>
      </c>
      <c r="AK423" s="197">
        <f t="shared" si="289"/>
        <v>6.0930617977437734E-2</v>
      </c>
      <c r="AL423" s="197">
        <f t="shared" si="290"/>
        <v>9.6203707235237593E-2</v>
      </c>
      <c r="AM423" s="197">
        <f t="shared" si="291"/>
        <v>4.0790371867740751E-3</v>
      </c>
      <c r="AN423" s="197">
        <f t="shared" si="256"/>
        <v>24.05</v>
      </c>
      <c r="AO423" s="197">
        <f t="shared" si="257"/>
        <v>21.69</v>
      </c>
      <c r="AP423" s="197">
        <f t="shared" si="292"/>
        <v>7.4093290390420161E-2</v>
      </c>
      <c r="AQ423" s="197">
        <f t="shared" si="293"/>
        <v>0.42250439890466829</v>
      </c>
      <c r="AR423" s="197">
        <f t="shared" si="294"/>
        <v>0.30589509873355925</v>
      </c>
      <c r="AS423" s="258">
        <f t="shared" si="295"/>
        <v>0.15228632177729159</v>
      </c>
      <c r="AT423" s="197">
        <f t="shared" si="258"/>
        <v>2.5974058656511614E-4</v>
      </c>
      <c r="AU423" s="194">
        <f t="shared" si="259"/>
        <v>21.19</v>
      </c>
      <c r="AV423" s="197">
        <f t="shared" si="260"/>
        <v>2.7E-2</v>
      </c>
      <c r="AW423" s="197">
        <f t="shared" si="261"/>
        <v>3.4260000000000002E-3</v>
      </c>
      <c r="AX423" s="197">
        <f t="shared" si="296"/>
        <v>6.1668000000000001E-2</v>
      </c>
      <c r="AY423" s="197">
        <f t="shared" si="262"/>
        <v>2.8867476000000005E-3</v>
      </c>
      <c r="AZ423" s="197">
        <f t="shared" si="263"/>
        <v>0</v>
      </c>
      <c r="BA423" s="197">
        <f t="shared" si="297"/>
        <v>7.2596940000000013E-2</v>
      </c>
      <c r="BB423" s="258">
        <f t="shared" si="264"/>
        <v>0.36575210336206115</v>
      </c>
      <c r="BC423" s="197">
        <f t="shared" si="265"/>
        <v>2.2380490766334034E-2</v>
      </c>
      <c r="BD423" s="197">
        <f t="shared" si="298"/>
        <v>4.4760981532668068E-3</v>
      </c>
      <c r="BE423" s="197">
        <f t="shared" si="299"/>
        <v>2.6856588919600841E-2</v>
      </c>
      <c r="BF423" s="197">
        <f t="shared" si="266"/>
        <v>0.20773291256157633</v>
      </c>
      <c r="BG423" s="197">
        <f t="shared" si="267"/>
        <v>5.4608303342508187E-4</v>
      </c>
      <c r="BH423" s="197">
        <f t="shared" si="268"/>
        <v>3.5336687086656722E-2</v>
      </c>
      <c r="BI423" s="197">
        <f t="shared" si="300"/>
        <v>0.44730899017824427</v>
      </c>
      <c r="BJ423" s="197">
        <f t="shared" si="269"/>
        <v>6.769615024661003</v>
      </c>
      <c r="BK423" s="288">
        <f t="shared" si="270"/>
        <v>0.93392401361838984</v>
      </c>
      <c r="BL423" s="197">
        <f t="shared" si="271"/>
        <v>0.37608972359227794</v>
      </c>
      <c r="BM423" s="197">
        <f t="shared" si="272"/>
        <v>7.4353030976985271E-2</v>
      </c>
      <c r="BN423" s="197">
        <f t="shared" si="273"/>
        <v>54.461181858619113</v>
      </c>
      <c r="BO423" s="197">
        <f t="shared" si="301"/>
        <v>0.2082789955950014</v>
      </c>
      <c r="BP423" s="197">
        <f t="shared" si="274"/>
        <v>65.620924669625111</v>
      </c>
      <c r="BQ423" s="197">
        <f t="shared" si="275"/>
        <v>9.9596940000000009E-2</v>
      </c>
      <c r="BR423" s="288">
        <f t="shared" si="276"/>
        <v>0.16008975919012108</v>
      </c>
      <c r="BS423" s="197">
        <f t="shared" si="277"/>
        <v>0.11660930017110901</v>
      </c>
      <c r="BT423" s="197">
        <f t="shared" si="278"/>
        <v>0.36419974881911377</v>
      </c>
      <c r="BU423" s="197">
        <f t="shared" si="279"/>
        <v>0.1713930788771201</v>
      </c>
      <c r="BV423" s="197">
        <f t="shared" si="280"/>
        <v>0.53530306917875781</v>
      </c>
      <c r="BW423" s="194"/>
      <c r="BX423" s="194"/>
      <c r="BY423" s="194"/>
      <c r="BZ423" s="194"/>
      <c r="CA423" s="194"/>
      <c r="CB423" s="194"/>
      <c r="CC423" s="194"/>
      <c r="CD423" s="194"/>
      <c r="CE423" s="194"/>
      <c r="CF423" s="194"/>
      <c r="CG423" s="194"/>
      <c r="CH423" s="194"/>
      <c r="CI423" s="194"/>
      <c r="CJ423" s="194"/>
      <c r="CK423" s="194"/>
      <c r="CL423" s="194"/>
      <c r="CM423" s="194"/>
      <c r="CN423" s="194"/>
      <c r="CO423" s="194"/>
      <c r="CP423" s="194"/>
      <c r="CQ423" s="194"/>
      <c r="CR423" s="194"/>
      <c r="CS423" s="194"/>
      <c r="CT423" s="194"/>
      <c r="CU423" s="194"/>
      <c r="CV423" s="194"/>
      <c r="CW423" s="194"/>
      <c r="CX423" s="194"/>
      <c r="CY423" s="194"/>
      <c r="CZ423" s="194"/>
      <c r="DA423" s="194"/>
      <c r="DB423" s="194"/>
      <c r="DC423" s="194"/>
      <c r="DD423" s="194"/>
      <c r="DE423" s="194"/>
      <c r="DF423" s="194"/>
    </row>
    <row r="424" spans="2:110" s="192" customFormat="1" hidden="1" x14ac:dyDescent="0.35">
      <c r="B424" s="289"/>
      <c r="C424" s="289"/>
      <c r="Q424" s="193"/>
      <c r="R424" s="194">
        <f t="shared" si="281"/>
        <v>18</v>
      </c>
      <c r="S424" s="197">
        <f t="shared" si="247"/>
        <v>0.3888888888888889</v>
      </c>
      <c r="T424" s="194">
        <f t="shared" si="302"/>
        <v>0.69</v>
      </c>
      <c r="U424" s="194">
        <f t="shared" si="303"/>
        <v>1.4999999999999999E-4</v>
      </c>
      <c r="V424" s="197">
        <f t="shared" si="282"/>
        <v>0.3888888888888889</v>
      </c>
      <c r="W424" s="197">
        <f t="shared" si="248"/>
        <v>4.3555555555555561E-3</v>
      </c>
      <c r="X424" s="286">
        <f t="shared" si="249"/>
        <v>1</v>
      </c>
      <c r="Y424" s="286">
        <f t="shared" si="250"/>
        <v>0.17335969315081967</v>
      </c>
      <c r="Z424" s="286">
        <f t="shared" si="251"/>
        <v>0.54964853345132902</v>
      </c>
      <c r="AA424" s="286">
        <f t="shared" si="283"/>
        <v>0.17335969315081967</v>
      </c>
      <c r="AB424" s="197">
        <f t="shared" si="252"/>
        <v>0.36419974881911377</v>
      </c>
      <c r="AC424" s="287">
        <f t="shared" si="253"/>
        <v>4.4451203372005044E-7</v>
      </c>
      <c r="AD424" s="197">
        <f t="shared" si="284"/>
        <v>11.693936048110356</v>
      </c>
      <c r="AE424" s="197">
        <f t="shared" si="285"/>
        <v>35.08180814433107</v>
      </c>
      <c r="AF424" s="197">
        <f t="shared" si="286"/>
        <v>8.5178571428571423E-2</v>
      </c>
      <c r="AG424" s="197">
        <f t="shared" si="287"/>
        <v>0.25553571428571431</v>
      </c>
      <c r="AH424" s="197">
        <f t="shared" si="254"/>
        <v>0.11660930017110901</v>
      </c>
      <c r="AI424" s="197">
        <f t="shared" si="288"/>
        <v>0.11660930017110901</v>
      </c>
      <c r="AJ424" s="218">
        <f t="shared" si="255"/>
        <v>390.00000000000006</v>
      </c>
      <c r="AK424" s="197">
        <f t="shared" si="289"/>
        <v>6.0930617977437734E-2</v>
      </c>
      <c r="AL424" s="197">
        <f t="shared" si="290"/>
        <v>9.6203707235237593E-2</v>
      </c>
      <c r="AM424" s="197">
        <f t="shared" si="291"/>
        <v>4.0790371867740751E-3</v>
      </c>
      <c r="AN424" s="197">
        <f t="shared" si="256"/>
        <v>24.05</v>
      </c>
      <c r="AO424" s="197">
        <f t="shared" si="257"/>
        <v>21.69</v>
      </c>
      <c r="AP424" s="197">
        <f t="shared" si="292"/>
        <v>7.4093290390420161E-2</v>
      </c>
      <c r="AQ424" s="197">
        <f t="shared" si="293"/>
        <v>0.42250439890466829</v>
      </c>
      <c r="AR424" s="197">
        <f t="shared" si="294"/>
        <v>0.30589509873355925</v>
      </c>
      <c r="AS424" s="258">
        <f t="shared" si="295"/>
        <v>0.15228632177729159</v>
      </c>
      <c r="AT424" s="197">
        <f t="shared" si="258"/>
        <v>2.5974058656511614E-4</v>
      </c>
      <c r="AU424" s="194">
        <f t="shared" si="259"/>
        <v>21.19</v>
      </c>
      <c r="AV424" s="197">
        <f t="shared" si="260"/>
        <v>2.7E-2</v>
      </c>
      <c r="AW424" s="197">
        <f t="shared" si="261"/>
        <v>3.4260000000000002E-3</v>
      </c>
      <c r="AX424" s="197">
        <f t="shared" si="296"/>
        <v>6.1668000000000001E-2</v>
      </c>
      <c r="AY424" s="197">
        <f t="shared" si="262"/>
        <v>2.8867476000000005E-3</v>
      </c>
      <c r="AZ424" s="197">
        <f t="shared" si="263"/>
        <v>0</v>
      </c>
      <c r="BA424" s="197">
        <f t="shared" si="297"/>
        <v>7.2596940000000013E-2</v>
      </c>
      <c r="BB424" s="258">
        <f t="shared" si="264"/>
        <v>0.36575210336206115</v>
      </c>
      <c r="BC424" s="197">
        <f t="shared" si="265"/>
        <v>2.2380490766334034E-2</v>
      </c>
      <c r="BD424" s="197">
        <f t="shared" si="298"/>
        <v>4.4760981532668068E-3</v>
      </c>
      <c r="BE424" s="197">
        <f t="shared" si="299"/>
        <v>2.6856588919600841E-2</v>
      </c>
      <c r="BF424" s="197">
        <f t="shared" si="266"/>
        <v>0.20773291256157633</v>
      </c>
      <c r="BG424" s="197">
        <f t="shared" si="267"/>
        <v>5.4608303342508187E-4</v>
      </c>
      <c r="BH424" s="197">
        <f t="shared" si="268"/>
        <v>3.5336687086656722E-2</v>
      </c>
      <c r="BI424" s="197">
        <f t="shared" si="300"/>
        <v>0.44730899017824427</v>
      </c>
      <c r="BJ424" s="197">
        <f t="shared" si="269"/>
        <v>6.769615024661003</v>
      </c>
      <c r="BK424" s="288">
        <f t="shared" si="270"/>
        <v>0.93392401361838984</v>
      </c>
      <c r="BL424" s="197">
        <f t="shared" si="271"/>
        <v>0.37608972359227794</v>
      </c>
      <c r="BM424" s="197">
        <f t="shared" si="272"/>
        <v>7.4353030976985271E-2</v>
      </c>
      <c r="BN424" s="197">
        <f t="shared" si="273"/>
        <v>54.461181858619113</v>
      </c>
      <c r="BO424" s="197">
        <f t="shared" si="301"/>
        <v>0.2082789955950014</v>
      </c>
      <c r="BP424" s="197">
        <f t="shared" si="274"/>
        <v>65.620924669625111</v>
      </c>
      <c r="BQ424" s="197">
        <f t="shared" si="275"/>
        <v>9.9596940000000009E-2</v>
      </c>
      <c r="BR424" s="288">
        <f t="shared" si="276"/>
        <v>0.16008975919012108</v>
      </c>
      <c r="BS424" s="197">
        <f t="shared" si="277"/>
        <v>0.11660930017110901</v>
      </c>
      <c r="BT424" s="197">
        <f t="shared" si="278"/>
        <v>0.36419974881911377</v>
      </c>
      <c r="BU424" s="197">
        <f t="shared" si="279"/>
        <v>0.1713930788771201</v>
      </c>
      <c r="BV424" s="197">
        <f t="shared" si="280"/>
        <v>0.53530306917875781</v>
      </c>
      <c r="BW424" s="194"/>
      <c r="BX424" s="194"/>
      <c r="BY424" s="194"/>
      <c r="BZ424" s="194"/>
      <c r="CA424" s="194"/>
      <c r="CB424" s="194"/>
      <c r="CC424" s="194"/>
      <c r="CD424" s="194"/>
      <c r="CE424" s="194"/>
      <c r="CF424" s="194"/>
      <c r="CG424" s="194"/>
      <c r="CH424" s="194"/>
      <c r="CI424" s="194"/>
      <c r="CJ424" s="194"/>
      <c r="CK424" s="194"/>
      <c r="CL424" s="194"/>
      <c r="CM424" s="194"/>
      <c r="CN424" s="194"/>
      <c r="CO424" s="194"/>
      <c r="CP424" s="194"/>
      <c r="CQ424" s="194"/>
      <c r="CR424" s="194"/>
      <c r="CS424" s="194"/>
      <c r="CT424" s="194"/>
      <c r="CU424" s="194"/>
      <c r="CV424" s="194"/>
      <c r="CW424" s="194"/>
      <c r="CX424" s="194"/>
      <c r="CY424" s="194"/>
      <c r="CZ424" s="194"/>
      <c r="DA424" s="194"/>
      <c r="DB424" s="194"/>
      <c r="DC424" s="194"/>
      <c r="DD424" s="194"/>
      <c r="DE424" s="194"/>
      <c r="DF424" s="194"/>
    </row>
    <row r="425" spans="2:110" s="192" customFormat="1" hidden="1" x14ac:dyDescent="0.35">
      <c r="B425" s="289"/>
      <c r="C425" s="289"/>
      <c r="Q425" s="193"/>
      <c r="R425" s="194">
        <f t="shared" si="281"/>
        <v>18</v>
      </c>
      <c r="S425" s="197">
        <f t="shared" si="247"/>
        <v>0.3888888888888889</v>
      </c>
      <c r="T425" s="194">
        <f t="shared" si="302"/>
        <v>0.69</v>
      </c>
      <c r="U425" s="194">
        <f t="shared" si="303"/>
        <v>1.4999999999999999E-4</v>
      </c>
      <c r="V425" s="197">
        <f t="shared" si="282"/>
        <v>0.3888888888888889</v>
      </c>
      <c r="W425" s="197">
        <f t="shared" si="248"/>
        <v>4.3555555555555561E-3</v>
      </c>
      <c r="X425" s="286">
        <f t="shared" si="249"/>
        <v>1</v>
      </c>
      <c r="Y425" s="286">
        <f t="shared" si="250"/>
        <v>0.17335969315081967</v>
      </c>
      <c r="Z425" s="286">
        <f t="shared" si="251"/>
        <v>0.54964853345132902</v>
      </c>
      <c r="AA425" s="286">
        <f t="shared" si="283"/>
        <v>0.17335969315081967</v>
      </c>
      <c r="AB425" s="197">
        <f t="shared" si="252"/>
        <v>0.36419974881911377</v>
      </c>
      <c r="AC425" s="287">
        <f t="shared" si="253"/>
        <v>4.4451203372005044E-7</v>
      </c>
      <c r="AD425" s="197">
        <f t="shared" si="284"/>
        <v>11.693936048110356</v>
      </c>
      <c r="AE425" s="197">
        <f t="shared" si="285"/>
        <v>35.08180814433107</v>
      </c>
      <c r="AF425" s="197">
        <f t="shared" si="286"/>
        <v>8.5178571428571423E-2</v>
      </c>
      <c r="AG425" s="197">
        <f t="shared" si="287"/>
        <v>0.25553571428571431</v>
      </c>
      <c r="AH425" s="197">
        <f t="shared" si="254"/>
        <v>0.11660930017110901</v>
      </c>
      <c r="AI425" s="197">
        <f t="shared" si="288"/>
        <v>0.11660930017110901</v>
      </c>
      <c r="AJ425" s="218">
        <f t="shared" si="255"/>
        <v>390.00000000000006</v>
      </c>
      <c r="AK425" s="197">
        <f t="shared" si="289"/>
        <v>6.0930617977437734E-2</v>
      </c>
      <c r="AL425" s="197">
        <f t="shared" si="290"/>
        <v>9.6203707235237593E-2</v>
      </c>
      <c r="AM425" s="197">
        <f t="shared" si="291"/>
        <v>4.0790371867740751E-3</v>
      </c>
      <c r="AN425" s="197">
        <f t="shared" si="256"/>
        <v>24.05</v>
      </c>
      <c r="AO425" s="197">
        <f t="shared" si="257"/>
        <v>21.69</v>
      </c>
      <c r="AP425" s="197">
        <f t="shared" si="292"/>
        <v>7.4093290390420161E-2</v>
      </c>
      <c r="AQ425" s="197">
        <f t="shared" si="293"/>
        <v>0.42250439890466829</v>
      </c>
      <c r="AR425" s="197">
        <f t="shared" si="294"/>
        <v>0.30589509873355925</v>
      </c>
      <c r="AS425" s="258">
        <f t="shared" si="295"/>
        <v>0.15228632177729159</v>
      </c>
      <c r="AT425" s="197">
        <f t="shared" si="258"/>
        <v>2.5974058656511614E-4</v>
      </c>
      <c r="AU425" s="194">
        <f t="shared" si="259"/>
        <v>21.19</v>
      </c>
      <c r="AV425" s="197">
        <f t="shared" si="260"/>
        <v>2.7E-2</v>
      </c>
      <c r="AW425" s="197">
        <f t="shared" si="261"/>
        <v>3.4260000000000002E-3</v>
      </c>
      <c r="AX425" s="197">
        <f t="shared" si="296"/>
        <v>6.1668000000000001E-2</v>
      </c>
      <c r="AY425" s="197">
        <f t="shared" si="262"/>
        <v>2.8867476000000005E-3</v>
      </c>
      <c r="AZ425" s="197">
        <f t="shared" si="263"/>
        <v>0</v>
      </c>
      <c r="BA425" s="197">
        <f t="shared" si="297"/>
        <v>7.2596940000000013E-2</v>
      </c>
      <c r="BB425" s="258">
        <f t="shared" si="264"/>
        <v>0.36575210336206115</v>
      </c>
      <c r="BC425" s="197">
        <f t="shared" si="265"/>
        <v>2.2380490766334034E-2</v>
      </c>
      <c r="BD425" s="197">
        <f t="shared" si="298"/>
        <v>4.4760981532668068E-3</v>
      </c>
      <c r="BE425" s="197">
        <f t="shared" si="299"/>
        <v>2.6856588919600841E-2</v>
      </c>
      <c r="BF425" s="197">
        <f t="shared" si="266"/>
        <v>0.20773291256157633</v>
      </c>
      <c r="BG425" s="197">
        <f t="shared" si="267"/>
        <v>5.4608303342508187E-4</v>
      </c>
      <c r="BH425" s="197">
        <f t="shared" si="268"/>
        <v>3.5336687086656722E-2</v>
      </c>
      <c r="BI425" s="197">
        <f t="shared" si="300"/>
        <v>0.44730899017824427</v>
      </c>
      <c r="BJ425" s="197">
        <f t="shared" si="269"/>
        <v>6.769615024661003</v>
      </c>
      <c r="BK425" s="288">
        <f t="shared" si="270"/>
        <v>0.93392401361838984</v>
      </c>
      <c r="BL425" s="197">
        <f t="shared" si="271"/>
        <v>0.37608972359227794</v>
      </c>
      <c r="BM425" s="197">
        <f t="shared" si="272"/>
        <v>7.4353030976985271E-2</v>
      </c>
      <c r="BN425" s="197">
        <f t="shared" si="273"/>
        <v>54.461181858619113</v>
      </c>
      <c r="BO425" s="197">
        <f t="shared" si="301"/>
        <v>0.2082789955950014</v>
      </c>
      <c r="BP425" s="197">
        <f t="shared" si="274"/>
        <v>65.620924669625111</v>
      </c>
      <c r="BQ425" s="197">
        <f t="shared" si="275"/>
        <v>9.9596940000000009E-2</v>
      </c>
      <c r="BR425" s="288">
        <f t="shared" si="276"/>
        <v>0.16008975919012108</v>
      </c>
      <c r="BS425" s="197">
        <f t="shared" si="277"/>
        <v>0.11660930017110901</v>
      </c>
      <c r="BT425" s="197">
        <f t="shared" si="278"/>
        <v>0.36419974881911377</v>
      </c>
      <c r="BU425" s="197">
        <f t="shared" si="279"/>
        <v>0.1713930788771201</v>
      </c>
      <c r="BV425" s="197">
        <f t="shared" si="280"/>
        <v>0.53530306917875781</v>
      </c>
      <c r="BW425" s="194"/>
      <c r="BX425" s="194"/>
      <c r="BY425" s="194"/>
      <c r="BZ425" s="194"/>
      <c r="CA425" s="194"/>
      <c r="CB425" s="194"/>
      <c r="CC425" s="194"/>
      <c r="CD425" s="194"/>
      <c r="CE425" s="194"/>
      <c r="CF425" s="194"/>
      <c r="CG425" s="194"/>
      <c r="CH425" s="194"/>
      <c r="CI425" s="194"/>
      <c r="CJ425" s="194"/>
      <c r="CK425" s="194"/>
      <c r="CL425" s="194"/>
      <c r="CM425" s="194"/>
      <c r="CN425" s="194"/>
      <c r="CO425" s="194"/>
      <c r="CP425" s="194"/>
      <c r="CQ425" s="194"/>
      <c r="CR425" s="194"/>
      <c r="CS425" s="194"/>
      <c r="CT425" s="194"/>
      <c r="CU425" s="194"/>
      <c r="CV425" s="194"/>
      <c r="CW425" s="194"/>
      <c r="CX425" s="194"/>
      <c r="CY425" s="194"/>
      <c r="CZ425" s="194"/>
      <c r="DA425" s="194"/>
      <c r="DB425" s="194"/>
      <c r="DC425" s="194"/>
      <c r="DD425" s="194"/>
      <c r="DE425" s="194"/>
      <c r="DF425" s="194"/>
    </row>
    <row r="426" spans="2:110" s="192" customFormat="1" hidden="1" x14ac:dyDescent="0.35">
      <c r="B426" s="289"/>
      <c r="C426" s="289"/>
      <c r="Q426" s="193"/>
      <c r="R426" s="194">
        <f t="shared" si="281"/>
        <v>18</v>
      </c>
      <c r="S426" s="197">
        <f t="shared" si="247"/>
        <v>0.3888888888888889</v>
      </c>
      <c r="T426" s="194">
        <f t="shared" si="302"/>
        <v>0.69</v>
      </c>
      <c r="U426" s="194">
        <f t="shared" si="303"/>
        <v>1.4999999999999999E-4</v>
      </c>
      <c r="V426" s="197">
        <f t="shared" si="282"/>
        <v>0.3888888888888889</v>
      </c>
      <c r="W426" s="197">
        <f t="shared" si="248"/>
        <v>4.3555555555555561E-3</v>
      </c>
      <c r="X426" s="286">
        <f t="shared" si="249"/>
        <v>1</v>
      </c>
      <c r="Y426" s="286">
        <f t="shared" si="250"/>
        <v>0.17335969315081967</v>
      </c>
      <c r="Z426" s="286">
        <f t="shared" si="251"/>
        <v>0.54964853345132902</v>
      </c>
      <c r="AA426" s="286">
        <f t="shared" si="283"/>
        <v>0.17335969315081967</v>
      </c>
      <c r="AB426" s="197">
        <f t="shared" si="252"/>
        <v>0.36419974881911377</v>
      </c>
      <c r="AC426" s="287">
        <f t="shared" si="253"/>
        <v>4.4451203372005044E-7</v>
      </c>
      <c r="AD426" s="197">
        <f t="shared" si="284"/>
        <v>11.693936048110356</v>
      </c>
      <c r="AE426" s="197">
        <f t="shared" si="285"/>
        <v>35.08180814433107</v>
      </c>
      <c r="AF426" s="197">
        <f t="shared" si="286"/>
        <v>8.5178571428571423E-2</v>
      </c>
      <c r="AG426" s="197">
        <f t="shared" si="287"/>
        <v>0.25553571428571431</v>
      </c>
      <c r="AH426" s="197">
        <f t="shared" si="254"/>
        <v>0.11660930017110901</v>
      </c>
      <c r="AI426" s="197">
        <f t="shared" si="288"/>
        <v>0.11660930017110901</v>
      </c>
      <c r="AJ426" s="218">
        <f t="shared" si="255"/>
        <v>390.00000000000006</v>
      </c>
      <c r="AK426" s="197">
        <f t="shared" si="289"/>
        <v>6.0930617977437734E-2</v>
      </c>
      <c r="AL426" s="197">
        <f t="shared" si="290"/>
        <v>9.6203707235237593E-2</v>
      </c>
      <c r="AM426" s="197">
        <f t="shared" si="291"/>
        <v>4.0790371867740751E-3</v>
      </c>
      <c r="AN426" s="197">
        <f t="shared" si="256"/>
        <v>24.05</v>
      </c>
      <c r="AO426" s="197">
        <f t="shared" si="257"/>
        <v>21.69</v>
      </c>
      <c r="AP426" s="197">
        <f t="shared" si="292"/>
        <v>7.4093290390420161E-2</v>
      </c>
      <c r="AQ426" s="197">
        <f t="shared" si="293"/>
        <v>0.42250439890466829</v>
      </c>
      <c r="AR426" s="197">
        <f t="shared" si="294"/>
        <v>0.30589509873355925</v>
      </c>
      <c r="AS426" s="258">
        <f t="shared" si="295"/>
        <v>0.15228632177729159</v>
      </c>
      <c r="AT426" s="197">
        <f t="shared" si="258"/>
        <v>2.5974058656511614E-4</v>
      </c>
      <c r="AU426" s="194">
        <f t="shared" si="259"/>
        <v>21.19</v>
      </c>
      <c r="AV426" s="197">
        <f t="shared" si="260"/>
        <v>2.7E-2</v>
      </c>
      <c r="AW426" s="197">
        <f t="shared" si="261"/>
        <v>3.4260000000000002E-3</v>
      </c>
      <c r="AX426" s="197">
        <f t="shared" si="296"/>
        <v>6.1668000000000001E-2</v>
      </c>
      <c r="AY426" s="197">
        <f t="shared" si="262"/>
        <v>2.8867476000000005E-3</v>
      </c>
      <c r="AZ426" s="197">
        <f t="shared" si="263"/>
        <v>0</v>
      </c>
      <c r="BA426" s="197">
        <f t="shared" si="297"/>
        <v>7.2596940000000013E-2</v>
      </c>
      <c r="BB426" s="258">
        <f t="shared" si="264"/>
        <v>0.36575210336206115</v>
      </c>
      <c r="BC426" s="197">
        <f t="shared" si="265"/>
        <v>2.2380490766334034E-2</v>
      </c>
      <c r="BD426" s="197">
        <f t="shared" si="298"/>
        <v>4.4760981532668068E-3</v>
      </c>
      <c r="BE426" s="197">
        <f t="shared" si="299"/>
        <v>2.6856588919600841E-2</v>
      </c>
      <c r="BF426" s="197">
        <f t="shared" si="266"/>
        <v>0.20773291256157633</v>
      </c>
      <c r="BG426" s="197">
        <f t="shared" si="267"/>
        <v>5.4608303342508187E-4</v>
      </c>
      <c r="BH426" s="197">
        <f t="shared" si="268"/>
        <v>3.5336687086656722E-2</v>
      </c>
      <c r="BI426" s="197">
        <f t="shared" si="300"/>
        <v>0.44730899017824427</v>
      </c>
      <c r="BJ426" s="197">
        <f t="shared" si="269"/>
        <v>6.769615024661003</v>
      </c>
      <c r="BK426" s="288">
        <f t="shared" si="270"/>
        <v>0.93392401361838984</v>
      </c>
      <c r="BL426" s="197">
        <f t="shared" si="271"/>
        <v>0.37608972359227794</v>
      </c>
      <c r="BM426" s="197">
        <f t="shared" si="272"/>
        <v>7.4353030976985271E-2</v>
      </c>
      <c r="BN426" s="197">
        <f t="shared" si="273"/>
        <v>54.461181858619113</v>
      </c>
      <c r="BO426" s="197">
        <f t="shared" si="301"/>
        <v>0.2082789955950014</v>
      </c>
      <c r="BP426" s="197">
        <f t="shared" si="274"/>
        <v>65.620924669625111</v>
      </c>
      <c r="BQ426" s="197">
        <f t="shared" si="275"/>
        <v>9.9596940000000009E-2</v>
      </c>
      <c r="BR426" s="288">
        <f t="shared" si="276"/>
        <v>0.16008975919012108</v>
      </c>
      <c r="BS426" s="197">
        <f t="shared" si="277"/>
        <v>0.11660930017110901</v>
      </c>
      <c r="BT426" s="197">
        <f t="shared" si="278"/>
        <v>0.36419974881911377</v>
      </c>
      <c r="BU426" s="197">
        <f t="shared" si="279"/>
        <v>0.1713930788771201</v>
      </c>
      <c r="BV426" s="197">
        <f t="shared" si="280"/>
        <v>0.53530306917875781</v>
      </c>
      <c r="BW426" s="194"/>
      <c r="BX426" s="194"/>
      <c r="BY426" s="194"/>
      <c r="BZ426" s="194"/>
      <c r="CA426" s="194"/>
      <c r="CB426" s="194"/>
      <c r="CC426" s="194"/>
      <c r="CD426" s="194"/>
      <c r="CE426" s="194"/>
      <c r="CF426" s="194"/>
      <c r="CG426" s="194"/>
      <c r="CH426" s="194"/>
      <c r="CI426" s="194"/>
      <c r="CJ426" s="194"/>
      <c r="CK426" s="194"/>
      <c r="CL426" s="194"/>
      <c r="CM426" s="194"/>
      <c r="CN426" s="194"/>
      <c r="CO426" s="194"/>
      <c r="CP426" s="194"/>
      <c r="CQ426" s="194"/>
      <c r="CR426" s="194"/>
      <c r="CS426" s="194"/>
      <c r="CT426" s="194"/>
      <c r="CU426" s="194"/>
      <c r="CV426" s="194"/>
      <c r="CW426" s="194"/>
      <c r="CX426" s="194"/>
      <c r="CY426" s="194"/>
      <c r="CZ426" s="194"/>
      <c r="DA426" s="194"/>
      <c r="DB426" s="194"/>
      <c r="DC426" s="194"/>
      <c r="DD426" s="194"/>
      <c r="DE426" s="194"/>
      <c r="DF426" s="194"/>
    </row>
    <row r="427" spans="2:110" s="192" customFormat="1" hidden="1" x14ac:dyDescent="0.35">
      <c r="B427" s="289"/>
      <c r="C427" s="289"/>
      <c r="Q427" s="193"/>
      <c r="R427" s="194">
        <f t="shared" si="281"/>
        <v>18</v>
      </c>
      <c r="S427" s="197">
        <f t="shared" si="247"/>
        <v>0.3888888888888889</v>
      </c>
      <c r="T427" s="194">
        <f t="shared" si="302"/>
        <v>0.69</v>
      </c>
      <c r="U427" s="194">
        <f t="shared" si="303"/>
        <v>1.4999999999999999E-4</v>
      </c>
      <c r="V427" s="197">
        <f t="shared" si="282"/>
        <v>0.3888888888888889</v>
      </c>
      <c r="W427" s="197">
        <f t="shared" si="248"/>
        <v>4.3555555555555561E-3</v>
      </c>
      <c r="X427" s="286">
        <f t="shared" si="249"/>
        <v>1</v>
      </c>
      <c r="Y427" s="286">
        <f t="shared" si="250"/>
        <v>0.17335969315081967</v>
      </c>
      <c r="Z427" s="286">
        <f t="shared" si="251"/>
        <v>0.54964853345132902</v>
      </c>
      <c r="AA427" s="286">
        <f t="shared" si="283"/>
        <v>0.17335969315081967</v>
      </c>
      <c r="AB427" s="197">
        <f t="shared" si="252"/>
        <v>0.36419974881911377</v>
      </c>
      <c r="AC427" s="287">
        <f t="shared" si="253"/>
        <v>4.4451203372005044E-7</v>
      </c>
      <c r="AD427" s="197">
        <f t="shared" si="284"/>
        <v>11.693936048110356</v>
      </c>
      <c r="AE427" s="197">
        <f t="shared" si="285"/>
        <v>35.08180814433107</v>
      </c>
      <c r="AF427" s="197">
        <f t="shared" si="286"/>
        <v>8.5178571428571423E-2</v>
      </c>
      <c r="AG427" s="197">
        <f t="shared" si="287"/>
        <v>0.25553571428571431</v>
      </c>
      <c r="AH427" s="197">
        <f t="shared" si="254"/>
        <v>0.11660930017110901</v>
      </c>
      <c r="AI427" s="197">
        <f t="shared" si="288"/>
        <v>0.11660930017110901</v>
      </c>
      <c r="AJ427" s="218">
        <f t="shared" si="255"/>
        <v>390.00000000000006</v>
      </c>
      <c r="AK427" s="197">
        <f t="shared" si="289"/>
        <v>6.0930617977437734E-2</v>
      </c>
      <c r="AL427" s="197">
        <f t="shared" si="290"/>
        <v>9.6203707235237593E-2</v>
      </c>
      <c r="AM427" s="197">
        <f t="shared" si="291"/>
        <v>4.0790371867740751E-3</v>
      </c>
      <c r="AN427" s="197">
        <f t="shared" si="256"/>
        <v>24.05</v>
      </c>
      <c r="AO427" s="197">
        <f t="shared" si="257"/>
        <v>21.69</v>
      </c>
      <c r="AP427" s="197">
        <f t="shared" si="292"/>
        <v>7.4093290390420161E-2</v>
      </c>
      <c r="AQ427" s="197">
        <f t="shared" si="293"/>
        <v>0.42250439890466829</v>
      </c>
      <c r="AR427" s="197">
        <f t="shared" si="294"/>
        <v>0.30589509873355925</v>
      </c>
      <c r="AS427" s="258">
        <f t="shared" si="295"/>
        <v>0.15228632177729159</v>
      </c>
      <c r="AT427" s="197">
        <f t="shared" si="258"/>
        <v>2.5974058656511614E-4</v>
      </c>
      <c r="AU427" s="194">
        <f t="shared" si="259"/>
        <v>21.19</v>
      </c>
      <c r="AV427" s="197">
        <f t="shared" si="260"/>
        <v>2.7E-2</v>
      </c>
      <c r="AW427" s="197">
        <f t="shared" si="261"/>
        <v>3.4260000000000002E-3</v>
      </c>
      <c r="AX427" s="197">
        <f t="shared" si="296"/>
        <v>6.1668000000000001E-2</v>
      </c>
      <c r="AY427" s="197">
        <f t="shared" si="262"/>
        <v>2.8867476000000005E-3</v>
      </c>
      <c r="AZ427" s="197">
        <f t="shared" si="263"/>
        <v>0</v>
      </c>
      <c r="BA427" s="197">
        <f t="shared" si="297"/>
        <v>7.2596940000000013E-2</v>
      </c>
      <c r="BB427" s="258">
        <f t="shared" si="264"/>
        <v>0.36575210336206115</v>
      </c>
      <c r="BC427" s="197">
        <f t="shared" si="265"/>
        <v>2.2380490766334034E-2</v>
      </c>
      <c r="BD427" s="197">
        <f t="shared" si="298"/>
        <v>4.4760981532668068E-3</v>
      </c>
      <c r="BE427" s="197">
        <f t="shared" si="299"/>
        <v>2.6856588919600841E-2</v>
      </c>
      <c r="BF427" s="197">
        <f t="shared" si="266"/>
        <v>0.20773291256157633</v>
      </c>
      <c r="BG427" s="197">
        <f t="shared" si="267"/>
        <v>5.4608303342508187E-4</v>
      </c>
      <c r="BH427" s="197">
        <f t="shared" si="268"/>
        <v>3.5336687086656722E-2</v>
      </c>
      <c r="BI427" s="197">
        <f t="shared" si="300"/>
        <v>0.44730899017824427</v>
      </c>
      <c r="BJ427" s="197">
        <f t="shared" si="269"/>
        <v>6.769615024661003</v>
      </c>
      <c r="BK427" s="288">
        <f t="shared" si="270"/>
        <v>0.93392401361838984</v>
      </c>
      <c r="BL427" s="197">
        <f t="shared" si="271"/>
        <v>0.37608972359227794</v>
      </c>
      <c r="BM427" s="197">
        <f t="shared" si="272"/>
        <v>7.4353030976985271E-2</v>
      </c>
      <c r="BN427" s="197">
        <f t="shared" si="273"/>
        <v>54.461181858619113</v>
      </c>
      <c r="BO427" s="197">
        <f t="shared" si="301"/>
        <v>0.2082789955950014</v>
      </c>
      <c r="BP427" s="197">
        <f t="shared" si="274"/>
        <v>65.620924669625111</v>
      </c>
      <c r="BQ427" s="197">
        <f t="shared" si="275"/>
        <v>9.9596940000000009E-2</v>
      </c>
      <c r="BR427" s="288">
        <f t="shared" si="276"/>
        <v>0.16008975919012108</v>
      </c>
      <c r="BS427" s="197">
        <f t="shared" si="277"/>
        <v>0.11660930017110901</v>
      </c>
      <c r="BT427" s="197">
        <f t="shared" si="278"/>
        <v>0.36419974881911377</v>
      </c>
      <c r="BU427" s="197">
        <f t="shared" si="279"/>
        <v>0.1713930788771201</v>
      </c>
      <c r="BV427" s="197">
        <f t="shared" si="280"/>
        <v>0.53530306917875781</v>
      </c>
      <c r="BW427" s="194"/>
      <c r="BX427" s="194"/>
      <c r="BY427" s="194"/>
      <c r="BZ427" s="194"/>
      <c r="CA427" s="194"/>
      <c r="CB427" s="194"/>
      <c r="CC427" s="194"/>
      <c r="CD427" s="194"/>
      <c r="CE427" s="194"/>
      <c r="CF427" s="194"/>
      <c r="CG427" s="194"/>
      <c r="CH427" s="194"/>
      <c r="CI427" s="194"/>
      <c r="CJ427" s="194"/>
      <c r="CK427" s="194"/>
      <c r="CL427" s="194"/>
      <c r="CM427" s="194"/>
      <c r="CN427" s="194"/>
      <c r="CO427" s="194"/>
      <c r="CP427" s="194"/>
      <c r="CQ427" s="194"/>
      <c r="CR427" s="194"/>
      <c r="CS427" s="194"/>
      <c r="CT427" s="194"/>
      <c r="CU427" s="194"/>
      <c r="CV427" s="194"/>
      <c r="CW427" s="194"/>
      <c r="CX427" s="194"/>
      <c r="CY427" s="194"/>
      <c r="CZ427" s="194"/>
      <c r="DA427" s="194"/>
      <c r="DB427" s="194"/>
      <c r="DC427" s="194"/>
      <c r="DD427" s="194"/>
      <c r="DE427" s="194"/>
      <c r="DF427" s="194"/>
    </row>
    <row r="428" spans="2:110" s="192" customFormat="1" hidden="1" x14ac:dyDescent="0.35">
      <c r="B428" s="289"/>
      <c r="C428" s="289"/>
      <c r="Q428" s="193"/>
      <c r="R428" s="194">
        <f t="shared" si="281"/>
        <v>18</v>
      </c>
      <c r="S428" s="197">
        <f t="shared" si="247"/>
        <v>0.3888888888888889</v>
      </c>
      <c r="T428" s="194">
        <f t="shared" si="302"/>
        <v>0.69</v>
      </c>
      <c r="U428" s="194">
        <f t="shared" si="303"/>
        <v>1.4999999999999999E-4</v>
      </c>
      <c r="V428" s="197">
        <f t="shared" si="282"/>
        <v>0.3888888888888889</v>
      </c>
      <c r="W428" s="197">
        <f t="shared" si="248"/>
        <v>4.3555555555555561E-3</v>
      </c>
      <c r="X428" s="286">
        <f t="shared" si="249"/>
        <v>1</v>
      </c>
      <c r="Y428" s="286">
        <f t="shared" si="250"/>
        <v>0.17335969315081967</v>
      </c>
      <c r="Z428" s="286">
        <f t="shared" si="251"/>
        <v>0.54964853345132902</v>
      </c>
      <c r="AA428" s="286">
        <f t="shared" si="283"/>
        <v>0.17335969315081967</v>
      </c>
      <c r="AB428" s="197">
        <f t="shared" si="252"/>
        <v>0.36419974881911377</v>
      </c>
      <c r="AC428" s="287">
        <f t="shared" si="253"/>
        <v>4.4451203372005044E-7</v>
      </c>
      <c r="AD428" s="197">
        <f t="shared" si="284"/>
        <v>11.693936048110356</v>
      </c>
      <c r="AE428" s="197">
        <f t="shared" si="285"/>
        <v>35.08180814433107</v>
      </c>
      <c r="AF428" s="197">
        <f t="shared" si="286"/>
        <v>8.5178571428571423E-2</v>
      </c>
      <c r="AG428" s="197">
        <f t="shared" si="287"/>
        <v>0.25553571428571431</v>
      </c>
      <c r="AH428" s="197">
        <f t="shared" si="254"/>
        <v>0.11660930017110901</v>
      </c>
      <c r="AI428" s="197">
        <f t="shared" si="288"/>
        <v>0.11660930017110901</v>
      </c>
      <c r="AJ428" s="218">
        <f t="shared" si="255"/>
        <v>390.00000000000006</v>
      </c>
      <c r="AK428" s="197">
        <f t="shared" si="289"/>
        <v>6.0930617977437734E-2</v>
      </c>
      <c r="AL428" s="197">
        <f t="shared" si="290"/>
        <v>9.6203707235237593E-2</v>
      </c>
      <c r="AM428" s="197">
        <f t="shared" si="291"/>
        <v>4.0790371867740751E-3</v>
      </c>
      <c r="AN428" s="197">
        <f t="shared" si="256"/>
        <v>24.05</v>
      </c>
      <c r="AO428" s="197">
        <f t="shared" si="257"/>
        <v>21.69</v>
      </c>
      <c r="AP428" s="197">
        <f t="shared" si="292"/>
        <v>7.4093290390420161E-2</v>
      </c>
      <c r="AQ428" s="197">
        <f t="shared" si="293"/>
        <v>0.42250439890466829</v>
      </c>
      <c r="AR428" s="197">
        <f t="shared" si="294"/>
        <v>0.30589509873355925</v>
      </c>
      <c r="AS428" s="258">
        <f t="shared" si="295"/>
        <v>0.15228632177729159</v>
      </c>
      <c r="AT428" s="197">
        <f t="shared" si="258"/>
        <v>2.5974058656511614E-4</v>
      </c>
      <c r="AU428" s="194">
        <f t="shared" si="259"/>
        <v>21.19</v>
      </c>
      <c r="AV428" s="197">
        <f t="shared" si="260"/>
        <v>2.7E-2</v>
      </c>
      <c r="AW428" s="197">
        <f t="shared" si="261"/>
        <v>3.4260000000000002E-3</v>
      </c>
      <c r="AX428" s="197">
        <f t="shared" si="296"/>
        <v>6.1668000000000001E-2</v>
      </c>
      <c r="AY428" s="197">
        <f t="shared" si="262"/>
        <v>2.8867476000000005E-3</v>
      </c>
      <c r="AZ428" s="197">
        <f t="shared" si="263"/>
        <v>0</v>
      </c>
      <c r="BA428" s="197">
        <f t="shared" si="297"/>
        <v>7.2596940000000013E-2</v>
      </c>
      <c r="BB428" s="258">
        <f t="shared" si="264"/>
        <v>0.36575210336206115</v>
      </c>
      <c r="BC428" s="197">
        <f t="shared" si="265"/>
        <v>2.2380490766334034E-2</v>
      </c>
      <c r="BD428" s="197">
        <f t="shared" si="298"/>
        <v>4.4760981532668068E-3</v>
      </c>
      <c r="BE428" s="197">
        <f t="shared" si="299"/>
        <v>2.6856588919600841E-2</v>
      </c>
      <c r="BF428" s="197">
        <f t="shared" si="266"/>
        <v>0.20773291256157633</v>
      </c>
      <c r="BG428" s="197">
        <f t="shared" si="267"/>
        <v>5.4608303342508187E-4</v>
      </c>
      <c r="BH428" s="197">
        <f t="shared" si="268"/>
        <v>3.5336687086656722E-2</v>
      </c>
      <c r="BI428" s="197">
        <f t="shared" si="300"/>
        <v>0.44730899017824427</v>
      </c>
      <c r="BJ428" s="197">
        <f t="shared" si="269"/>
        <v>6.769615024661003</v>
      </c>
      <c r="BK428" s="288">
        <f t="shared" si="270"/>
        <v>0.93392401361838984</v>
      </c>
      <c r="BL428" s="197">
        <f t="shared" si="271"/>
        <v>0.37608972359227794</v>
      </c>
      <c r="BM428" s="197">
        <f t="shared" si="272"/>
        <v>7.4353030976985271E-2</v>
      </c>
      <c r="BN428" s="197">
        <f t="shared" si="273"/>
        <v>54.461181858619113</v>
      </c>
      <c r="BO428" s="197">
        <f t="shared" si="301"/>
        <v>0.2082789955950014</v>
      </c>
      <c r="BP428" s="197">
        <f t="shared" si="274"/>
        <v>65.620924669625111</v>
      </c>
      <c r="BQ428" s="197">
        <f t="shared" si="275"/>
        <v>9.9596940000000009E-2</v>
      </c>
      <c r="BR428" s="288">
        <f t="shared" si="276"/>
        <v>0.16008975919012108</v>
      </c>
      <c r="BS428" s="197">
        <f t="shared" si="277"/>
        <v>0.11660930017110901</v>
      </c>
      <c r="BT428" s="197">
        <f t="shared" si="278"/>
        <v>0.36419974881911377</v>
      </c>
      <c r="BU428" s="197">
        <f t="shared" si="279"/>
        <v>0.1713930788771201</v>
      </c>
      <c r="BV428" s="197">
        <f t="shared" si="280"/>
        <v>0.53530306917875781</v>
      </c>
      <c r="BW428" s="194"/>
      <c r="BX428" s="194"/>
      <c r="BY428" s="194"/>
      <c r="BZ428" s="194"/>
      <c r="CA428" s="194"/>
      <c r="CB428" s="194"/>
      <c r="CC428" s="194"/>
      <c r="CD428" s="194"/>
      <c r="CE428" s="194"/>
      <c r="CF428" s="194"/>
      <c r="CG428" s="194"/>
      <c r="CH428" s="194"/>
      <c r="CI428" s="194"/>
      <c r="CJ428" s="194"/>
      <c r="CK428" s="194"/>
      <c r="CL428" s="194"/>
      <c r="CM428" s="194"/>
      <c r="CN428" s="194"/>
      <c r="CO428" s="194"/>
      <c r="CP428" s="194"/>
      <c r="CQ428" s="194"/>
      <c r="CR428" s="194"/>
      <c r="CS428" s="194"/>
      <c r="CT428" s="194"/>
      <c r="CU428" s="194"/>
      <c r="CV428" s="194"/>
      <c r="CW428" s="194"/>
      <c r="CX428" s="194"/>
      <c r="CY428" s="194"/>
      <c r="CZ428" s="194"/>
      <c r="DA428" s="194"/>
      <c r="DB428" s="194"/>
      <c r="DC428" s="194"/>
      <c r="DD428" s="194"/>
      <c r="DE428" s="194"/>
      <c r="DF428" s="194"/>
    </row>
    <row r="429" spans="2:110" s="192" customFormat="1" hidden="1" x14ac:dyDescent="0.35">
      <c r="B429" s="289"/>
      <c r="C429" s="289"/>
      <c r="Q429" s="193"/>
      <c r="R429" s="194">
        <f t="shared" si="281"/>
        <v>18</v>
      </c>
      <c r="S429" s="197">
        <f t="shared" si="247"/>
        <v>0.3888888888888889</v>
      </c>
      <c r="T429" s="194">
        <f t="shared" si="302"/>
        <v>0.69</v>
      </c>
      <c r="U429" s="194">
        <f t="shared" si="303"/>
        <v>1.4999999999999999E-4</v>
      </c>
      <c r="V429" s="197">
        <f t="shared" si="282"/>
        <v>0.3888888888888889</v>
      </c>
      <c r="W429" s="197">
        <f t="shared" si="248"/>
        <v>4.3555555555555561E-3</v>
      </c>
      <c r="X429" s="286">
        <f t="shared" si="249"/>
        <v>1</v>
      </c>
      <c r="Y429" s="286">
        <f t="shared" si="250"/>
        <v>0.17335969315081967</v>
      </c>
      <c r="Z429" s="286">
        <f t="shared" si="251"/>
        <v>0.54964853345132902</v>
      </c>
      <c r="AA429" s="286">
        <f t="shared" si="283"/>
        <v>0.17335969315081967</v>
      </c>
      <c r="AB429" s="197">
        <f t="shared" si="252"/>
        <v>0.36419974881911377</v>
      </c>
      <c r="AC429" s="287">
        <f t="shared" si="253"/>
        <v>4.4451203372005044E-7</v>
      </c>
      <c r="AD429" s="197">
        <f t="shared" si="284"/>
        <v>11.693936048110356</v>
      </c>
      <c r="AE429" s="197">
        <f t="shared" si="285"/>
        <v>35.08180814433107</v>
      </c>
      <c r="AF429" s="197">
        <f t="shared" si="286"/>
        <v>8.5178571428571423E-2</v>
      </c>
      <c r="AG429" s="197">
        <f t="shared" si="287"/>
        <v>0.25553571428571431</v>
      </c>
      <c r="AH429" s="197">
        <f t="shared" si="254"/>
        <v>0.11660930017110901</v>
      </c>
      <c r="AI429" s="197">
        <f t="shared" si="288"/>
        <v>0.11660930017110901</v>
      </c>
      <c r="AJ429" s="218">
        <f t="shared" si="255"/>
        <v>390.00000000000006</v>
      </c>
      <c r="AK429" s="197">
        <f t="shared" si="289"/>
        <v>6.0930617977437734E-2</v>
      </c>
      <c r="AL429" s="197">
        <f t="shared" si="290"/>
        <v>9.6203707235237593E-2</v>
      </c>
      <c r="AM429" s="197">
        <f t="shared" si="291"/>
        <v>4.0790371867740751E-3</v>
      </c>
      <c r="AN429" s="197">
        <f t="shared" si="256"/>
        <v>24.05</v>
      </c>
      <c r="AO429" s="197">
        <f t="shared" si="257"/>
        <v>21.69</v>
      </c>
      <c r="AP429" s="197">
        <f t="shared" si="292"/>
        <v>7.4093290390420161E-2</v>
      </c>
      <c r="AQ429" s="197">
        <f t="shared" si="293"/>
        <v>0.42250439890466829</v>
      </c>
      <c r="AR429" s="197">
        <f t="shared" si="294"/>
        <v>0.30589509873355925</v>
      </c>
      <c r="AS429" s="258">
        <f t="shared" si="295"/>
        <v>0.15228632177729159</v>
      </c>
      <c r="AT429" s="197">
        <f t="shared" si="258"/>
        <v>2.5974058656511614E-4</v>
      </c>
      <c r="AU429" s="194">
        <f t="shared" si="259"/>
        <v>21.19</v>
      </c>
      <c r="AV429" s="197">
        <f t="shared" si="260"/>
        <v>2.7E-2</v>
      </c>
      <c r="AW429" s="197">
        <f t="shared" si="261"/>
        <v>3.4260000000000002E-3</v>
      </c>
      <c r="AX429" s="197">
        <f t="shared" si="296"/>
        <v>6.1668000000000001E-2</v>
      </c>
      <c r="AY429" s="197">
        <f t="shared" si="262"/>
        <v>2.8867476000000005E-3</v>
      </c>
      <c r="AZ429" s="197">
        <f t="shared" si="263"/>
        <v>0</v>
      </c>
      <c r="BA429" s="197">
        <f t="shared" si="297"/>
        <v>7.2596940000000013E-2</v>
      </c>
      <c r="BB429" s="258">
        <f t="shared" si="264"/>
        <v>0.36575210336206115</v>
      </c>
      <c r="BC429" s="197">
        <f t="shared" si="265"/>
        <v>2.2380490766334034E-2</v>
      </c>
      <c r="BD429" s="197">
        <f t="shared" si="298"/>
        <v>4.4760981532668068E-3</v>
      </c>
      <c r="BE429" s="197">
        <f t="shared" si="299"/>
        <v>2.6856588919600841E-2</v>
      </c>
      <c r="BF429" s="197">
        <f t="shared" si="266"/>
        <v>0.20773291256157633</v>
      </c>
      <c r="BG429" s="197">
        <f t="shared" si="267"/>
        <v>5.4608303342508187E-4</v>
      </c>
      <c r="BH429" s="197">
        <f t="shared" si="268"/>
        <v>3.5336687086656722E-2</v>
      </c>
      <c r="BI429" s="197">
        <f t="shared" si="300"/>
        <v>0.44730899017824427</v>
      </c>
      <c r="BJ429" s="197">
        <f t="shared" si="269"/>
        <v>6.769615024661003</v>
      </c>
      <c r="BK429" s="288">
        <f t="shared" si="270"/>
        <v>0.93392401361838984</v>
      </c>
      <c r="BL429" s="197">
        <f t="shared" si="271"/>
        <v>0.37608972359227794</v>
      </c>
      <c r="BM429" s="197">
        <f t="shared" si="272"/>
        <v>7.4353030976985271E-2</v>
      </c>
      <c r="BN429" s="197">
        <f t="shared" si="273"/>
        <v>54.461181858619113</v>
      </c>
      <c r="BO429" s="197">
        <f t="shared" si="301"/>
        <v>0.2082789955950014</v>
      </c>
      <c r="BP429" s="197">
        <f t="shared" si="274"/>
        <v>65.620924669625111</v>
      </c>
      <c r="BQ429" s="197">
        <f t="shared" si="275"/>
        <v>9.9596940000000009E-2</v>
      </c>
      <c r="BR429" s="288">
        <f t="shared" si="276"/>
        <v>0.16008975919012108</v>
      </c>
      <c r="BS429" s="197">
        <f t="shared" si="277"/>
        <v>0.11660930017110901</v>
      </c>
      <c r="BT429" s="197">
        <f t="shared" si="278"/>
        <v>0.36419974881911377</v>
      </c>
      <c r="BU429" s="197">
        <f t="shared" si="279"/>
        <v>0.1713930788771201</v>
      </c>
      <c r="BV429" s="197">
        <f t="shared" si="280"/>
        <v>0.53530306917875781</v>
      </c>
      <c r="BW429" s="194"/>
      <c r="BX429" s="194"/>
      <c r="BY429" s="194"/>
      <c r="BZ429" s="194"/>
      <c r="CA429" s="194"/>
      <c r="CB429" s="194"/>
      <c r="CC429" s="194"/>
      <c r="CD429" s="194"/>
      <c r="CE429" s="194"/>
      <c r="CF429" s="194"/>
      <c r="CG429" s="194"/>
      <c r="CH429" s="194"/>
      <c r="CI429" s="194"/>
      <c r="CJ429" s="194"/>
      <c r="CK429" s="194"/>
      <c r="CL429" s="194"/>
      <c r="CM429" s="194"/>
      <c r="CN429" s="194"/>
      <c r="CO429" s="194"/>
      <c r="CP429" s="194"/>
      <c r="CQ429" s="194"/>
      <c r="CR429" s="194"/>
      <c r="CS429" s="194"/>
      <c r="CT429" s="194"/>
      <c r="CU429" s="194"/>
      <c r="CV429" s="194"/>
      <c r="CW429" s="194"/>
      <c r="CX429" s="194"/>
      <c r="CY429" s="194"/>
      <c r="CZ429" s="194"/>
      <c r="DA429" s="194"/>
      <c r="DB429" s="194"/>
      <c r="DC429" s="194"/>
      <c r="DD429" s="194"/>
      <c r="DE429" s="194"/>
      <c r="DF429" s="194"/>
    </row>
    <row r="430" spans="2:110" s="192" customFormat="1" hidden="1" x14ac:dyDescent="0.35">
      <c r="B430" s="289"/>
      <c r="C430" s="289"/>
      <c r="Q430" s="193"/>
      <c r="R430" s="194">
        <f t="shared" si="281"/>
        <v>18</v>
      </c>
      <c r="S430" s="197">
        <f t="shared" si="247"/>
        <v>0.3888888888888889</v>
      </c>
      <c r="T430" s="194">
        <f t="shared" si="302"/>
        <v>0.69</v>
      </c>
      <c r="U430" s="194">
        <f t="shared" si="303"/>
        <v>1.4999999999999999E-4</v>
      </c>
      <c r="V430" s="197">
        <f t="shared" si="282"/>
        <v>0.3888888888888889</v>
      </c>
      <c r="W430" s="197">
        <f t="shared" si="248"/>
        <v>4.3555555555555561E-3</v>
      </c>
      <c r="X430" s="286">
        <f t="shared" si="249"/>
        <v>1</v>
      </c>
      <c r="Y430" s="286">
        <f t="shared" si="250"/>
        <v>0.17335969315081967</v>
      </c>
      <c r="Z430" s="286">
        <f t="shared" si="251"/>
        <v>0.54964853345132902</v>
      </c>
      <c r="AA430" s="286">
        <f t="shared" si="283"/>
        <v>0.17335969315081967</v>
      </c>
      <c r="AB430" s="197">
        <f t="shared" si="252"/>
        <v>0.36419974881911377</v>
      </c>
      <c r="AC430" s="287">
        <f t="shared" si="253"/>
        <v>4.4451203372005044E-7</v>
      </c>
      <c r="AD430" s="197">
        <f t="shared" si="284"/>
        <v>11.693936048110356</v>
      </c>
      <c r="AE430" s="197">
        <f t="shared" si="285"/>
        <v>35.08180814433107</v>
      </c>
      <c r="AF430" s="197">
        <f t="shared" si="286"/>
        <v>8.5178571428571423E-2</v>
      </c>
      <c r="AG430" s="197">
        <f t="shared" si="287"/>
        <v>0.25553571428571431</v>
      </c>
      <c r="AH430" s="197">
        <f t="shared" si="254"/>
        <v>0.11660930017110901</v>
      </c>
      <c r="AI430" s="197">
        <f t="shared" si="288"/>
        <v>0.11660930017110901</v>
      </c>
      <c r="AJ430" s="218">
        <f t="shared" si="255"/>
        <v>390.00000000000006</v>
      </c>
      <c r="AK430" s="197">
        <f t="shared" si="289"/>
        <v>6.0930617977437734E-2</v>
      </c>
      <c r="AL430" s="197">
        <f t="shared" si="290"/>
        <v>9.6203707235237593E-2</v>
      </c>
      <c r="AM430" s="197">
        <f t="shared" si="291"/>
        <v>4.0790371867740751E-3</v>
      </c>
      <c r="AN430" s="197">
        <f t="shared" si="256"/>
        <v>24.05</v>
      </c>
      <c r="AO430" s="197">
        <f t="shared" si="257"/>
        <v>21.69</v>
      </c>
      <c r="AP430" s="197">
        <f t="shared" si="292"/>
        <v>7.4093290390420161E-2</v>
      </c>
      <c r="AQ430" s="197">
        <f t="shared" si="293"/>
        <v>0.42250439890466829</v>
      </c>
      <c r="AR430" s="197">
        <f t="shared" si="294"/>
        <v>0.30589509873355925</v>
      </c>
      <c r="AS430" s="258">
        <f t="shared" si="295"/>
        <v>0.15228632177729159</v>
      </c>
      <c r="AT430" s="197">
        <f t="shared" si="258"/>
        <v>2.5974058656511614E-4</v>
      </c>
      <c r="AU430" s="194">
        <f t="shared" si="259"/>
        <v>21.19</v>
      </c>
      <c r="AV430" s="197">
        <f t="shared" si="260"/>
        <v>2.7E-2</v>
      </c>
      <c r="AW430" s="197">
        <f t="shared" si="261"/>
        <v>3.4260000000000002E-3</v>
      </c>
      <c r="AX430" s="197">
        <f t="shared" si="296"/>
        <v>6.1668000000000001E-2</v>
      </c>
      <c r="AY430" s="197">
        <f t="shared" si="262"/>
        <v>2.8867476000000005E-3</v>
      </c>
      <c r="AZ430" s="197">
        <f t="shared" si="263"/>
        <v>0</v>
      </c>
      <c r="BA430" s="197">
        <f t="shared" si="297"/>
        <v>7.2596940000000013E-2</v>
      </c>
      <c r="BB430" s="258">
        <f t="shared" si="264"/>
        <v>0.36575210336206115</v>
      </c>
      <c r="BC430" s="197">
        <f t="shared" si="265"/>
        <v>2.2380490766334034E-2</v>
      </c>
      <c r="BD430" s="197">
        <f t="shared" si="298"/>
        <v>4.4760981532668068E-3</v>
      </c>
      <c r="BE430" s="197">
        <f t="shared" si="299"/>
        <v>2.6856588919600841E-2</v>
      </c>
      <c r="BF430" s="197">
        <f t="shared" si="266"/>
        <v>0.20773291256157633</v>
      </c>
      <c r="BG430" s="197">
        <f t="shared" si="267"/>
        <v>5.4608303342508187E-4</v>
      </c>
      <c r="BH430" s="197">
        <f t="shared" si="268"/>
        <v>3.5336687086656722E-2</v>
      </c>
      <c r="BI430" s="197">
        <f t="shared" si="300"/>
        <v>0.44730899017824427</v>
      </c>
      <c r="BJ430" s="197">
        <f t="shared" si="269"/>
        <v>6.769615024661003</v>
      </c>
      <c r="BK430" s="288">
        <f t="shared" si="270"/>
        <v>0.93392401361838984</v>
      </c>
      <c r="BL430" s="197">
        <f t="shared" si="271"/>
        <v>0.37608972359227794</v>
      </c>
      <c r="BM430" s="197">
        <f t="shared" si="272"/>
        <v>7.4353030976985271E-2</v>
      </c>
      <c r="BN430" s="197">
        <f t="shared" si="273"/>
        <v>54.461181858619113</v>
      </c>
      <c r="BO430" s="197">
        <f t="shared" si="301"/>
        <v>0.2082789955950014</v>
      </c>
      <c r="BP430" s="197">
        <f t="shared" si="274"/>
        <v>65.620924669625111</v>
      </c>
      <c r="BQ430" s="197">
        <f t="shared" si="275"/>
        <v>9.9596940000000009E-2</v>
      </c>
      <c r="BR430" s="288">
        <f t="shared" si="276"/>
        <v>0.16008975919012108</v>
      </c>
      <c r="BS430" s="197">
        <f t="shared" si="277"/>
        <v>0.11660930017110901</v>
      </c>
      <c r="BT430" s="197">
        <f t="shared" si="278"/>
        <v>0.36419974881911377</v>
      </c>
      <c r="BU430" s="197">
        <f t="shared" si="279"/>
        <v>0.1713930788771201</v>
      </c>
      <c r="BV430" s="197">
        <f t="shared" si="280"/>
        <v>0.53530306917875781</v>
      </c>
      <c r="BW430" s="194"/>
      <c r="BX430" s="194"/>
      <c r="BY430" s="194"/>
      <c r="BZ430" s="194"/>
      <c r="CA430" s="194"/>
      <c r="CB430" s="194"/>
      <c r="CC430" s="194"/>
      <c r="CD430" s="194"/>
      <c r="CE430" s="194"/>
      <c r="CF430" s="194"/>
      <c r="CG430" s="194"/>
      <c r="CH430" s="194"/>
      <c r="CI430" s="194"/>
      <c r="CJ430" s="194"/>
      <c r="CK430" s="194"/>
      <c r="CL430" s="194"/>
      <c r="CM430" s="194"/>
      <c r="CN430" s="194"/>
      <c r="CO430" s="194"/>
      <c r="CP430" s="194"/>
      <c r="CQ430" s="194"/>
      <c r="CR430" s="194"/>
      <c r="CS430" s="194"/>
      <c r="CT430" s="194"/>
      <c r="CU430" s="194"/>
      <c r="CV430" s="194"/>
      <c r="CW430" s="194"/>
      <c r="CX430" s="194"/>
      <c r="CY430" s="194"/>
      <c r="CZ430" s="194"/>
      <c r="DA430" s="194"/>
      <c r="DB430" s="194"/>
      <c r="DC430" s="194"/>
      <c r="DD430" s="194"/>
      <c r="DE430" s="194"/>
      <c r="DF430" s="194"/>
    </row>
    <row r="431" spans="2:110" s="192" customFormat="1" hidden="1" x14ac:dyDescent="0.35">
      <c r="B431" s="289"/>
      <c r="C431" s="289"/>
      <c r="Q431" s="193"/>
      <c r="R431" s="194">
        <f t="shared" si="281"/>
        <v>18</v>
      </c>
      <c r="S431" s="197">
        <f t="shared" si="247"/>
        <v>0.3888888888888889</v>
      </c>
      <c r="T431" s="194">
        <f t="shared" si="302"/>
        <v>0.69</v>
      </c>
      <c r="U431" s="194">
        <f t="shared" si="303"/>
        <v>1.4999999999999999E-4</v>
      </c>
      <c r="V431" s="197">
        <f t="shared" si="282"/>
        <v>0.3888888888888889</v>
      </c>
      <c r="W431" s="197">
        <f t="shared" si="248"/>
        <v>4.3555555555555561E-3</v>
      </c>
      <c r="X431" s="286">
        <f t="shared" si="249"/>
        <v>1</v>
      </c>
      <c r="Y431" s="286">
        <f t="shared" si="250"/>
        <v>0.17335969315081967</v>
      </c>
      <c r="Z431" s="286">
        <f t="shared" si="251"/>
        <v>0.54964853345132902</v>
      </c>
      <c r="AA431" s="286">
        <f t="shared" si="283"/>
        <v>0.17335969315081967</v>
      </c>
      <c r="AB431" s="197">
        <f t="shared" si="252"/>
        <v>0.36419974881911377</v>
      </c>
      <c r="AC431" s="287">
        <f t="shared" si="253"/>
        <v>4.4451203372005044E-7</v>
      </c>
      <c r="AD431" s="197">
        <f t="shared" si="284"/>
        <v>11.693936048110356</v>
      </c>
      <c r="AE431" s="197">
        <f t="shared" si="285"/>
        <v>35.08180814433107</v>
      </c>
      <c r="AF431" s="197">
        <f t="shared" si="286"/>
        <v>8.5178571428571423E-2</v>
      </c>
      <c r="AG431" s="197">
        <f t="shared" si="287"/>
        <v>0.25553571428571431</v>
      </c>
      <c r="AH431" s="197">
        <f t="shared" si="254"/>
        <v>0.11660930017110901</v>
      </c>
      <c r="AI431" s="197">
        <f t="shared" si="288"/>
        <v>0.11660930017110901</v>
      </c>
      <c r="AJ431" s="218">
        <f t="shared" si="255"/>
        <v>390.00000000000006</v>
      </c>
      <c r="AK431" s="197">
        <f t="shared" si="289"/>
        <v>6.0930617977437734E-2</v>
      </c>
      <c r="AL431" s="197">
        <f t="shared" si="290"/>
        <v>9.6203707235237593E-2</v>
      </c>
      <c r="AM431" s="197">
        <f t="shared" si="291"/>
        <v>4.0790371867740751E-3</v>
      </c>
      <c r="AN431" s="197">
        <f t="shared" si="256"/>
        <v>24.05</v>
      </c>
      <c r="AO431" s="197">
        <f t="shared" si="257"/>
        <v>21.69</v>
      </c>
      <c r="AP431" s="197">
        <f t="shared" si="292"/>
        <v>7.4093290390420161E-2</v>
      </c>
      <c r="AQ431" s="197">
        <f t="shared" si="293"/>
        <v>0.42250439890466829</v>
      </c>
      <c r="AR431" s="197">
        <f t="shared" si="294"/>
        <v>0.30589509873355925</v>
      </c>
      <c r="AS431" s="258">
        <f t="shared" si="295"/>
        <v>0.15228632177729159</v>
      </c>
      <c r="AT431" s="197">
        <f t="shared" si="258"/>
        <v>2.5974058656511614E-4</v>
      </c>
      <c r="AU431" s="194">
        <f t="shared" si="259"/>
        <v>21.19</v>
      </c>
      <c r="AV431" s="197">
        <f t="shared" si="260"/>
        <v>2.7E-2</v>
      </c>
      <c r="AW431" s="197">
        <f t="shared" si="261"/>
        <v>3.4260000000000002E-3</v>
      </c>
      <c r="AX431" s="197">
        <f t="shared" si="296"/>
        <v>6.1668000000000001E-2</v>
      </c>
      <c r="AY431" s="197">
        <f t="shared" si="262"/>
        <v>2.8867476000000005E-3</v>
      </c>
      <c r="AZ431" s="197">
        <f t="shared" si="263"/>
        <v>0</v>
      </c>
      <c r="BA431" s="197">
        <f t="shared" si="297"/>
        <v>7.2596940000000013E-2</v>
      </c>
      <c r="BB431" s="258">
        <f t="shared" si="264"/>
        <v>0.36575210336206115</v>
      </c>
      <c r="BC431" s="197">
        <f t="shared" si="265"/>
        <v>2.2380490766334034E-2</v>
      </c>
      <c r="BD431" s="197">
        <f t="shared" si="298"/>
        <v>4.4760981532668068E-3</v>
      </c>
      <c r="BE431" s="197">
        <f t="shared" si="299"/>
        <v>2.6856588919600841E-2</v>
      </c>
      <c r="BF431" s="197">
        <f t="shared" si="266"/>
        <v>0.20773291256157633</v>
      </c>
      <c r="BG431" s="197">
        <f t="shared" si="267"/>
        <v>5.4608303342508187E-4</v>
      </c>
      <c r="BH431" s="197">
        <f t="shared" si="268"/>
        <v>3.5336687086656722E-2</v>
      </c>
      <c r="BI431" s="197">
        <f t="shared" si="300"/>
        <v>0.44730899017824427</v>
      </c>
      <c r="BJ431" s="197">
        <f t="shared" si="269"/>
        <v>6.769615024661003</v>
      </c>
      <c r="BK431" s="288">
        <f t="shared" si="270"/>
        <v>0.93392401361838984</v>
      </c>
      <c r="BL431" s="197">
        <f t="shared" si="271"/>
        <v>0.37608972359227794</v>
      </c>
      <c r="BM431" s="197">
        <f t="shared" si="272"/>
        <v>7.4353030976985271E-2</v>
      </c>
      <c r="BN431" s="197">
        <f t="shared" si="273"/>
        <v>54.461181858619113</v>
      </c>
      <c r="BO431" s="197">
        <f t="shared" si="301"/>
        <v>0.2082789955950014</v>
      </c>
      <c r="BP431" s="197">
        <f t="shared" si="274"/>
        <v>65.620924669625111</v>
      </c>
      <c r="BQ431" s="197">
        <f t="shared" si="275"/>
        <v>9.9596940000000009E-2</v>
      </c>
      <c r="BR431" s="288">
        <f t="shared" si="276"/>
        <v>0.16008975919012108</v>
      </c>
      <c r="BS431" s="197">
        <f t="shared" si="277"/>
        <v>0.11660930017110901</v>
      </c>
      <c r="BT431" s="197">
        <f t="shared" si="278"/>
        <v>0.36419974881911377</v>
      </c>
      <c r="BU431" s="197">
        <f t="shared" si="279"/>
        <v>0.1713930788771201</v>
      </c>
      <c r="BV431" s="197">
        <f t="shared" si="280"/>
        <v>0.53530306917875781</v>
      </c>
      <c r="BW431" s="194"/>
      <c r="BX431" s="194"/>
      <c r="BY431" s="194"/>
      <c r="BZ431" s="194"/>
      <c r="CA431" s="194"/>
      <c r="CB431" s="194"/>
      <c r="CC431" s="194"/>
      <c r="CD431" s="194"/>
      <c r="CE431" s="194"/>
      <c r="CF431" s="194"/>
      <c r="CG431" s="194"/>
      <c r="CH431" s="194"/>
      <c r="CI431" s="194"/>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row>
    <row r="432" spans="2:110" s="192" customFormat="1" hidden="1" x14ac:dyDescent="0.35">
      <c r="B432" s="289"/>
      <c r="C432" s="289"/>
      <c r="Q432" s="193"/>
      <c r="R432" s="194">
        <f t="shared" si="281"/>
        <v>18</v>
      </c>
      <c r="S432" s="197">
        <f t="shared" si="247"/>
        <v>0.3888888888888889</v>
      </c>
      <c r="T432" s="194">
        <f t="shared" si="302"/>
        <v>0.69</v>
      </c>
      <c r="U432" s="194">
        <f t="shared" si="303"/>
        <v>1.4999999999999999E-4</v>
      </c>
      <c r="V432" s="197">
        <f t="shared" si="282"/>
        <v>0.3888888888888889</v>
      </c>
      <c r="W432" s="197">
        <f t="shared" si="248"/>
        <v>4.3555555555555561E-3</v>
      </c>
      <c r="X432" s="286">
        <f t="shared" si="249"/>
        <v>1</v>
      </c>
      <c r="Y432" s="286">
        <f t="shared" si="250"/>
        <v>0.17335969315081967</v>
      </c>
      <c r="Z432" s="286">
        <f t="shared" si="251"/>
        <v>0.54964853345132902</v>
      </c>
      <c r="AA432" s="286">
        <f t="shared" si="283"/>
        <v>0.17335969315081967</v>
      </c>
      <c r="AB432" s="197">
        <f t="shared" si="252"/>
        <v>0.36419974881911377</v>
      </c>
      <c r="AC432" s="287">
        <f t="shared" si="253"/>
        <v>4.4451203372005044E-7</v>
      </c>
      <c r="AD432" s="197">
        <f t="shared" si="284"/>
        <v>11.693936048110356</v>
      </c>
      <c r="AE432" s="197">
        <f t="shared" si="285"/>
        <v>35.08180814433107</v>
      </c>
      <c r="AF432" s="197">
        <f t="shared" si="286"/>
        <v>8.5178571428571423E-2</v>
      </c>
      <c r="AG432" s="197">
        <f t="shared" si="287"/>
        <v>0.25553571428571431</v>
      </c>
      <c r="AH432" s="197">
        <f t="shared" si="254"/>
        <v>0.11660930017110901</v>
      </c>
      <c r="AI432" s="197">
        <f t="shared" si="288"/>
        <v>0.11660930017110901</v>
      </c>
      <c r="AJ432" s="218">
        <f t="shared" si="255"/>
        <v>390.00000000000006</v>
      </c>
      <c r="AK432" s="197">
        <f t="shared" si="289"/>
        <v>6.0930617977437734E-2</v>
      </c>
      <c r="AL432" s="197">
        <f t="shared" si="290"/>
        <v>9.6203707235237593E-2</v>
      </c>
      <c r="AM432" s="197">
        <f t="shared" si="291"/>
        <v>4.0790371867740751E-3</v>
      </c>
      <c r="AN432" s="197">
        <f t="shared" si="256"/>
        <v>24.05</v>
      </c>
      <c r="AO432" s="197">
        <f t="shared" si="257"/>
        <v>21.69</v>
      </c>
      <c r="AP432" s="197">
        <f t="shared" si="292"/>
        <v>7.4093290390420161E-2</v>
      </c>
      <c r="AQ432" s="197">
        <f t="shared" si="293"/>
        <v>0.42250439890466829</v>
      </c>
      <c r="AR432" s="197">
        <f t="shared" si="294"/>
        <v>0.30589509873355925</v>
      </c>
      <c r="AS432" s="258">
        <f t="shared" si="295"/>
        <v>0.15228632177729159</v>
      </c>
      <c r="AT432" s="197">
        <f t="shared" si="258"/>
        <v>2.5974058656511614E-4</v>
      </c>
      <c r="AU432" s="194">
        <f t="shared" si="259"/>
        <v>21.19</v>
      </c>
      <c r="AV432" s="197">
        <f t="shared" si="260"/>
        <v>2.7E-2</v>
      </c>
      <c r="AW432" s="197">
        <f t="shared" si="261"/>
        <v>3.4260000000000002E-3</v>
      </c>
      <c r="AX432" s="197">
        <f t="shared" si="296"/>
        <v>6.1668000000000001E-2</v>
      </c>
      <c r="AY432" s="197">
        <f t="shared" si="262"/>
        <v>2.8867476000000005E-3</v>
      </c>
      <c r="AZ432" s="197">
        <f t="shared" si="263"/>
        <v>0</v>
      </c>
      <c r="BA432" s="197">
        <f t="shared" si="297"/>
        <v>7.2596940000000013E-2</v>
      </c>
      <c r="BB432" s="258">
        <f t="shared" si="264"/>
        <v>0.36575210336206115</v>
      </c>
      <c r="BC432" s="197">
        <f t="shared" si="265"/>
        <v>2.2380490766334034E-2</v>
      </c>
      <c r="BD432" s="197">
        <f t="shared" si="298"/>
        <v>4.4760981532668068E-3</v>
      </c>
      <c r="BE432" s="197">
        <f t="shared" si="299"/>
        <v>2.6856588919600841E-2</v>
      </c>
      <c r="BF432" s="197">
        <f t="shared" si="266"/>
        <v>0.20773291256157633</v>
      </c>
      <c r="BG432" s="197">
        <f t="shared" si="267"/>
        <v>5.4608303342508187E-4</v>
      </c>
      <c r="BH432" s="197">
        <f t="shared" si="268"/>
        <v>3.5336687086656722E-2</v>
      </c>
      <c r="BI432" s="197">
        <f t="shared" si="300"/>
        <v>0.44730899017824427</v>
      </c>
      <c r="BJ432" s="197">
        <f t="shared" si="269"/>
        <v>6.769615024661003</v>
      </c>
      <c r="BK432" s="288">
        <f t="shared" si="270"/>
        <v>0.93392401361838984</v>
      </c>
      <c r="BL432" s="197">
        <f t="shared" si="271"/>
        <v>0.37608972359227794</v>
      </c>
      <c r="BM432" s="197">
        <f t="shared" si="272"/>
        <v>7.4353030976985271E-2</v>
      </c>
      <c r="BN432" s="197">
        <f t="shared" si="273"/>
        <v>54.461181858619113</v>
      </c>
      <c r="BO432" s="197">
        <f t="shared" si="301"/>
        <v>0.2082789955950014</v>
      </c>
      <c r="BP432" s="197">
        <f t="shared" si="274"/>
        <v>65.620924669625111</v>
      </c>
      <c r="BQ432" s="197">
        <f t="shared" si="275"/>
        <v>9.9596940000000009E-2</v>
      </c>
      <c r="BR432" s="288">
        <f t="shared" si="276"/>
        <v>0.16008975919012108</v>
      </c>
      <c r="BS432" s="197">
        <f t="shared" si="277"/>
        <v>0.11660930017110901</v>
      </c>
      <c r="BT432" s="197">
        <f t="shared" si="278"/>
        <v>0.36419974881911377</v>
      </c>
      <c r="BU432" s="197">
        <f t="shared" si="279"/>
        <v>0.1713930788771201</v>
      </c>
      <c r="BV432" s="197">
        <f t="shared" si="280"/>
        <v>0.53530306917875781</v>
      </c>
      <c r="BW432" s="194"/>
      <c r="BX432" s="194"/>
      <c r="BY432" s="194"/>
      <c r="BZ432" s="194"/>
      <c r="CA432" s="194"/>
      <c r="CB432" s="194"/>
      <c r="CC432" s="194"/>
      <c r="CD432" s="194"/>
      <c r="CE432" s="194"/>
      <c r="CF432" s="194"/>
      <c r="CG432" s="194"/>
      <c r="CH432" s="194"/>
      <c r="CI432" s="194"/>
      <c r="CJ432" s="194"/>
      <c r="CK432" s="194"/>
      <c r="CL432" s="194"/>
      <c r="CM432" s="194"/>
      <c r="CN432" s="194"/>
      <c r="CO432" s="194"/>
      <c r="CP432" s="194"/>
      <c r="CQ432" s="194"/>
      <c r="CR432" s="194"/>
      <c r="CS432" s="194"/>
      <c r="CT432" s="194"/>
      <c r="CU432" s="194"/>
      <c r="CV432" s="194"/>
      <c r="CW432" s="194"/>
      <c r="CX432" s="194"/>
      <c r="CY432" s="194"/>
      <c r="CZ432" s="194"/>
      <c r="DA432" s="194"/>
      <c r="DB432" s="194"/>
      <c r="DC432" s="194"/>
      <c r="DD432" s="194"/>
      <c r="DE432" s="194"/>
      <c r="DF432" s="194"/>
    </row>
    <row r="433" spans="2:110" s="192" customFormat="1" hidden="1" x14ac:dyDescent="0.35">
      <c r="B433" s="289"/>
      <c r="C433" s="289"/>
      <c r="Q433" s="193"/>
      <c r="R433" s="194">
        <f t="shared" si="281"/>
        <v>18</v>
      </c>
      <c r="S433" s="197">
        <f t="shared" si="247"/>
        <v>0.3888888888888889</v>
      </c>
      <c r="T433" s="194">
        <f t="shared" si="302"/>
        <v>0.69</v>
      </c>
      <c r="U433" s="194">
        <f t="shared" si="303"/>
        <v>1.4999999999999999E-4</v>
      </c>
      <c r="V433" s="197">
        <f t="shared" si="282"/>
        <v>0.3888888888888889</v>
      </c>
      <c r="W433" s="197">
        <f t="shared" si="248"/>
        <v>4.3555555555555561E-3</v>
      </c>
      <c r="X433" s="286">
        <f t="shared" si="249"/>
        <v>1</v>
      </c>
      <c r="Y433" s="286">
        <f t="shared" si="250"/>
        <v>0.17335969315081967</v>
      </c>
      <c r="Z433" s="286">
        <f t="shared" si="251"/>
        <v>0.54964853345132902</v>
      </c>
      <c r="AA433" s="286">
        <f t="shared" si="283"/>
        <v>0.17335969315081967</v>
      </c>
      <c r="AB433" s="197">
        <f t="shared" si="252"/>
        <v>0.36419974881911377</v>
      </c>
      <c r="AC433" s="287">
        <f t="shared" si="253"/>
        <v>4.4451203372005044E-7</v>
      </c>
      <c r="AD433" s="197">
        <f t="shared" si="284"/>
        <v>11.693936048110356</v>
      </c>
      <c r="AE433" s="197">
        <f t="shared" si="285"/>
        <v>35.08180814433107</v>
      </c>
      <c r="AF433" s="197">
        <f t="shared" si="286"/>
        <v>8.5178571428571423E-2</v>
      </c>
      <c r="AG433" s="197">
        <f t="shared" si="287"/>
        <v>0.25553571428571431</v>
      </c>
      <c r="AH433" s="197">
        <f t="shared" si="254"/>
        <v>0.11660930017110901</v>
      </c>
      <c r="AI433" s="197">
        <f t="shared" si="288"/>
        <v>0.11660930017110901</v>
      </c>
      <c r="AJ433" s="218">
        <f t="shared" si="255"/>
        <v>390.00000000000006</v>
      </c>
      <c r="AK433" s="197">
        <f t="shared" si="289"/>
        <v>6.0930617977437734E-2</v>
      </c>
      <c r="AL433" s="197">
        <f t="shared" si="290"/>
        <v>9.6203707235237593E-2</v>
      </c>
      <c r="AM433" s="197">
        <f t="shared" si="291"/>
        <v>4.0790371867740751E-3</v>
      </c>
      <c r="AN433" s="197">
        <f t="shared" si="256"/>
        <v>24.05</v>
      </c>
      <c r="AO433" s="197">
        <f t="shared" si="257"/>
        <v>21.69</v>
      </c>
      <c r="AP433" s="197">
        <f t="shared" si="292"/>
        <v>7.4093290390420161E-2</v>
      </c>
      <c r="AQ433" s="197">
        <f t="shared" si="293"/>
        <v>0.42250439890466829</v>
      </c>
      <c r="AR433" s="197">
        <f t="shared" si="294"/>
        <v>0.30589509873355925</v>
      </c>
      <c r="AS433" s="258">
        <f t="shared" si="295"/>
        <v>0.15228632177729159</v>
      </c>
      <c r="AT433" s="197">
        <f t="shared" si="258"/>
        <v>2.5974058656511614E-4</v>
      </c>
      <c r="AU433" s="194">
        <f t="shared" si="259"/>
        <v>21.19</v>
      </c>
      <c r="AV433" s="197">
        <f t="shared" si="260"/>
        <v>2.7E-2</v>
      </c>
      <c r="AW433" s="197">
        <f t="shared" si="261"/>
        <v>3.4260000000000002E-3</v>
      </c>
      <c r="AX433" s="197">
        <f t="shared" si="296"/>
        <v>6.1668000000000001E-2</v>
      </c>
      <c r="AY433" s="197">
        <f t="shared" si="262"/>
        <v>2.8867476000000005E-3</v>
      </c>
      <c r="AZ433" s="197">
        <f t="shared" si="263"/>
        <v>0</v>
      </c>
      <c r="BA433" s="197">
        <f t="shared" si="297"/>
        <v>7.2596940000000013E-2</v>
      </c>
      <c r="BB433" s="258">
        <f t="shared" si="264"/>
        <v>0.36575210336206115</v>
      </c>
      <c r="BC433" s="197">
        <f t="shared" si="265"/>
        <v>2.2380490766334034E-2</v>
      </c>
      <c r="BD433" s="197">
        <f t="shared" si="298"/>
        <v>4.4760981532668068E-3</v>
      </c>
      <c r="BE433" s="197">
        <f t="shared" si="299"/>
        <v>2.6856588919600841E-2</v>
      </c>
      <c r="BF433" s="197">
        <f t="shared" si="266"/>
        <v>0.20773291256157633</v>
      </c>
      <c r="BG433" s="197">
        <f t="shared" si="267"/>
        <v>5.4608303342508187E-4</v>
      </c>
      <c r="BH433" s="197">
        <f t="shared" si="268"/>
        <v>3.5336687086656722E-2</v>
      </c>
      <c r="BI433" s="197">
        <f t="shared" si="300"/>
        <v>0.44730899017824427</v>
      </c>
      <c r="BJ433" s="197">
        <f t="shared" si="269"/>
        <v>6.769615024661003</v>
      </c>
      <c r="BK433" s="288">
        <f t="shared" si="270"/>
        <v>0.93392401361838984</v>
      </c>
      <c r="BL433" s="197">
        <f t="shared" si="271"/>
        <v>0.37608972359227794</v>
      </c>
      <c r="BM433" s="197">
        <f t="shared" si="272"/>
        <v>7.4353030976985271E-2</v>
      </c>
      <c r="BN433" s="197">
        <f t="shared" si="273"/>
        <v>54.461181858619113</v>
      </c>
      <c r="BO433" s="197">
        <f t="shared" si="301"/>
        <v>0.2082789955950014</v>
      </c>
      <c r="BP433" s="197">
        <f t="shared" si="274"/>
        <v>65.620924669625111</v>
      </c>
      <c r="BQ433" s="197">
        <f t="shared" si="275"/>
        <v>9.9596940000000009E-2</v>
      </c>
      <c r="BR433" s="288">
        <f t="shared" si="276"/>
        <v>0.16008975919012108</v>
      </c>
      <c r="BS433" s="197">
        <f t="shared" si="277"/>
        <v>0.11660930017110901</v>
      </c>
      <c r="BT433" s="197">
        <f t="shared" si="278"/>
        <v>0.36419974881911377</v>
      </c>
      <c r="BU433" s="197">
        <f t="shared" si="279"/>
        <v>0.1713930788771201</v>
      </c>
      <c r="BV433" s="197">
        <f t="shared" si="280"/>
        <v>0.53530306917875781</v>
      </c>
      <c r="BW433" s="194"/>
      <c r="BX433" s="194"/>
      <c r="BY433" s="194"/>
      <c r="BZ433" s="194"/>
      <c r="CA433" s="194"/>
      <c r="CB433" s="194"/>
      <c r="CC433" s="194"/>
      <c r="CD433" s="194"/>
      <c r="CE433" s="194"/>
      <c r="CF433" s="194"/>
      <c r="CG433" s="194"/>
      <c r="CH433" s="194"/>
      <c r="CI433" s="194"/>
      <c r="CJ433" s="194"/>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row>
    <row r="434" spans="2:110" s="192" customFormat="1" hidden="1" x14ac:dyDescent="0.35">
      <c r="B434" s="289"/>
      <c r="C434" s="289"/>
      <c r="Q434" s="193"/>
      <c r="R434" s="194">
        <f t="shared" si="281"/>
        <v>18</v>
      </c>
      <c r="S434" s="197">
        <f t="shared" si="247"/>
        <v>0.3888888888888889</v>
      </c>
      <c r="T434" s="194">
        <f t="shared" si="302"/>
        <v>0.69</v>
      </c>
      <c r="U434" s="194">
        <f t="shared" si="303"/>
        <v>1.4999999999999999E-4</v>
      </c>
      <c r="V434" s="197">
        <f t="shared" si="282"/>
        <v>0.3888888888888889</v>
      </c>
      <c r="W434" s="197">
        <f t="shared" si="248"/>
        <v>4.3555555555555561E-3</v>
      </c>
      <c r="X434" s="286">
        <f t="shared" si="249"/>
        <v>1</v>
      </c>
      <c r="Y434" s="286">
        <f t="shared" si="250"/>
        <v>0.17335969315081967</v>
      </c>
      <c r="Z434" s="286">
        <f t="shared" si="251"/>
        <v>0.54964853345132902</v>
      </c>
      <c r="AA434" s="286">
        <f t="shared" si="283"/>
        <v>0.17335969315081967</v>
      </c>
      <c r="AB434" s="197">
        <f t="shared" si="252"/>
        <v>0.36419974881911377</v>
      </c>
      <c r="AC434" s="287">
        <f t="shared" si="253"/>
        <v>4.4451203372005044E-7</v>
      </c>
      <c r="AD434" s="197">
        <f t="shared" si="284"/>
        <v>11.693936048110356</v>
      </c>
      <c r="AE434" s="197">
        <f t="shared" si="285"/>
        <v>35.08180814433107</v>
      </c>
      <c r="AF434" s="197">
        <f t="shared" si="286"/>
        <v>8.5178571428571423E-2</v>
      </c>
      <c r="AG434" s="197">
        <f t="shared" si="287"/>
        <v>0.25553571428571431</v>
      </c>
      <c r="AH434" s="197">
        <f t="shared" si="254"/>
        <v>0.11660930017110901</v>
      </c>
      <c r="AI434" s="197">
        <f t="shared" si="288"/>
        <v>0.11660930017110901</v>
      </c>
      <c r="AJ434" s="218">
        <f t="shared" si="255"/>
        <v>390.00000000000006</v>
      </c>
      <c r="AK434" s="197">
        <f t="shared" si="289"/>
        <v>6.0930617977437734E-2</v>
      </c>
      <c r="AL434" s="197">
        <f t="shared" si="290"/>
        <v>9.6203707235237593E-2</v>
      </c>
      <c r="AM434" s="197">
        <f t="shared" si="291"/>
        <v>4.0790371867740751E-3</v>
      </c>
      <c r="AN434" s="197">
        <f t="shared" si="256"/>
        <v>24.05</v>
      </c>
      <c r="AO434" s="197">
        <f t="shared" si="257"/>
        <v>21.69</v>
      </c>
      <c r="AP434" s="197">
        <f t="shared" si="292"/>
        <v>7.4093290390420161E-2</v>
      </c>
      <c r="AQ434" s="197">
        <f t="shared" si="293"/>
        <v>0.42250439890466829</v>
      </c>
      <c r="AR434" s="197">
        <f t="shared" si="294"/>
        <v>0.30589509873355925</v>
      </c>
      <c r="AS434" s="258">
        <f t="shared" si="295"/>
        <v>0.15228632177729159</v>
      </c>
      <c r="AT434" s="197">
        <f t="shared" si="258"/>
        <v>2.5974058656511614E-4</v>
      </c>
      <c r="AU434" s="194">
        <f t="shared" si="259"/>
        <v>21.19</v>
      </c>
      <c r="AV434" s="197">
        <f t="shared" si="260"/>
        <v>2.7E-2</v>
      </c>
      <c r="AW434" s="197">
        <f t="shared" si="261"/>
        <v>3.4260000000000002E-3</v>
      </c>
      <c r="AX434" s="197">
        <f t="shared" si="296"/>
        <v>6.1668000000000001E-2</v>
      </c>
      <c r="AY434" s="197">
        <f t="shared" si="262"/>
        <v>2.8867476000000005E-3</v>
      </c>
      <c r="AZ434" s="197">
        <f t="shared" si="263"/>
        <v>0</v>
      </c>
      <c r="BA434" s="197">
        <f t="shared" si="297"/>
        <v>7.2596940000000013E-2</v>
      </c>
      <c r="BB434" s="258">
        <f t="shared" si="264"/>
        <v>0.36575210336206115</v>
      </c>
      <c r="BC434" s="197">
        <f t="shared" si="265"/>
        <v>2.2380490766334034E-2</v>
      </c>
      <c r="BD434" s="197">
        <f t="shared" si="298"/>
        <v>4.4760981532668068E-3</v>
      </c>
      <c r="BE434" s="197">
        <f t="shared" si="299"/>
        <v>2.6856588919600841E-2</v>
      </c>
      <c r="BF434" s="197">
        <f t="shared" si="266"/>
        <v>0.20773291256157633</v>
      </c>
      <c r="BG434" s="197">
        <f t="shared" si="267"/>
        <v>5.4608303342508187E-4</v>
      </c>
      <c r="BH434" s="197">
        <f t="shared" si="268"/>
        <v>3.5336687086656722E-2</v>
      </c>
      <c r="BI434" s="197">
        <f t="shared" si="300"/>
        <v>0.44730899017824427</v>
      </c>
      <c r="BJ434" s="197">
        <f t="shared" si="269"/>
        <v>6.769615024661003</v>
      </c>
      <c r="BK434" s="288">
        <f t="shared" si="270"/>
        <v>0.93392401361838984</v>
      </c>
      <c r="BL434" s="197">
        <f t="shared" si="271"/>
        <v>0.37608972359227794</v>
      </c>
      <c r="BM434" s="197">
        <f t="shared" si="272"/>
        <v>7.4353030976985271E-2</v>
      </c>
      <c r="BN434" s="197">
        <f t="shared" si="273"/>
        <v>54.461181858619113</v>
      </c>
      <c r="BO434" s="197">
        <f t="shared" si="301"/>
        <v>0.2082789955950014</v>
      </c>
      <c r="BP434" s="197">
        <f t="shared" si="274"/>
        <v>65.620924669625111</v>
      </c>
      <c r="BQ434" s="197">
        <f t="shared" si="275"/>
        <v>9.9596940000000009E-2</v>
      </c>
      <c r="BR434" s="288">
        <f t="shared" si="276"/>
        <v>0.16008975919012108</v>
      </c>
      <c r="BS434" s="197">
        <f t="shared" si="277"/>
        <v>0.11660930017110901</v>
      </c>
      <c r="BT434" s="197">
        <f t="shared" si="278"/>
        <v>0.36419974881911377</v>
      </c>
      <c r="BU434" s="197">
        <f t="shared" si="279"/>
        <v>0.1713930788771201</v>
      </c>
      <c r="BV434" s="197">
        <f t="shared" si="280"/>
        <v>0.53530306917875781</v>
      </c>
      <c r="BW434" s="194"/>
      <c r="BX434" s="194"/>
      <c r="BY434" s="194"/>
      <c r="BZ434" s="194"/>
      <c r="CA434" s="194"/>
      <c r="CB434" s="194"/>
      <c r="CC434" s="194"/>
      <c r="CD434" s="194"/>
      <c r="CE434" s="194"/>
      <c r="CF434" s="194"/>
      <c r="CG434" s="194"/>
      <c r="CH434" s="194"/>
      <c r="CI434" s="194"/>
      <c r="CJ434" s="194"/>
      <c r="CK434" s="194"/>
      <c r="CL434" s="194"/>
      <c r="CM434" s="194"/>
      <c r="CN434" s="194"/>
      <c r="CO434" s="194"/>
      <c r="CP434" s="194"/>
      <c r="CQ434" s="194"/>
      <c r="CR434" s="194"/>
      <c r="CS434" s="194"/>
      <c r="CT434" s="194"/>
      <c r="CU434" s="194"/>
      <c r="CV434" s="194"/>
      <c r="CW434" s="194"/>
      <c r="CX434" s="194"/>
      <c r="CY434" s="194"/>
      <c r="CZ434" s="194"/>
      <c r="DA434" s="194"/>
      <c r="DB434" s="194"/>
      <c r="DC434" s="194"/>
      <c r="DD434" s="194"/>
      <c r="DE434" s="194"/>
      <c r="DF434" s="194"/>
    </row>
    <row r="435" spans="2:110" s="192" customFormat="1" hidden="1" x14ac:dyDescent="0.35">
      <c r="B435" s="289"/>
      <c r="C435" s="289"/>
      <c r="Q435" s="193"/>
      <c r="R435" s="194">
        <f t="shared" si="281"/>
        <v>18</v>
      </c>
      <c r="S435" s="197">
        <f t="shared" si="247"/>
        <v>0.3888888888888889</v>
      </c>
      <c r="T435" s="194">
        <f t="shared" si="302"/>
        <v>0.69</v>
      </c>
      <c r="U435" s="194">
        <f t="shared" si="303"/>
        <v>1.4999999999999999E-4</v>
      </c>
      <c r="V435" s="197">
        <f t="shared" si="282"/>
        <v>0.3888888888888889</v>
      </c>
      <c r="W435" s="197">
        <f t="shared" si="248"/>
        <v>4.3555555555555561E-3</v>
      </c>
      <c r="X435" s="286">
        <f t="shared" si="249"/>
        <v>1</v>
      </c>
      <c r="Y435" s="286">
        <f t="shared" si="250"/>
        <v>0.17335969315081967</v>
      </c>
      <c r="Z435" s="286">
        <f t="shared" si="251"/>
        <v>0.54964853345132902</v>
      </c>
      <c r="AA435" s="286">
        <f t="shared" si="283"/>
        <v>0.17335969315081967</v>
      </c>
      <c r="AB435" s="197">
        <f t="shared" si="252"/>
        <v>0.36419974881911377</v>
      </c>
      <c r="AC435" s="287">
        <f t="shared" si="253"/>
        <v>4.4451203372005044E-7</v>
      </c>
      <c r="AD435" s="197">
        <f t="shared" si="284"/>
        <v>11.693936048110356</v>
      </c>
      <c r="AE435" s="197">
        <f t="shared" si="285"/>
        <v>35.08180814433107</v>
      </c>
      <c r="AF435" s="197">
        <f t="shared" si="286"/>
        <v>8.5178571428571423E-2</v>
      </c>
      <c r="AG435" s="197">
        <f t="shared" si="287"/>
        <v>0.25553571428571431</v>
      </c>
      <c r="AH435" s="197">
        <f t="shared" si="254"/>
        <v>0.11660930017110901</v>
      </c>
      <c r="AI435" s="197">
        <f t="shared" si="288"/>
        <v>0.11660930017110901</v>
      </c>
      <c r="AJ435" s="218">
        <f t="shared" si="255"/>
        <v>390.00000000000006</v>
      </c>
      <c r="AK435" s="197">
        <f t="shared" si="289"/>
        <v>6.0930617977437734E-2</v>
      </c>
      <c r="AL435" s="197">
        <f t="shared" si="290"/>
        <v>9.6203707235237593E-2</v>
      </c>
      <c r="AM435" s="197">
        <f t="shared" si="291"/>
        <v>4.0790371867740751E-3</v>
      </c>
      <c r="AN435" s="197">
        <f t="shared" si="256"/>
        <v>24.05</v>
      </c>
      <c r="AO435" s="197">
        <f t="shared" si="257"/>
        <v>21.69</v>
      </c>
      <c r="AP435" s="197">
        <f t="shared" si="292"/>
        <v>7.4093290390420161E-2</v>
      </c>
      <c r="AQ435" s="197">
        <f t="shared" si="293"/>
        <v>0.42250439890466829</v>
      </c>
      <c r="AR435" s="197">
        <f t="shared" si="294"/>
        <v>0.30589509873355925</v>
      </c>
      <c r="AS435" s="258">
        <f t="shared" si="295"/>
        <v>0.15228632177729159</v>
      </c>
      <c r="AT435" s="197">
        <f t="shared" si="258"/>
        <v>2.5974058656511614E-4</v>
      </c>
      <c r="AU435" s="194">
        <f t="shared" si="259"/>
        <v>21.19</v>
      </c>
      <c r="AV435" s="197">
        <f t="shared" si="260"/>
        <v>2.7E-2</v>
      </c>
      <c r="AW435" s="197">
        <f t="shared" si="261"/>
        <v>3.4260000000000002E-3</v>
      </c>
      <c r="AX435" s="197">
        <f t="shared" si="296"/>
        <v>6.1668000000000001E-2</v>
      </c>
      <c r="AY435" s="197">
        <f t="shared" si="262"/>
        <v>2.8867476000000005E-3</v>
      </c>
      <c r="AZ435" s="197">
        <f t="shared" si="263"/>
        <v>0</v>
      </c>
      <c r="BA435" s="197">
        <f t="shared" si="297"/>
        <v>7.2596940000000013E-2</v>
      </c>
      <c r="BB435" s="258">
        <f t="shared" si="264"/>
        <v>0.36575210336206115</v>
      </c>
      <c r="BC435" s="197">
        <f t="shared" si="265"/>
        <v>2.2380490766334034E-2</v>
      </c>
      <c r="BD435" s="197">
        <f t="shared" si="298"/>
        <v>4.4760981532668068E-3</v>
      </c>
      <c r="BE435" s="197">
        <f t="shared" si="299"/>
        <v>2.6856588919600841E-2</v>
      </c>
      <c r="BF435" s="197">
        <f t="shared" si="266"/>
        <v>0.20773291256157633</v>
      </c>
      <c r="BG435" s="197">
        <f t="shared" si="267"/>
        <v>5.4608303342508187E-4</v>
      </c>
      <c r="BH435" s="197">
        <f t="shared" si="268"/>
        <v>3.5336687086656722E-2</v>
      </c>
      <c r="BI435" s="197">
        <f t="shared" si="300"/>
        <v>0.44730899017824427</v>
      </c>
      <c r="BJ435" s="197">
        <f t="shared" si="269"/>
        <v>6.769615024661003</v>
      </c>
      <c r="BK435" s="288">
        <f t="shared" si="270"/>
        <v>0.93392401361838984</v>
      </c>
      <c r="BL435" s="197">
        <f t="shared" si="271"/>
        <v>0.37608972359227794</v>
      </c>
      <c r="BM435" s="197">
        <f t="shared" si="272"/>
        <v>7.4353030976985271E-2</v>
      </c>
      <c r="BN435" s="197">
        <f t="shared" si="273"/>
        <v>54.461181858619113</v>
      </c>
      <c r="BO435" s="197">
        <f t="shared" si="301"/>
        <v>0.2082789955950014</v>
      </c>
      <c r="BP435" s="197">
        <f t="shared" si="274"/>
        <v>65.620924669625111</v>
      </c>
      <c r="BQ435" s="197">
        <f t="shared" si="275"/>
        <v>9.9596940000000009E-2</v>
      </c>
      <c r="BR435" s="288">
        <f t="shared" si="276"/>
        <v>0.16008975919012108</v>
      </c>
      <c r="BS435" s="197">
        <f t="shared" si="277"/>
        <v>0.11660930017110901</v>
      </c>
      <c r="BT435" s="197">
        <f t="shared" si="278"/>
        <v>0.36419974881911377</v>
      </c>
      <c r="BU435" s="197">
        <f t="shared" si="279"/>
        <v>0.1713930788771201</v>
      </c>
      <c r="BV435" s="197">
        <f t="shared" si="280"/>
        <v>0.53530306917875781</v>
      </c>
      <c r="BW435" s="194"/>
      <c r="BX435" s="194"/>
      <c r="BY435" s="194"/>
      <c r="BZ435" s="194"/>
      <c r="CA435" s="194"/>
      <c r="CB435" s="194"/>
      <c r="CC435" s="194"/>
      <c r="CD435" s="194"/>
      <c r="CE435" s="194"/>
      <c r="CF435" s="194"/>
      <c r="CG435" s="194"/>
      <c r="CH435" s="194"/>
      <c r="CI435" s="194"/>
      <c r="CJ435" s="194"/>
      <c r="CK435" s="194"/>
      <c r="CL435" s="194"/>
      <c r="CM435" s="194"/>
      <c r="CN435" s="194"/>
      <c r="CO435" s="194"/>
      <c r="CP435" s="194"/>
      <c r="CQ435" s="194"/>
      <c r="CR435" s="194"/>
      <c r="CS435" s="194"/>
      <c r="CT435" s="194"/>
      <c r="CU435" s="194"/>
      <c r="CV435" s="194"/>
      <c r="CW435" s="194"/>
      <c r="CX435" s="194"/>
      <c r="CY435" s="194"/>
      <c r="CZ435" s="194"/>
      <c r="DA435" s="194"/>
      <c r="DB435" s="194"/>
      <c r="DC435" s="194"/>
      <c r="DD435" s="194"/>
      <c r="DE435" s="194"/>
      <c r="DF435" s="194"/>
    </row>
    <row r="436" spans="2:110" s="192" customFormat="1" hidden="1" x14ac:dyDescent="0.35">
      <c r="B436" s="289"/>
      <c r="C436" s="289"/>
      <c r="Q436" s="193"/>
      <c r="R436" s="194">
        <f t="shared" si="281"/>
        <v>18</v>
      </c>
      <c r="S436" s="197">
        <f t="shared" si="247"/>
        <v>0.3888888888888889</v>
      </c>
      <c r="T436" s="194">
        <f t="shared" si="302"/>
        <v>0.69</v>
      </c>
      <c r="U436" s="194">
        <f t="shared" si="303"/>
        <v>1.4999999999999999E-4</v>
      </c>
      <c r="V436" s="197">
        <f t="shared" si="282"/>
        <v>0.3888888888888889</v>
      </c>
      <c r="W436" s="197">
        <f t="shared" si="248"/>
        <v>4.3555555555555561E-3</v>
      </c>
      <c r="X436" s="286">
        <f t="shared" si="249"/>
        <v>1</v>
      </c>
      <c r="Y436" s="286">
        <f t="shared" si="250"/>
        <v>0.17335969315081967</v>
      </c>
      <c r="Z436" s="286">
        <f t="shared" si="251"/>
        <v>0.54964853345132902</v>
      </c>
      <c r="AA436" s="286">
        <f t="shared" si="283"/>
        <v>0.17335969315081967</v>
      </c>
      <c r="AB436" s="197">
        <f t="shared" si="252"/>
        <v>0.36419974881911377</v>
      </c>
      <c r="AC436" s="287">
        <f t="shared" si="253"/>
        <v>4.4451203372005044E-7</v>
      </c>
      <c r="AD436" s="197">
        <f t="shared" si="284"/>
        <v>11.693936048110356</v>
      </c>
      <c r="AE436" s="197">
        <f t="shared" si="285"/>
        <v>35.08180814433107</v>
      </c>
      <c r="AF436" s="197">
        <f t="shared" si="286"/>
        <v>8.5178571428571423E-2</v>
      </c>
      <c r="AG436" s="197">
        <f t="shared" si="287"/>
        <v>0.25553571428571431</v>
      </c>
      <c r="AH436" s="197">
        <f t="shared" si="254"/>
        <v>0.11660930017110901</v>
      </c>
      <c r="AI436" s="197">
        <f t="shared" si="288"/>
        <v>0.11660930017110901</v>
      </c>
      <c r="AJ436" s="218">
        <f t="shared" si="255"/>
        <v>390.00000000000006</v>
      </c>
      <c r="AK436" s="197">
        <f t="shared" si="289"/>
        <v>6.0930617977437734E-2</v>
      </c>
      <c r="AL436" s="197">
        <f t="shared" si="290"/>
        <v>9.6203707235237593E-2</v>
      </c>
      <c r="AM436" s="197">
        <f t="shared" si="291"/>
        <v>4.0790371867740751E-3</v>
      </c>
      <c r="AN436" s="197">
        <f t="shared" si="256"/>
        <v>24.05</v>
      </c>
      <c r="AO436" s="197">
        <f t="shared" si="257"/>
        <v>21.69</v>
      </c>
      <c r="AP436" s="197">
        <f t="shared" si="292"/>
        <v>7.4093290390420161E-2</v>
      </c>
      <c r="AQ436" s="197">
        <f t="shared" si="293"/>
        <v>0.42250439890466829</v>
      </c>
      <c r="AR436" s="197">
        <f t="shared" si="294"/>
        <v>0.30589509873355925</v>
      </c>
      <c r="AS436" s="258">
        <f t="shared" si="295"/>
        <v>0.15228632177729159</v>
      </c>
      <c r="AT436" s="197">
        <f t="shared" si="258"/>
        <v>2.5974058656511614E-4</v>
      </c>
      <c r="AU436" s="194">
        <f t="shared" si="259"/>
        <v>21.19</v>
      </c>
      <c r="AV436" s="197">
        <f t="shared" si="260"/>
        <v>2.7E-2</v>
      </c>
      <c r="AW436" s="197">
        <f t="shared" si="261"/>
        <v>3.4260000000000002E-3</v>
      </c>
      <c r="AX436" s="197">
        <f t="shared" si="296"/>
        <v>6.1668000000000001E-2</v>
      </c>
      <c r="AY436" s="197">
        <f t="shared" si="262"/>
        <v>2.8867476000000005E-3</v>
      </c>
      <c r="AZ436" s="197">
        <f t="shared" si="263"/>
        <v>0</v>
      </c>
      <c r="BA436" s="197">
        <f t="shared" si="297"/>
        <v>7.2596940000000013E-2</v>
      </c>
      <c r="BB436" s="258">
        <f t="shared" si="264"/>
        <v>0.36575210336206115</v>
      </c>
      <c r="BC436" s="197">
        <f t="shared" si="265"/>
        <v>2.2380490766334034E-2</v>
      </c>
      <c r="BD436" s="197">
        <f t="shared" si="298"/>
        <v>4.4760981532668068E-3</v>
      </c>
      <c r="BE436" s="197">
        <f t="shared" si="299"/>
        <v>2.6856588919600841E-2</v>
      </c>
      <c r="BF436" s="197">
        <f t="shared" si="266"/>
        <v>0.20773291256157633</v>
      </c>
      <c r="BG436" s="197">
        <f t="shared" si="267"/>
        <v>5.4608303342508187E-4</v>
      </c>
      <c r="BH436" s="197">
        <f t="shared" si="268"/>
        <v>3.5336687086656722E-2</v>
      </c>
      <c r="BI436" s="197">
        <f t="shared" si="300"/>
        <v>0.44730899017824427</v>
      </c>
      <c r="BJ436" s="197">
        <f t="shared" si="269"/>
        <v>6.769615024661003</v>
      </c>
      <c r="BK436" s="288">
        <f t="shared" si="270"/>
        <v>0.93392401361838984</v>
      </c>
      <c r="BL436" s="197">
        <f t="shared" si="271"/>
        <v>0.37608972359227794</v>
      </c>
      <c r="BM436" s="197">
        <f t="shared" si="272"/>
        <v>7.4353030976985271E-2</v>
      </c>
      <c r="BN436" s="197">
        <f t="shared" si="273"/>
        <v>54.461181858619113</v>
      </c>
      <c r="BO436" s="197">
        <f t="shared" si="301"/>
        <v>0.2082789955950014</v>
      </c>
      <c r="BP436" s="197">
        <f t="shared" si="274"/>
        <v>65.620924669625111</v>
      </c>
      <c r="BQ436" s="197">
        <f t="shared" si="275"/>
        <v>9.9596940000000009E-2</v>
      </c>
      <c r="BR436" s="288">
        <f t="shared" si="276"/>
        <v>0.16008975919012108</v>
      </c>
      <c r="BS436" s="197">
        <f t="shared" si="277"/>
        <v>0.11660930017110901</v>
      </c>
      <c r="BT436" s="197">
        <f t="shared" si="278"/>
        <v>0.36419974881911377</v>
      </c>
      <c r="BU436" s="197">
        <f t="shared" si="279"/>
        <v>0.1713930788771201</v>
      </c>
      <c r="BV436" s="197">
        <f t="shared" si="280"/>
        <v>0.53530306917875781</v>
      </c>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94"/>
      <c r="DB436" s="194"/>
      <c r="DC436" s="194"/>
      <c r="DD436" s="194"/>
      <c r="DE436" s="194"/>
      <c r="DF436" s="194"/>
    </row>
    <row r="437" spans="2:110" s="192" customFormat="1" hidden="1" x14ac:dyDescent="0.35">
      <c r="B437" s="289"/>
      <c r="C437" s="289"/>
      <c r="Q437" s="193"/>
      <c r="R437" s="194">
        <f t="shared" si="281"/>
        <v>18</v>
      </c>
      <c r="S437" s="197">
        <f t="shared" si="247"/>
        <v>0.3888888888888889</v>
      </c>
      <c r="T437" s="194">
        <f t="shared" si="302"/>
        <v>0.69</v>
      </c>
      <c r="U437" s="194">
        <f t="shared" si="303"/>
        <v>1.4999999999999999E-4</v>
      </c>
      <c r="V437" s="197">
        <f t="shared" si="282"/>
        <v>0.3888888888888889</v>
      </c>
      <c r="W437" s="197">
        <f t="shared" si="248"/>
        <v>4.3555555555555561E-3</v>
      </c>
      <c r="X437" s="286">
        <f t="shared" si="249"/>
        <v>1</v>
      </c>
      <c r="Y437" s="286">
        <f t="shared" si="250"/>
        <v>0.17335969315081967</v>
      </c>
      <c r="Z437" s="286">
        <f t="shared" si="251"/>
        <v>0.54964853345132902</v>
      </c>
      <c r="AA437" s="286">
        <f t="shared" si="283"/>
        <v>0.17335969315081967</v>
      </c>
      <c r="AB437" s="197">
        <f t="shared" si="252"/>
        <v>0.36419974881911377</v>
      </c>
      <c r="AC437" s="287">
        <f t="shared" si="253"/>
        <v>4.4451203372005044E-7</v>
      </c>
      <c r="AD437" s="197">
        <f t="shared" si="284"/>
        <v>11.693936048110356</v>
      </c>
      <c r="AE437" s="197">
        <f t="shared" si="285"/>
        <v>35.08180814433107</v>
      </c>
      <c r="AF437" s="197">
        <f t="shared" si="286"/>
        <v>8.5178571428571423E-2</v>
      </c>
      <c r="AG437" s="197">
        <f t="shared" si="287"/>
        <v>0.25553571428571431</v>
      </c>
      <c r="AH437" s="197">
        <f t="shared" si="254"/>
        <v>0.11660930017110901</v>
      </c>
      <c r="AI437" s="197">
        <f t="shared" si="288"/>
        <v>0.11660930017110901</v>
      </c>
      <c r="AJ437" s="218">
        <f t="shared" si="255"/>
        <v>390.00000000000006</v>
      </c>
      <c r="AK437" s="197">
        <f t="shared" si="289"/>
        <v>6.0930617977437734E-2</v>
      </c>
      <c r="AL437" s="197">
        <f t="shared" si="290"/>
        <v>9.6203707235237593E-2</v>
      </c>
      <c r="AM437" s="197">
        <f t="shared" si="291"/>
        <v>4.0790371867740751E-3</v>
      </c>
      <c r="AN437" s="197">
        <f t="shared" si="256"/>
        <v>24.05</v>
      </c>
      <c r="AO437" s="197">
        <f t="shared" si="257"/>
        <v>21.69</v>
      </c>
      <c r="AP437" s="197">
        <f t="shared" si="292"/>
        <v>7.4093290390420161E-2</v>
      </c>
      <c r="AQ437" s="197">
        <f t="shared" si="293"/>
        <v>0.42250439890466829</v>
      </c>
      <c r="AR437" s="197">
        <f t="shared" si="294"/>
        <v>0.30589509873355925</v>
      </c>
      <c r="AS437" s="258">
        <f t="shared" si="295"/>
        <v>0.15228632177729159</v>
      </c>
      <c r="AT437" s="197">
        <f t="shared" si="258"/>
        <v>2.5974058656511614E-4</v>
      </c>
      <c r="AU437" s="194">
        <f t="shared" si="259"/>
        <v>21.19</v>
      </c>
      <c r="AV437" s="197">
        <f t="shared" si="260"/>
        <v>2.7E-2</v>
      </c>
      <c r="AW437" s="197">
        <f t="shared" si="261"/>
        <v>3.4260000000000002E-3</v>
      </c>
      <c r="AX437" s="197">
        <f t="shared" si="296"/>
        <v>6.1668000000000001E-2</v>
      </c>
      <c r="AY437" s="197">
        <f t="shared" si="262"/>
        <v>2.8867476000000005E-3</v>
      </c>
      <c r="AZ437" s="197">
        <f t="shared" si="263"/>
        <v>0</v>
      </c>
      <c r="BA437" s="197">
        <f t="shared" si="297"/>
        <v>7.2596940000000013E-2</v>
      </c>
      <c r="BB437" s="258">
        <f t="shared" si="264"/>
        <v>0.36575210336206115</v>
      </c>
      <c r="BC437" s="197">
        <f t="shared" si="265"/>
        <v>2.2380490766334034E-2</v>
      </c>
      <c r="BD437" s="197">
        <f t="shared" si="298"/>
        <v>4.4760981532668068E-3</v>
      </c>
      <c r="BE437" s="197">
        <f t="shared" si="299"/>
        <v>2.6856588919600841E-2</v>
      </c>
      <c r="BF437" s="197">
        <f t="shared" si="266"/>
        <v>0.20773291256157633</v>
      </c>
      <c r="BG437" s="197">
        <f t="shared" si="267"/>
        <v>5.4608303342508187E-4</v>
      </c>
      <c r="BH437" s="197">
        <f t="shared" si="268"/>
        <v>3.5336687086656722E-2</v>
      </c>
      <c r="BI437" s="197">
        <f t="shared" si="300"/>
        <v>0.44730899017824427</v>
      </c>
      <c r="BJ437" s="197">
        <f t="shared" si="269"/>
        <v>6.769615024661003</v>
      </c>
      <c r="BK437" s="288">
        <f t="shared" si="270"/>
        <v>0.93392401361838984</v>
      </c>
      <c r="BL437" s="197">
        <f t="shared" si="271"/>
        <v>0.37608972359227794</v>
      </c>
      <c r="BM437" s="197">
        <f t="shared" si="272"/>
        <v>7.4353030976985271E-2</v>
      </c>
      <c r="BN437" s="197">
        <f t="shared" si="273"/>
        <v>54.461181858619113</v>
      </c>
      <c r="BO437" s="197">
        <f t="shared" si="301"/>
        <v>0.2082789955950014</v>
      </c>
      <c r="BP437" s="197">
        <f t="shared" si="274"/>
        <v>65.620924669625111</v>
      </c>
      <c r="BQ437" s="197">
        <f t="shared" si="275"/>
        <v>9.9596940000000009E-2</v>
      </c>
      <c r="BR437" s="288">
        <f t="shared" si="276"/>
        <v>0.16008975919012108</v>
      </c>
      <c r="BS437" s="197">
        <f t="shared" si="277"/>
        <v>0.11660930017110901</v>
      </c>
      <c r="BT437" s="197">
        <f t="shared" si="278"/>
        <v>0.36419974881911377</v>
      </c>
      <c r="BU437" s="197">
        <f t="shared" si="279"/>
        <v>0.1713930788771201</v>
      </c>
      <c r="BV437" s="197">
        <f t="shared" si="280"/>
        <v>0.53530306917875781</v>
      </c>
      <c r="BW437" s="194"/>
      <c r="BX437" s="194"/>
      <c r="BY437" s="194"/>
      <c r="BZ437" s="194"/>
      <c r="CA437" s="194"/>
      <c r="CB437" s="194"/>
      <c r="CC437" s="194"/>
      <c r="CD437" s="194"/>
      <c r="CE437" s="194"/>
      <c r="CF437" s="194"/>
      <c r="CG437" s="194"/>
      <c r="CH437" s="194"/>
      <c r="CI437" s="194"/>
      <c r="CJ437" s="194"/>
      <c r="CK437" s="194"/>
      <c r="CL437" s="194"/>
      <c r="CM437" s="194"/>
      <c r="CN437" s="194"/>
      <c r="CO437" s="194"/>
      <c r="CP437" s="194"/>
      <c r="CQ437" s="194"/>
      <c r="CR437" s="194"/>
      <c r="CS437" s="194"/>
      <c r="CT437" s="194"/>
      <c r="CU437" s="194"/>
      <c r="CV437" s="194"/>
      <c r="CW437" s="194"/>
      <c r="CX437" s="194"/>
      <c r="CY437" s="194"/>
      <c r="CZ437" s="194"/>
      <c r="DA437" s="194"/>
      <c r="DB437" s="194"/>
      <c r="DC437" s="194"/>
      <c r="DD437" s="194"/>
      <c r="DE437" s="194"/>
      <c r="DF437" s="194"/>
    </row>
    <row r="438" spans="2:110" s="192" customFormat="1" hidden="1" x14ac:dyDescent="0.35">
      <c r="B438" s="289"/>
      <c r="C438" s="289"/>
      <c r="Q438" s="193"/>
      <c r="R438" s="194">
        <f t="shared" si="281"/>
        <v>18</v>
      </c>
      <c r="S438" s="197">
        <f t="shared" si="247"/>
        <v>0.3888888888888889</v>
      </c>
      <c r="T438" s="194">
        <f t="shared" si="302"/>
        <v>0.69</v>
      </c>
      <c r="U438" s="194">
        <f t="shared" si="303"/>
        <v>1.4999999999999999E-4</v>
      </c>
      <c r="V438" s="197">
        <f t="shared" si="282"/>
        <v>0.3888888888888889</v>
      </c>
      <c r="W438" s="197">
        <f t="shared" si="248"/>
        <v>4.3555555555555561E-3</v>
      </c>
      <c r="X438" s="286">
        <f t="shared" si="249"/>
        <v>1</v>
      </c>
      <c r="Y438" s="286">
        <f t="shared" si="250"/>
        <v>0.17335969315081967</v>
      </c>
      <c r="Z438" s="286">
        <f t="shared" si="251"/>
        <v>0.54964853345132902</v>
      </c>
      <c r="AA438" s="286">
        <f t="shared" si="283"/>
        <v>0.17335969315081967</v>
      </c>
      <c r="AB438" s="197">
        <f t="shared" si="252"/>
        <v>0.36419974881911377</v>
      </c>
      <c r="AC438" s="287">
        <f t="shared" si="253"/>
        <v>4.4451203372005044E-7</v>
      </c>
      <c r="AD438" s="197">
        <f t="shared" si="284"/>
        <v>11.693936048110356</v>
      </c>
      <c r="AE438" s="197">
        <f t="shared" si="285"/>
        <v>35.08180814433107</v>
      </c>
      <c r="AF438" s="197">
        <f t="shared" si="286"/>
        <v>8.5178571428571423E-2</v>
      </c>
      <c r="AG438" s="197">
        <f t="shared" si="287"/>
        <v>0.25553571428571431</v>
      </c>
      <c r="AH438" s="197">
        <f t="shared" si="254"/>
        <v>0.11660930017110901</v>
      </c>
      <c r="AI438" s="197">
        <f t="shared" si="288"/>
        <v>0.11660930017110901</v>
      </c>
      <c r="AJ438" s="218">
        <f t="shared" si="255"/>
        <v>390.00000000000006</v>
      </c>
      <c r="AK438" s="197">
        <f t="shared" si="289"/>
        <v>6.0930617977437734E-2</v>
      </c>
      <c r="AL438" s="197">
        <f t="shared" si="290"/>
        <v>9.6203707235237593E-2</v>
      </c>
      <c r="AM438" s="197">
        <f t="shared" si="291"/>
        <v>4.0790371867740751E-3</v>
      </c>
      <c r="AN438" s="197">
        <f t="shared" si="256"/>
        <v>24.05</v>
      </c>
      <c r="AO438" s="197">
        <f t="shared" si="257"/>
        <v>21.69</v>
      </c>
      <c r="AP438" s="197">
        <f t="shared" si="292"/>
        <v>7.4093290390420161E-2</v>
      </c>
      <c r="AQ438" s="197">
        <f t="shared" si="293"/>
        <v>0.42250439890466829</v>
      </c>
      <c r="AR438" s="197">
        <f t="shared" si="294"/>
        <v>0.30589509873355925</v>
      </c>
      <c r="AS438" s="258">
        <f t="shared" si="295"/>
        <v>0.15228632177729159</v>
      </c>
      <c r="AT438" s="197">
        <f t="shared" si="258"/>
        <v>2.5974058656511614E-4</v>
      </c>
      <c r="AU438" s="194">
        <f t="shared" si="259"/>
        <v>21.19</v>
      </c>
      <c r="AV438" s="197">
        <f t="shared" si="260"/>
        <v>2.7E-2</v>
      </c>
      <c r="AW438" s="197">
        <f t="shared" si="261"/>
        <v>3.4260000000000002E-3</v>
      </c>
      <c r="AX438" s="197">
        <f t="shared" si="296"/>
        <v>6.1668000000000001E-2</v>
      </c>
      <c r="AY438" s="197">
        <f t="shared" si="262"/>
        <v>2.8867476000000005E-3</v>
      </c>
      <c r="AZ438" s="197">
        <f t="shared" si="263"/>
        <v>0</v>
      </c>
      <c r="BA438" s="197">
        <f t="shared" si="297"/>
        <v>7.2596940000000013E-2</v>
      </c>
      <c r="BB438" s="258">
        <f t="shared" si="264"/>
        <v>0.36575210336206115</v>
      </c>
      <c r="BC438" s="197">
        <f t="shared" si="265"/>
        <v>2.2380490766334034E-2</v>
      </c>
      <c r="BD438" s="197">
        <f t="shared" si="298"/>
        <v>4.4760981532668068E-3</v>
      </c>
      <c r="BE438" s="197">
        <f t="shared" si="299"/>
        <v>2.6856588919600841E-2</v>
      </c>
      <c r="BF438" s="197">
        <f t="shared" si="266"/>
        <v>0.20773291256157633</v>
      </c>
      <c r="BG438" s="197">
        <f t="shared" si="267"/>
        <v>5.4608303342508187E-4</v>
      </c>
      <c r="BH438" s="197">
        <f t="shared" si="268"/>
        <v>3.5336687086656722E-2</v>
      </c>
      <c r="BI438" s="197">
        <f t="shared" si="300"/>
        <v>0.44730899017824427</v>
      </c>
      <c r="BJ438" s="197">
        <f t="shared" si="269"/>
        <v>6.769615024661003</v>
      </c>
      <c r="BK438" s="288">
        <f t="shared" si="270"/>
        <v>0.93392401361838984</v>
      </c>
      <c r="BL438" s="197">
        <f t="shared" si="271"/>
        <v>0.37608972359227794</v>
      </c>
      <c r="BM438" s="197">
        <f t="shared" si="272"/>
        <v>7.4353030976985271E-2</v>
      </c>
      <c r="BN438" s="197">
        <f t="shared" si="273"/>
        <v>54.461181858619113</v>
      </c>
      <c r="BO438" s="197">
        <f t="shared" si="301"/>
        <v>0.2082789955950014</v>
      </c>
      <c r="BP438" s="197">
        <f t="shared" si="274"/>
        <v>65.620924669625111</v>
      </c>
      <c r="BQ438" s="197">
        <f t="shared" si="275"/>
        <v>9.9596940000000009E-2</v>
      </c>
      <c r="BR438" s="288">
        <f t="shared" si="276"/>
        <v>0.16008975919012108</v>
      </c>
      <c r="BS438" s="197">
        <f t="shared" si="277"/>
        <v>0.11660930017110901</v>
      </c>
      <c r="BT438" s="197">
        <f t="shared" si="278"/>
        <v>0.36419974881911377</v>
      </c>
      <c r="BU438" s="197">
        <f t="shared" si="279"/>
        <v>0.1713930788771201</v>
      </c>
      <c r="BV438" s="197">
        <f t="shared" si="280"/>
        <v>0.53530306917875781</v>
      </c>
      <c r="BW438" s="194"/>
      <c r="BX438" s="194"/>
      <c r="BY438" s="194"/>
      <c r="BZ438" s="194"/>
      <c r="CA438" s="194"/>
      <c r="CB438" s="194"/>
      <c r="CC438" s="194"/>
      <c r="CD438" s="194"/>
      <c r="CE438" s="194"/>
      <c r="CF438" s="194"/>
      <c r="CG438" s="194"/>
      <c r="CH438" s="194"/>
      <c r="CI438" s="194"/>
      <c r="CJ438" s="194"/>
      <c r="CK438" s="194"/>
      <c r="CL438" s="194"/>
      <c r="CM438" s="194"/>
      <c r="CN438" s="194"/>
      <c r="CO438" s="194"/>
      <c r="CP438" s="194"/>
      <c r="CQ438" s="194"/>
      <c r="CR438" s="194"/>
      <c r="CS438" s="194"/>
      <c r="CT438" s="194"/>
      <c r="CU438" s="194"/>
      <c r="CV438" s="194"/>
      <c r="CW438" s="194"/>
      <c r="CX438" s="194"/>
      <c r="CY438" s="194"/>
      <c r="CZ438" s="194"/>
      <c r="DA438" s="194"/>
      <c r="DB438" s="194"/>
      <c r="DC438" s="194"/>
      <c r="DD438" s="194"/>
      <c r="DE438" s="194"/>
      <c r="DF438" s="194"/>
    </row>
    <row r="439" spans="2:110" s="192" customFormat="1" hidden="1" x14ac:dyDescent="0.35">
      <c r="B439" s="289"/>
      <c r="C439" s="289"/>
      <c r="Q439" s="193"/>
      <c r="R439" s="194">
        <f t="shared" si="281"/>
        <v>18</v>
      </c>
      <c r="S439" s="197">
        <f t="shared" si="247"/>
        <v>0.3888888888888889</v>
      </c>
      <c r="T439" s="194">
        <f t="shared" si="302"/>
        <v>0.69</v>
      </c>
      <c r="U439" s="194">
        <f t="shared" si="303"/>
        <v>1.4999999999999999E-4</v>
      </c>
      <c r="V439" s="197">
        <f t="shared" si="282"/>
        <v>0.3888888888888889</v>
      </c>
      <c r="W439" s="197">
        <f t="shared" si="248"/>
        <v>4.3555555555555561E-3</v>
      </c>
      <c r="X439" s="286">
        <f t="shared" si="249"/>
        <v>1</v>
      </c>
      <c r="Y439" s="286">
        <f t="shared" si="250"/>
        <v>0.17335969315081967</v>
      </c>
      <c r="Z439" s="286">
        <f t="shared" si="251"/>
        <v>0.54964853345132902</v>
      </c>
      <c r="AA439" s="286">
        <f t="shared" si="283"/>
        <v>0.17335969315081967</v>
      </c>
      <c r="AB439" s="197">
        <f t="shared" si="252"/>
        <v>0.36419974881911377</v>
      </c>
      <c r="AC439" s="287">
        <f t="shared" si="253"/>
        <v>4.4451203372005044E-7</v>
      </c>
      <c r="AD439" s="197">
        <f t="shared" si="284"/>
        <v>11.693936048110356</v>
      </c>
      <c r="AE439" s="197">
        <f t="shared" si="285"/>
        <v>35.08180814433107</v>
      </c>
      <c r="AF439" s="197">
        <f t="shared" si="286"/>
        <v>8.5178571428571423E-2</v>
      </c>
      <c r="AG439" s="197">
        <f t="shared" si="287"/>
        <v>0.25553571428571431</v>
      </c>
      <c r="AH439" s="197">
        <f t="shared" si="254"/>
        <v>0.11660930017110901</v>
      </c>
      <c r="AI439" s="197">
        <f t="shared" si="288"/>
        <v>0.11660930017110901</v>
      </c>
      <c r="AJ439" s="218">
        <f t="shared" si="255"/>
        <v>390.00000000000006</v>
      </c>
      <c r="AK439" s="197">
        <f t="shared" si="289"/>
        <v>6.0930617977437734E-2</v>
      </c>
      <c r="AL439" s="197">
        <f t="shared" si="290"/>
        <v>9.6203707235237593E-2</v>
      </c>
      <c r="AM439" s="197">
        <f t="shared" si="291"/>
        <v>4.0790371867740751E-3</v>
      </c>
      <c r="AN439" s="197">
        <f t="shared" si="256"/>
        <v>24.05</v>
      </c>
      <c r="AO439" s="197">
        <f t="shared" si="257"/>
        <v>21.69</v>
      </c>
      <c r="AP439" s="197">
        <f t="shared" si="292"/>
        <v>7.4093290390420161E-2</v>
      </c>
      <c r="AQ439" s="197">
        <f t="shared" si="293"/>
        <v>0.42250439890466829</v>
      </c>
      <c r="AR439" s="197">
        <f t="shared" si="294"/>
        <v>0.30589509873355925</v>
      </c>
      <c r="AS439" s="258">
        <f t="shared" si="295"/>
        <v>0.15228632177729159</v>
      </c>
      <c r="AT439" s="197">
        <f t="shared" si="258"/>
        <v>2.5974058656511614E-4</v>
      </c>
      <c r="AU439" s="194">
        <f t="shared" si="259"/>
        <v>21.19</v>
      </c>
      <c r="AV439" s="197">
        <f t="shared" si="260"/>
        <v>2.7E-2</v>
      </c>
      <c r="AW439" s="197">
        <f t="shared" si="261"/>
        <v>3.4260000000000002E-3</v>
      </c>
      <c r="AX439" s="197">
        <f t="shared" si="296"/>
        <v>6.1668000000000001E-2</v>
      </c>
      <c r="AY439" s="197">
        <f t="shared" si="262"/>
        <v>2.8867476000000005E-3</v>
      </c>
      <c r="AZ439" s="197">
        <f t="shared" si="263"/>
        <v>0</v>
      </c>
      <c r="BA439" s="197">
        <f t="shared" si="297"/>
        <v>7.2596940000000013E-2</v>
      </c>
      <c r="BB439" s="258">
        <f t="shared" si="264"/>
        <v>0.36575210336206115</v>
      </c>
      <c r="BC439" s="197">
        <f t="shared" si="265"/>
        <v>2.2380490766334034E-2</v>
      </c>
      <c r="BD439" s="197">
        <f t="shared" si="298"/>
        <v>4.4760981532668068E-3</v>
      </c>
      <c r="BE439" s="197">
        <f t="shared" si="299"/>
        <v>2.6856588919600841E-2</v>
      </c>
      <c r="BF439" s="197">
        <f t="shared" si="266"/>
        <v>0.20773291256157633</v>
      </c>
      <c r="BG439" s="197">
        <f t="shared" si="267"/>
        <v>5.4608303342508187E-4</v>
      </c>
      <c r="BH439" s="197">
        <f t="shared" si="268"/>
        <v>3.5336687086656722E-2</v>
      </c>
      <c r="BI439" s="197">
        <f t="shared" si="300"/>
        <v>0.44730899017824427</v>
      </c>
      <c r="BJ439" s="197">
        <f t="shared" si="269"/>
        <v>6.769615024661003</v>
      </c>
      <c r="BK439" s="288">
        <f t="shared" si="270"/>
        <v>0.93392401361838984</v>
      </c>
      <c r="BL439" s="197">
        <f t="shared" si="271"/>
        <v>0.37608972359227794</v>
      </c>
      <c r="BM439" s="197">
        <f t="shared" si="272"/>
        <v>7.4353030976985271E-2</v>
      </c>
      <c r="BN439" s="197">
        <f t="shared" si="273"/>
        <v>54.461181858619113</v>
      </c>
      <c r="BO439" s="197">
        <f t="shared" si="301"/>
        <v>0.2082789955950014</v>
      </c>
      <c r="BP439" s="197">
        <f t="shared" si="274"/>
        <v>65.620924669625111</v>
      </c>
      <c r="BQ439" s="197">
        <f t="shared" si="275"/>
        <v>9.9596940000000009E-2</v>
      </c>
      <c r="BR439" s="288">
        <f t="shared" si="276"/>
        <v>0.16008975919012108</v>
      </c>
      <c r="BS439" s="197">
        <f t="shared" si="277"/>
        <v>0.11660930017110901</v>
      </c>
      <c r="BT439" s="197">
        <f t="shared" si="278"/>
        <v>0.36419974881911377</v>
      </c>
      <c r="BU439" s="197">
        <f t="shared" si="279"/>
        <v>0.1713930788771201</v>
      </c>
      <c r="BV439" s="197">
        <f t="shared" si="280"/>
        <v>0.53530306917875781</v>
      </c>
      <c r="BW439" s="194"/>
      <c r="BX439" s="194"/>
      <c r="BY439" s="194"/>
      <c r="BZ439" s="194"/>
      <c r="CA439" s="194"/>
      <c r="CB439" s="194"/>
      <c r="CC439" s="194"/>
      <c r="CD439" s="194"/>
      <c r="CE439" s="194"/>
      <c r="CF439" s="194"/>
      <c r="CG439" s="194"/>
      <c r="CH439" s="194"/>
      <c r="CI439" s="194"/>
      <c r="CJ439" s="194"/>
      <c r="CK439" s="194"/>
      <c r="CL439" s="194"/>
      <c r="CM439" s="194"/>
      <c r="CN439" s="194"/>
      <c r="CO439" s="194"/>
      <c r="CP439" s="194"/>
      <c r="CQ439" s="194"/>
      <c r="CR439" s="194"/>
      <c r="CS439" s="194"/>
      <c r="CT439" s="194"/>
      <c r="CU439" s="194"/>
      <c r="CV439" s="194"/>
      <c r="CW439" s="194"/>
      <c r="CX439" s="194"/>
      <c r="CY439" s="194"/>
      <c r="CZ439" s="194"/>
      <c r="DA439" s="194"/>
      <c r="DB439" s="194"/>
      <c r="DC439" s="194"/>
      <c r="DD439" s="194"/>
      <c r="DE439" s="194"/>
      <c r="DF439" s="194"/>
    </row>
    <row r="440" spans="2:110" s="192" customFormat="1" hidden="1" x14ac:dyDescent="0.35">
      <c r="B440" s="289"/>
      <c r="C440" s="289"/>
      <c r="Q440" s="193"/>
      <c r="R440" s="194">
        <f t="shared" si="281"/>
        <v>18</v>
      </c>
      <c r="S440" s="197">
        <f t="shared" ref="S440:S503" si="304">(VLEDS/R440)*ILED/0.9</f>
        <v>0.3888888888888889</v>
      </c>
      <c r="T440" s="194">
        <f t="shared" si="302"/>
        <v>0.69</v>
      </c>
      <c r="U440" s="194">
        <f t="shared" si="303"/>
        <v>1.4999999999999999E-4</v>
      </c>
      <c r="V440" s="197">
        <f t="shared" si="282"/>
        <v>0.3888888888888889</v>
      </c>
      <c r="W440" s="197">
        <f t="shared" ref="W440:W503" si="305">V440*RON</f>
        <v>4.3555555555555561E-3</v>
      </c>
      <c r="X440" s="286">
        <f t="shared" ref="X440:X503" si="306">IF((VLEDS+T440+ILEDF*(RON+RCOIL))/(R440+T440-W440)&gt;1,1,(VLEDS+T440+ILEDF*(RON+RCOIL))/(R440+T440-W440))</f>
        <v>1</v>
      </c>
      <c r="Y440" s="286">
        <f t="shared" ref="Y440:Y503" si="307">IF((VLEDS-R440+T440+S440*(RON+RCOIL))/(VLEDS+T440-W440)&lt;0,0,(VLEDS-R440+T440+S440*(RON+RCOIL))/(VLEDS+T440-W440))</f>
        <v>0.17335969315081967</v>
      </c>
      <c r="Z440" s="286">
        <f t="shared" ref="Z440:Z503" si="308">(VLEDS+T440+(S440+ILEDF)*(RON+RCOIL))/(VLEDS+R440+T440-W440)</f>
        <v>0.54964853345132902</v>
      </c>
      <c r="AA440" s="286">
        <f t="shared" si="283"/>
        <v>0.17335969315081967</v>
      </c>
      <c r="AB440" s="197">
        <f t="shared" ref="AB440:AB503" si="309">IF(CONFIG="BUCK",ILEDF,ILEDF/(1-AA440))</f>
        <v>0.36419974881911377</v>
      </c>
      <c r="AC440" s="287">
        <f t="shared" ref="AC440:AC503" si="310">AA440/(FINIT*1000)</f>
        <v>4.4451203372005044E-7</v>
      </c>
      <c r="AD440" s="197">
        <f t="shared" si="284"/>
        <v>11.693936048110356</v>
      </c>
      <c r="AE440" s="197">
        <f t="shared" si="285"/>
        <v>35.08180814433107</v>
      </c>
      <c r="AF440" s="197">
        <f t="shared" si="286"/>
        <v>8.5178571428571423E-2</v>
      </c>
      <c r="AG440" s="197">
        <f t="shared" si="287"/>
        <v>0.25553571428571431</v>
      </c>
      <c r="AH440" s="197">
        <f t="shared" ref="AH440:AH503" si="311">IF(CONFIG="BUCK",R440-VLEDS-AB440*(RS+RCOIL)-W440,R440-AB440*(RS+RCOIL)-W440)*AC440/(L*0.000001)</f>
        <v>0.11660930017110901</v>
      </c>
      <c r="AI440" s="197">
        <f t="shared" si="288"/>
        <v>0.11660930017110901</v>
      </c>
      <c r="AJ440" s="218">
        <f t="shared" ref="AJ440:AJ503" si="312">0.001*AA440*AH440/(AI440*AC440)</f>
        <v>390.00000000000006</v>
      </c>
      <c r="AK440" s="197">
        <f t="shared" si="289"/>
        <v>6.0930617977437734E-2</v>
      </c>
      <c r="AL440" s="197">
        <f t="shared" si="290"/>
        <v>9.6203707235237593E-2</v>
      </c>
      <c r="AM440" s="197">
        <f t="shared" si="291"/>
        <v>4.0790371867740751E-3</v>
      </c>
      <c r="AN440" s="197">
        <f t="shared" ref="AN440:AN503" si="313">(QGSW/IGATE)+($D$37+$D$38)/2</f>
        <v>24.05</v>
      </c>
      <c r="AO440" s="197">
        <f t="shared" ref="AO440:AO503" si="314">IF(CONFIG="BUCK",R440+T440,IF(CONFIG="BOOST",VLEDS+T440,R440+VLEDS+T440))</f>
        <v>21.69</v>
      </c>
      <c r="AP440" s="197">
        <f t="shared" si="292"/>
        <v>7.4093290390420161E-2</v>
      </c>
      <c r="AQ440" s="197">
        <f t="shared" si="293"/>
        <v>0.42250439890466829</v>
      </c>
      <c r="AR440" s="197">
        <f t="shared" si="294"/>
        <v>0.30589509873355925</v>
      </c>
      <c r="AS440" s="258">
        <f t="shared" si="295"/>
        <v>0.15228632177729159</v>
      </c>
      <c r="AT440" s="197">
        <f t="shared" ref="AT440:AT503" si="315">(AS440^2)*RON</f>
        <v>2.5974058656511614E-4</v>
      </c>
      <c r="AU440" s="194">
        <f t="shared" ref="AU440:AU503" si="316">IF(LOWV,AO440-0.5,IF(DISSLIM,IF(R440&lt;_VZD3,R440,_VZD3),R440))</f>
        <v>21.19</v>
      </c>
      <c r="AV440" s="197">
        <f t="shared" ref="AV440:AV503" si="317">R440*IQ</f>
        <v>2.7E-2</v>
      </c>
      <c r="AW440" s="197">
        <f t="shared" ref="AW440:AW503" si="318">IQAUX+QGTOT*AJ440*0.000001</f>
        <v>3.4260000000000002E-3</v>
      </c>
      <c r="AX440" s="197">
        <f t="shared" si="296"/>
        <v>6.1668000000000001E-2</v>
      </c>
      <c r="AY440" s="197">
        <f t="shared" ref="AY440:AY503" si="319">IF(LOWV,((AW440^2)*100)+0.5*AW440,0)</f>
        <v>2.8867476000000005E-3</v>
      </c>
      <c r="AZ440" s="197">
        <f t="shared" ref="AZ440:AZ503" si="320">IF(DISSLIM,((R440-AU440)^2/5000)+AU440*(((R440-AU440)/5000)-AW440),0)</f>
        <v>0</v>
      </c>
      <c r="BA440" s="197">
        <f t="shared" si="297"/>
        <v>7.2596940000000013E-2</v>
      </c>
      <c r="BB440" s="258">
        <f t="shared" ref="BB440:BB503" si="321">SQRT((1/3)*(AQ440^2+AQ440*AR440+AR440^2))</f>
        <v>0.36575210336206115</v>
      </c>
      <c r="BC440" s="197">
        <f t="shared" ref="BC440:BC503" si="322">BB440^2*RCOIL</f>
        <v>2.2380490766334034E-2</v>
      </c>
      <c r="BD440" s="197">
        <f t="shared" si="298"/>
        <v>4.4760981532668068E-3</v>
      </c>
      <c r="BE440" s="197">
        <f t="shared" si="299"/>
        <v>2.6856588919600841E-2</v>
      </c>
      <c r="BF440" s="197">
        <f t="shared" ref="BF440:BF503" si="323">T440*AB440*(1-AA440)</f>
        <v>0.20773291256157633</v>
      </c>
      <c r="BG440" s="197">
        <f t="shared" ref="BG440:BG503" si="324">U440*AA440*IF(CONFIG="BUCK",R440,IF(CONFIG="BOOST",VLEDS,R440+VLEDS))</f>
        <v>5.4608303342508187E-4</v>
      </c>
      <c r="BH440" s="197">
        <f t="shared" ref="BH440:BH503" si="325">BB440^2*RS</f>
        <v>3.5336687086656722E-2</v>
      </c>
      <c r="BI440" s="197">
        <f t="shared" si="300"/>
        <v>0.44730899017824427</v>
      </c>
      <c r="BJ440" s="197">
        <f t="shared" ref="BJ440:BJ503" si="326">PLEDS+BI440</f>
        <v>6.769615024661003</v>
      </c>
      <c r="BK440" s="288">
        <f t="shared" ref="BK440:BK503" si="327">PLEDS/BJ440</f>
        <v>0.93392401361838984</v>
      </c>
      <c r="BL440" s="197">
        <f t="shared" ref="BL440:BL503" si="328">BJ440/R440</f>
        <v>0.37608972359227794</v>
      </c>
      <c r="BM440" s="197">
        <f t="shared" ref="BM440:BM503" si="329">AP440+AT440</f>
        <v>7.4353030976985271E-2</v>
      </c>
      <c r="BN440" s="197">
        <f t="shared" ref="BN440:BN503" si="330">TAMB+BM440*RTHMOS</f>
        <v>54.461181858619113</v>
      </c>
      <c r="BO440" s="197">
        <f t="shared" si="301"/>
        <v>0.2082789955950014</v>
      </c>
      <c r="BP440" s="197">
        <f t="shared" ref="BP440:BP503" si="331">TAMB+BO440*RTHFW</f>
        <v>65.620924669625111</v>
      </c>
      <c r="BQ440" s="197">
        <f t="shared" ref="BQ440:BQ503" si="332">AV440+BA440</f>
        <v>9.9596940000000009E-2</v>
      </c>
      <c r="BR440" s="288">
        <f t="shared" ref="BR440:BR503" si="333">0.5*AI440/AB440</f>
        <v>0.16008975919012108</v>
      </c>
      <c r="BS440" s="197">
        <f t="shared" ref="BS440:BS503" si="334">IF(CONFIG="BOOST",AI440,AB440)</f>
        <v>0.11660930017110901</v>
      </c>
      <c r="BT440" s="197">
        <f t="shared" ref="BT440:BT503" si="335">IF(CONFIG="BUCK",AI440,AB440)</f>
        <v>0.36419974881911377</v>
      </c>
      <c r="BU440" s="197">
        <f t="shared" ref="BU440:BU503" si="336">1000*BS440*(1-AA440)*AA440/(AJ440*VRIPIN)</f>
        <v>0.1713930788771201</v>
      </c>
      <c r="BV440" s="197">
        <f t="shared" ref="BV440:BV503" si="337">1000*BT440*(1-AA440)*AA440/(AJ440*VRIPOUT)</f>
        <v>0.53530306917875781</v>
      </c>
      <c r="BW440" s="194"/>
      <c r="BX440" s="194"/>
      <c r="BY440" s="194"/>
      <c r="BZ440" s="194"/>
      <c r="CA440" s="194"/>
      <c r="CB440" s="194"/>
      <c r="CC440" s="194"/>
      <c r="CD440" s="194"/>
      <c r="CE440" s="194"/>
      <c r="CF440" s="194"/>
      <c r="CG440" s="194"/>
      <c r="CH440" s="194"/>
      <c r="CI440" s="194"/>
      <c r="CJ440" s="194"/>
      <c r="CK440" s="194"/>
      <c r="CL440" s="194"/>
      <c r="CM440" s="194"/>
      <c r="CN440" s="194"/>
      <c r="CO440" s="194"/>
      <c r="CP440" s="194"/>
      <c r="CQ440" s="194"/>
      <c r="CR440" s="194"/>
      <c r="CS440" s="194"/>
      <c r="CT440" s="194"/>
      <c r="CU440" s="194"/>
      <c r="CV440" s="194"/>
      <c r="CW440" s="194"/>
      <c r="CX440" s="194"/>
      <c r="CY440" s="194"/>
      <c r="CZ440" s="194"/>
      <c r="DA440" s="194"/>
      <c r="DB440" s="194"/>
      <c r="DC440" s="194"/>
      <c r="DD440" s="194"/>
      <c r="DE440" s="194"/>
      <c r="DF440" s="194"/>
    </row>
    <row r="441" spans="2:110" s="192" customFormat="1" hidden="1" x14ac:dyDescent="0.35">
      <c r="B441" s="289"/>
      <c r="C441" s="289"/>
      <c r="Q441" s="193"/>
      <c r="R441" s="194">
        <f t="shared" ref="R441:R504" si="338">MIN(R440+0.1,VINMAX)</f>
        <v>18</v>
      </c>
      <c r="S441" s="197">
        <f t="shared" si="304"/>
        <v>0.3888888888888889</v>
      </c>
      <c r="T441" s="194">
        <f t="shared" si="302"/>
        <v>0.69</v>
      </c>
      <c r="U441" s="194">
        <f t="shared" si="303"/>
        <v>1.4999999999999999E-4</v>
      </c>
      <c r="V441" s="197">
        <f t="shared" ref="V441:V504" si="339">IF(CONFIG="BUCK",ILED,IF(CONFIG="BOOST",S441,ILED+S441))</f>
        <v>0.3888888888888889</v>
      </c>
      <c r="W441" s="197">
        <f t="shared" si="305"/>
        <v>4.3555555555555561E-3</v>
      </c>
      <c r="X441" s="286">
        <f t="shared" si="306"/>
        <v>1</v>
      </c>
      <c r="Y441" s="286">
        <f t="shared" si="307"/>
        <v>0.17335969315081967</v>
      </c>
      <c r="Z441" s="286">
        <f t="shared" si="308"/>
        <v>0.54964853345132902</v>
      </c>
      <c r="AA441" s="286">
        <f t="shared" ref="AA441:AA504" si="340">IF(CONFIG="BUCK",X441,IF(CONFIG="BOOST",Y441,Z441))</f>
        <v>0.17335969315081967</v>
      </c>
      <c r="AB441" s="197">
        <f t="shared" si="309"/>
        <v>0.36419974881911377</v>
      </c>
      <c r="AC441" s="287">
        <f t="shared" si="310"/>
        <v>4.4451203372005044E-7</v>
      </c>
      <c r="AD441" s="197">
        <f t="shared" ref="AD441:AD504" si="341">IF(CONFIG="BUCK",RIPLOW,RIPLOW*(1-AA441)/GI_ADJ)</f>
        <v>11.693936048110356</v>
      </c>
      <c r="AE441" s="197">
        <f t="shared" ref="AE441:AE504" si="342">IF(CONFIG="BUCK",RIPHIGH,RIPHIGH*(1-AA441)/GI_ADJ)</f>
        <v>35.08180814433107</v>
      </c>
      <c r="AF441" s="197">
        <f t="shared" ref="AF441:AF504" si="343">(AD441*2/100)*AB441</f>
        <v>8.5178571428571423E-2</v>
      </c>
      <c r="AG441" s="197">
        <f t="shared" ref="AG441:AG504" si="344">(AE441*2/100)*AB441</f>
        <v>0.25553571428571431</v>
      </c>
      <c r="AH441" s="197">
        <f t="shared" si="311"/>
        <v>0.11660930017110901</v>
      </c>
      <c r="AI441" s="197">
        <f t="shared" ref="AI441:AI504" si="345">IF(AH441&lt;AF441,AF441,IF(AH441&gt;AG441,AG441,AH441))</f>
        <v>0.11660930017110901</v>
      </c>
      <c r="AJ441" s="218">
        <f t="shared" si="312"/>
        <v>390.00000000000006</v>
      </c>
      <c r="AK441" s="197">
        <f t="shared" ref="AK441:AK504" si="346">AB441*RCOIL</f>
        <v>6.0930617977437734E-2</v>
      </c>
      <c r="AL441" s="197">
        <f t="shared" ref="AL441:AL504" si="347">AB441*RS</f>
        <v>9.6203707235237593E-2</v>
      </c>
      <c r="AM441" s="197">
        <f t="shared" ref="AM441:AM504" si="348">AB441*RON</f>
        <v>4.0790371867740751E-3</v>
      </c>
      <c r="AN441" s="197">
        <f t="shared" si="313"/>
        <v>24.05</v>
      </c>
      <c r="AO441" s="197">
        <f t="shared" si="314"/>
        <v>21.69</v>
      </c>
      <c r="AP441" s="197">
        <f t="shared" ref="AP441:AP504" si="349">AB441*AO441*AN441*AJ441*0.000001</f>
        <v>7.4093290390420161E-2</v>
      </c>
      <c r="AQ441" s="197">
        <f t="shared" ref="AQ441:AQ504" si="350">AB441+AI441/2</f>
        <v>0.42250439890466829</v>
      </c>
      <c r="AR441" s="197">
        <f t="shared" ref="AR441:AR504" si="351">AB441-AI441/2</f>
        <v>0.30589509873355925</v>
      </c>
      <c r="AS441" s="258">
        <f t="shared" ref="AS441:AS504" si="352">SQRT((AA441/3)*(AQ441^2+AQ441*AR441+AR441^2))</f>
        <v>0.15228632177729159</v>
      </c>
      <c r="AT441" s="197">
        <f t="shared" si="315"/>
        <v>2.5974058656511614E-4</v>
      </c>
      <c r="AU441" s="194">
        <f t="shared" si="316"/>
        <v>21.19</v>
      </c>
      <c r="AV441" s="197">
        <f t="shared" si="317"/>
        <v>2.7E-2</v>
      </c>
      <c r="AW441" s="197">
        <f t="shared" si="318"/>
        <v>3.4260000000000002E-3</v>
      </c>
      <c r="AX441" s="197">
        <f t="shared" ref="AX441:AX504" si="353">R441*(IQAUX+QGTOT*AJ441*0.000001)</f>
        <v>6.1668000000000001E-2</v>
      </c>
      <c r="AY441" s="197">
        <f t="shared" si="319"/>
        <v>2.8867476000000005E-3</v>
      </c>
      <c r="AZ441" s="197">
        <f t="shared" si="320"/>
        <v>0</v>
      </c>
      <c r="BA441" s="197">
        <f t="shared" ref="BA441:BA504" si="354">AU441*AW441</f>
        <v>7.2596940000000013E-2</v>
      </c>
      <c r="BB441" s="258">
        <f t="shared" si="321"/>
        <v>0.36575210336206115</v>
      </c>
      <c r="BC441" s="197">
        <f t="shared" si="322"/>
        <v>2.2380490766334034E-2</v>
      </c>
      <c r="BD441" s="197">
        <f t="shared" ref="BD441:BD504" si="355">BC441*0.2</f>
        <v>4.4760981532668068E-3</v>
      </c>
      <c r="BE441" s="197">
        <f t="shared" ref="BE441:BE504" si="356">BC441+BD441</f>
        <v>2.6856588919600841E-2</v>
      </c>
      <c r="BF441" s="197">
        <f t="shared" si="323"/>
        <v>0.20773291256157633</v>
      </c>
      <c r="BG441" s="197">
        <f t="shared" si="324"/>
        <v>5.4608303342508187E-4</v>
      </c>
      <c r="BH441" s="197">
        <f t="shared" si="325"/>
        <v>3.5336687086656722E-2</v>
      </c>
      <c r="BI441" s="197">
        <f t="shared" ref="BI441:BI504" si="357">AP441+AT441+AV441+AY441+BA441+BE441+BF441+BG441+BH441</f>
        <v>0.44730899017824427</v>
      </c>
      <c r="BJ441" s="197">
        <f t="shared" si="326"/>
        <v>6.769615024661003</v>
      </c>
      <c r="BK441" s="288">
        <f t="shared" si="327"/>
        <v>0.93392401361838984</v>
      </c>
      <c r="BL441" s="197">
        <f t="shared" si="328"/>
        <v>0.37608972359227794</v>
      </c>
      <c r="BM441" s="197">
        <f t="shared" si="329"/>
        <v>7.4353030976985271E-2</v>
      </c>
      <c r="BN441" s="197">
        <f t="shared" si="330"/>
        <v>54.461181858619113</v>
      </c>
      <c r="BO441" s="197">
        <f t="shared" ref="BO441:BO504" si="358">BF441+BG441</f>
        <v>0.2082789955950014</v>
      </c>
      <c r="BP441" s="197">
        <f t="shared" si="331"/>
        <v>65.620924669625111</v>
      </c>
      <c r="BQ441" s="197">
        <f t="shared" si="332"/>
        <v>9.9596940000000009E-2</v>
      </c>
      <c r="BR441" s="288">
        <f t="shared" si="333"/>
        <v>0.16008975919012108</v>
      </c>
      <c r="BS441" s="197">
        <f t="shared" si="334"/>
        <v>0.11660930017110901</v>
      </c>
      <c r="BT441" s="197">
        <f t="shared" si="335"/>
        <v>0.36419974881911377</v>
      </c>
      <c r="BU441" s="197">
        <f t="shared" si="336"/>
        <v>0.1713930788771201</v>
      </c>
      <c r="BV441" s="197">
        <f t="shared" si="337"/>
        <v>0.53530306917875781</v>
      </c>
      <c r="BW441" s="194"/>
      <c r="BX441" s="194"/>
      <c r="BY441" s="194"/>
      <c r="BZ441" s="194"/>
      <c r="CA441" s="194"/>
      <c r="CB441" s="194"/>
      <c r="CC441" s="194"/>
      <c r="CD441" s="194"/>
      <c r="CE441" s="194"/>
      <c r="CF441" s="194"/>
      <c r="CG441" s="194"/>
      <c r="CH441" s="194"/>
      <c r="CI441" s="194"/>
      <c r="CJ441" s="194"/>
      <c r="CK441" s="194"/>
      <c r="CL441" s="194"/>
      <c r="CM441" s="194"/>
      <c r="CN441" s="194"/>
      <c r="CO441" s="194"/>
      <c r="CP441" s="194"/>
      <c r="CQ441" s="194"/>
      <c r="CR441" s="194"/>
      <c r="CS441" s="194"/>
      <c r="CT441" s="194"/>
      <c r="CU441" s="194"/>
      <c r="CV441" s="194"/>
      <c r="CW441" s="194"/>
      <c r="CX441" s="194"/>
      <c r="CY441" s="194"/>
      <c r="CZ441" s="194"/>
      <c r="DA441" s="194"/>
      <c r="DB441" s="194"/>
      <c r="DC441" s="194"/>
      <c r="DD441" s="194"/>
      <c r="DE441" s="194"/>
      <c r="DF441" s="194"/>
    </row>
    <row r="442" spans="2:110" s="192" customFormat="1" hidden="1" x14ac:dyDescent="0.35">
      <c r="B442" s="289"/>
      <c r="C442" s="289"/>
      <c r="Q442" s="193"/>
      <c r="R442" s="194">
        <f t="shared" si="338"/>
        <v>18</v>
      </c>
      <c r="S442" s="197">
        <f t="shared" si="304"/>
        <v>0.3888888888888889</v>
      </c>
      <c r="T442" s="194">
        <f t="shared" ref="T442:T505" si="359">$D$45</f>
        <v>0.69</v>
      </c>
      <c r="U442" s="194">
        <f t="shared" ref="U442:U505" si="360">$D$48*0.001</f>
        <v>1.4999999999999999E-4</v>
      </c>
      <c r="V442" s="197">
        <f t="shared" si="339"/>
        <v>0.3888888888888889</v>
      </c>
      <c r="W442" s="197">
        <f t="shared" si="305"/>
        <v>4.3555555555555561E-3</v>
      </c>
      <c r="X442" s="286">
        <f t="shared" si="306"/>
        <v>1</v>
      </c>
      <c r="Y442" s="286">
        <f t="shared" si="307"/>
        <v>0.17335969315081967</v>
      </c>
      <c r="Z442" s="286">
        <f t="shared" si="308"/>
        <v>0.54964853345132902</v>
      </c>
      <c r="AA442" s="286">
        <f t="shared" si="340"/>
        <v>0.17335969315081967</v>
      </c>
      <c r="AB442" s="197">
        <f t="shared" si="309"/>
        <v>0.36419974881911377</v>
      </c>
      <c r="AC442" s="287">
        <f t="shared" si="310"/>
        <v>4.4451203372005044E-7</v>
      </c>
      <c r="AD442" s="197">
        <f t="shared" si="341"/>
        <v>11.693936048110356</v>
      </c>
      <c r="AE442" s="197">
        <f t="shared" si="342"/>
        <v>35.08180814433107</v>
      </c>
      <c r="AF442" s="197">
        <f t="shared" si="343"/>
        <v>8.5178571428571423E-2</v>
      </c>
      <c r="AG442" s="197">
        <f t="shared" si="344"/>
        <v>0.25553571428571431</v>
      </c>
      <c r="AH442" s="197">
        <f t="shared" si="311"/>
        <v>0.11660930017110901</v>
      </c>
      <c r="AI442" s="197">
        <f t="shared" si="345"/>
        <v>0.11660930017110901</v>
      </c>
      <c r="AJ442" s="218">
        <f t="shared" si="312"/>
        <v>390.00000000000006</v>
      </c>
      <c r="AK442" s="197">
        <f t="shared" si="346"/>
        <v>6.0930617977437734E-2</v>
      </c>
      <c r="AL442" s="197">
        <f t="shared" si="347"/>
        <v>9.6203707235237593E-2</v>
      </c>
      <c r="AM442" s="197">
        <f t="shared" si="348"/>
        <v>4.0790371867740751E-3</v>
      </c>
      <c r="AN442" s="197">
        <f t="shared" si="313"/>
        <v>24.05</v>
      </c>
      <c r="AO442" s="197">
        <f t="shared" si="314"/>
        <v>21.69</v>
      </c>
      <c r="AP442" s="197">
        <f t="shared" si="349"/>
        <v>7.4093290390420161E-2</v>
      </c>
      <c r="AQ442" s="197">
        <f t="shared" si="350"/>
        <v>0.42250439890466829</v>
      </c>
      <c r="AR442" s="197">
        <f t="shared" si="351"/>
        <v>0.30589509873355925</v>
      </c>
      <c r="AS442" s="258">
        <f t="shared" si="352"/>
        <v>0.15228632177729159</v>
      </c>
      <c r="AT442" s="197">
        <f t="shared" si="315"/>
        <v>2.5974058656511614E-4</v>
      </c>
      <c r="AU442" s="194">
        <f t="shared" si="316"/>
        <v>21.19</v>
      </c>
      <c r="AV442" s="197">
        <f t="shared" si="317"/>
        <v>2.7E-2</v>
      </c>
      <c r="AW442" s="197">
        <f t="shared" si="318"/>
        <v>3.4260000000000002E-3</v>
      </c>
      <c r="AX442" s="197">
        <f t="shared" si="353"/>
        <v>6.1668000000000001E-2</v>
      </c>
      <c r="AY442" s="197">
        <f t="shared" si="319"/>
        <v>2.8867476000000005E-3</v>
      </c>
      <c r="AZ442" s="197">
        <f t="shared" si="320"/>
        <v>0</v>
      </c>
      <c r="BA442" s="197">
        <f t="shared" si="354"/>
        <v>7.2596940000000013E-2</v>
      </c>
      <c r="BB442" s="258">
        <f t="shared" si="321"/>
        <v>0.36575210336206115</v>
      </c>
      <c r="BC442" s="197">
        <f t="shared" si="322"/>
        <v>2.2380490766334034E-2</v>
      </c>
      <c r="BD442" s="197">
        <f t="shared" si="355"/>
        <v>4.4760981532668068E-3</v>
      </c>
      <c r="BE442" s="197">
        <f t="shared" si="356"/>
        <v>2.6856588919600841E-2</v>
      </c>
      <c r="BF442" s="197">
        <f t="shared" si="323"/>
        <v>0.20773291256157633</v>
      </c>
      <c r="BG442" s="197">
        <f t="shared" si="324"/>
        <v>5.4608303342508187E-4</v>
      </c>
      <c r="BH442" s="197">
        <f t="shared" si="325"/>
        <v>3.5336687086656722E-2</v>
      </c>
      <c r="BI442" s="197">
        <f t="shared" si="357"/>
        <v>0.44730899017824427</v>
      </c>
      <c r="BJ442" s="197">
        <f t="shared" si="326"/>
        <v>6.769615024661003</v>
      </c>
      <c r="BK442" s="288">
        <f t="shared" si="327"/>
        <v>0.93392401361838984</v>
      </c>
      <c r="BL442" s="197">
        <f t="shared" si="328"/>
        <v>0.37608972359227794</v>
      </c>
      <c r="BM442" s="197">
        <f t="shared" si="329"/>
        <v>7.4353030976985271E-2</v>
      </c>
      <c r="BN442" s="197">
        <f t="shared" si="330"/>
        <v>54.461181858619113</v>
      </c>
      <c r="BO442" s="197">
        <f t="shared" si="358"/>
        <v>0.2082789955950014</v>
      </c>
      <c r="BP442" s="197">
        <f t="shared" si="331"/>
        <v>65.620924669625111</v>
      </c>
      <c r="BQ442" s="197">
        <f t="shared" si="332"/>
        <v>9.9596940000000009E-2</v>
      </c>
      <c r="BR442" s="288">
        <f t="shared" si="333"/>
        <v>0.16008975919012108</v>
      </c>
      <c r="BS442" s="197">
        <f t="shared" si="334"/>
        <v>0.11660930017110901</v>
      </c>
      <c r="BT442" s="197">
        <f t="shared" si="335"/>
        <v>0.36419974881911377</v>
      </c>
      <c r="BU442" s="197">
        <f t="shared" si="336"/>
        <v>0.1713930788771201</v>
      </c>
      <c r="BV442" s="197">
        <f t="shared" si="337"/>
        <v>0.53530306917875781</v>
      </c>
      <c r="BW442" s="194"/>
      <c r="BX442" s="194"/>
      <c r="BY442" s="194"/>
      <c r="BZ442" s="194"/>
      <c r="CA442" s="194"/>
      <c r="CB442" s="194"/>
      <c r="CC442" s="194"/>
      <c r="CD442" s="194"/>
      <c r="CE442" s="194"/>
      <c r="CF442" s="194"/>
      <c r="CG442" s="194"/>
      <c r="CH442" s="194"/>
      <c r="CI442" s="194"/>
      <c r="CJ442" s="194"/>
      <c r="CK442" s="194"/>
      <c r="CL442" s="194"/>
      <c r="CM442" s="194"/>
      <c r="CN442" s="194"/>
      <c r="CO442" s="194"/>
      <c r="CP442" s="194"/>
      <c r="CQ442" s="194"/>
      <c r="CR442" s="194"/>
      <c r="CS442" s="194"/>
      <c r="CT442" s="194"/>
      <c r="CU442" s="194"/>
      <c r="CV442" s="194"/>
      <c r="CW442" s="194"/>
      <c r="CX442" s="194"/>
      <c r="CY442" s="194"/>
      <c r="CZ442" s="194"/>
      <c r="DA442" s="194"/>
      <c r="DB442" s="194"/>
      <c r="DC442" s="194"/>
      <c r="DD442" s="194"/>
      <c r="DE442" s="194"/>
      <c r="DF442" s="194"/>
    </row>
    <row r="443" spans="2:110" s="192" customFormat="1" hidden="1" x14ac:dyDescent="0.35">
      <c r="B443" s="289"/>
      <c r="C443" s="289"/>
      <c r="Q443" s="193"/>
      <c r="R443" s="194">
        <f t="shared" si="338"/>
        <v>18</v>
      </c>
      <c r="S443" s="197">
        <f t="shared" si="304"/>
        <v>0.3888888888888889</v>
      </c>
      <c r="T443" s="194">
        <f t="shared" si="359"/>
        <v>0.69</v>
      </c>
      <c r="U443" s="194">
        <f t="shared" si="360"/>
        <v>1.4999999999999999E-4</v>
      </c>
      <c r="V443" s="197">
        <f t="shared" si="339"/>
        <v>0.3888888888888889</v>
      </c>
      <c r="W443" s="197">
        <f t="shared" si="305"/>
        <v>4.3555555555555561E-3</v>
      </c>
      <c r="X443" s="286">
        <f t="shared" si="306"/>
        <v>1</v>
      </c>
      <c r="Y443" s="286">
        <f t="shared" si="307"/>
        <v>0.17335969315081967</v>
      </c>
      <c r="Z443" s="286">
        <f t="shared" si="308"/>
        <v>0.54964853345132902</v>
      </c>
      <c r="AA443" s="286">
        <f t="shared" si="340"/>
        <v>0.17335969315081967</v>
      </c>
      <c r="AB443" s="197">
        <f t="shared" si="309"/>
        <v>0.36419974881911377</v>
      </c>
      <c r="AC443" s="287">
        <f t="shared" si="310"/>
        <v>4.4451203372005044E-7</v>
      </c>
      <c r="AD443" s="197">
        <f t="shared" si="341"/>
        <v>11.693936048110356</v>
      </c>
      <c r="AE443" s="197">
        <f t="shared" si="342"/>
        <v>35.08180814433107</v>
      </c>
      <c r="AF443" s="197">
        <f t="shared" si="343"/>
        <v>8.5178571428571423E-2</v>
      </c>
      <c r="AG443" s="197">
        <f t="shared" si="344"/>
        <v>0.25553571428571431</v>
      </c>
      <c r="AH443" s="197">
        <f t="shared" si="311"/>
        <v>0.11660930017110901</v>
      </c>
      <c r="AI443" s="197">
        <f t="shared" si="345"/>
        <v>0.11660930017110901</v>
      </c>
      <c r="AJ443" s="218">
        <f t="shared" si="312"/>
        <v>390.00000000000006</v>
      </c>
      <c r="AK443" s="197">
        <f t="shared" si="346"/>
        <v>6.0930617977437734E-2</v>
      </c>
      <c r="AL443" s="197">
        <f t="shared" si="347"/>
        <v>9.6203707235237593E-2</v>
      </c>
      <c r="AM443" s="197">
        <f t="shared" si="348"/>
        <v>4.0790371867740751E-3</v>
      </c>
      <c r="AN443" s="197">
        <f t="shared" si="313"/>
        <v>24.05</v>
      </c>
      <c r="AO443" s="197">
        <f t="shared" si="314"/>
        <v>21.69</v>
      </c>
      <c r="AP443" s="197">
        <f t="shared" si="349"/>
        <v>7.4093290390420161E-2</v>
      </c>
      <c r="AQ443" s="197">
        <f t="shared" si="350"/>
        <v>0.42250439890466829</v>
      </c>
      <c r="AR443" s="197">
        <f t="shared" si="351"/>
        <v>0.30589509873355925</v>
      </c>
      <c r="AS443" s="258">
        <f t="shared" si="352"/>
        <v>0.15228632177729159</v>
      </c>
      <c r="AT443" s="197">
        <f t="shared" si="315"/>
        <v>2.5974058656511614E-4</v>
      </c>
      <c r="AU443" s="194">
        <f t="shared" si="316"/>
        <v>21.19</v>
      </c>
      <c r="AV443" s="197">
        <f t="shared" si="317"/>
        <v>2.7E-2</v>
      </c>
      <c r="AW443" s="197">
        <f t="shared" si="318"/>
        <v>3.4260000000000002E-3</v>
      </c>
      <c r="AX443" s="197">
        <f t="shared" si="353"/>
        <v>6.1668000000000001E-2</v>
      </c>
      <c r="AY443" s="197">
        <f t="shared" si="319"/>
        <v>2.8867476000000005E-3</v>
      </c>
      <c r="AZ443" s="197">
        <f t="shared" si="320"/>
        <v>0</v>
      </c>
      <c r="BA443" s="197">
        <f t="shared" si="354"/>
        <v>7.2596940000000013E-2</v>
      </c>
      <c r="BB443" s="258">
        <f t="shared" si="321"/>
        <v>0.36575210336206115</v>
      </c>
      <c r="BC443" s="197">
        <f t="shared" si="322"/>
        <v>2.2380490766334034E-2</v>
      </c>
      <c r="BD443" s="197">
        <f t="shared" si="355"/>
        <v>4.4760981532668068E-3</v>
      </c>
      <c r="BE443" s="197">
        <f t="shared" si="356"/>
        <v>2.6856588919600841E-2</v>
      </c>
      <c r="BF443" s="197">
        <f t="shared" si="323"/>
        <v>0.20773291256157633</v>
      </c>
      <c r="BG443" s="197">
        <f t="shared" si="324"/>
        <v>5.4608303342508187E-4</v>
      </c>
      <c r="BH443" s="197">
        <f t="shared" si="325"/>
        <v>3.5336687086656722E-2</v>
      </c>
      <c r="BI443" s="197">
        <f t="shared" si="357"/>
        <v>0.44730899017824427</v>
      </c>
      <c r="BJ443" s="197">
        <f t="shared" si="326"/>
        <v>6.769615024661003</v>
      </c>
      <c r="BK443" s="288">
        <f t="shared" si="327"/>
        <v>0.93392401361838984</v>
      </c>
      <c r="BL443" s="197">
        <f t="shared" si="328"/>
        <v>0.37608972359227794</v>
      </c>
      <c r="BM443" s="197">
        <f t="shared" si="329"/>
        <v>7.4353030976985271E-2</v>
      </c>
      <c r="BN443" s="197">
        <f t="shared" si="330"/>
        <v>54.461181858619113</v>
      </c>
      <c r="BO443" s="197">
        <f t="shared" si="358"/>
        <v>0.2082789955950014</v>
      </c>
      <c r="BP443" s="197">
        <f t="shared" si="331"/>
        <v>65.620924669625111</v>
      </c>
      <c r="BQ443" s="197">
        <f t="shared" si="332"/>
        <v>9.9596940000000009E-2</v>
      </c>
      <c r="BR443" s="288">
        <f t="shared" si="333"/>
        <v>0.16008975919012108</v>
      </c>
      <c r="BS443" s="197">
        <f t="shared" si="334"/>
        <v>0.11660930017110901</v>
      </c>
      <c r="BT443" s="197">
        <f t="shared" si="335"/>
        <v>0.36419974881911377</v>
      </c>
      <c r="BU443" s="197">
        <f t="shared" si="336"/>
        <v>0.1713930788771201</v>
      </c>
      <c r="BV443" s="197">
        <f t="shared" si="337"/>
        <v>0.53530306917875781</v>
      </c>
      <c r="BW443" s="194"/>
      <c r="BX443" s="194"/>
      <c r="BY443" s="194"/>
      <c r="BZ443" s="194"/>
      <c r="CA443" s="194"/>
      <c r="CB443" s="194"/>
      <c r="CC443" s="194"/>
      <c r="CD443" s="194"/>
      <c r="CE443" s="194"/>
      <c r="CF443" s="194"/>
      <c r="CG443" s="194"/>
      <c r="CH443" s="194"/>
      <c r="CI443" s="194"/>
      <c r="CJ443" s="194"/>
      <c r="CK443" s="194"/>
      <c r="CL443" s="194"/>
      <c r="CM443" s="194"/>
      <c r="CN443" s="194"/>
      <c r="CO443" s="194"/>
      <c r="CP443" s="194"/>
      <c r="CQ443" s="194"/>
      <c r="CR443" s="194"/>
      <c r="CS443" s="194"/>
      <c r="CT443" s="194"/>
      <c r="CU443" s="194"/>
      <c r="CV443" s="194"/>
      <c r="CW443" s="194"/>
      <c r="CX443" s="194"/>
      <c r="CY443" s="194"/>
      <c r="CZ443" s="194"/>
      <c r="DA443" s="194"/>
      <c r="DB443" s="194"/>
      <c r="DC443" s="194"/>
      <c r="DD443" s="194"/>
      <c r="DE443" s="194"/>
      <c r="DF443" s="194"/>
    </row>
    <row r="444" spans="2:110" s="192" customFormat="1" hidden="1" x14ac:dyDescent="0.35">
      <c r="B444" s="289"/>
      <c r="C444" s="289"/>
      <c r="Q444" s="193"/>
      <c r="R444" s="194">
        <f t="shared" si="338"/>
        <v>18</v>
      </c>
      <c r="S444" s="197">
        <f t="shared" si="304"/>
        <v>0.3888888888888889</v>
      </c>
      <c r="T444" s="194">
        <f t="shared" si="359"/>
        <v>0.69</v>
      </c>
      <c r="U444" s="194">
        <f t="shared" si="360"/>
        <v>1.4999999999999999E-4</v>
      </c>
      <c r="V444" s="197">
        <f t="shared" si="339"/>
        <v>0.3888888888888889</v>
      </c>
      <c r="W444" s="197">
        <f t="shared" si="305"/>
        <v>4.3555555555555561E-3</v>
      </c>
      <c r="X444" s="286">
        <f t="shared" si="306"/>
        <v>1</v>
      </c>
      <c r="Y444" s="286">
        <f t="shared" si="307"/>
        <v>0.17335969315081967</v>
      </c>
      <c r="Z444" s="286">
        <f t="shared" si="308"/>
        <v>0.54964853345132902</v>
      </c>
      <c r="AA444" s="286">
        <f t="shared" si="340"/>
        <v>0.17335969315081967</v>
      </c>
      <c r="AB444" s="197">
        <f t="shared" si="309"/>
        <v>0.36419974881911377</v>
      </c>
      <c r="AC444" s="287">
        <f t="shared" si="310"/>
        <v>4.4451203372005044E-7</v>
      </c>
      <c r="AD444" s="197">
        <f t="shared" si="341"/>
        <v>11.693936048110356</v>
      </c>
      <c r="AE444" s="197">
        <f t="shared" si="342"/>
        <v>35.08180814433107</v>
      </c>
      <c r="AF444" s="197">
        <f t="shared" si="343"/>
        <v>8.5178571428571423E-2</v>
      </c>
      <c r="AG444" s="197">
        <f t="shared" si="344"/>
        <v>0.25553571428571431</v>
      </c>
      <c r="AH444" s="197">
        <f t="shared" si="311"/>
        <v>0.11660930017110901</v>
      </c>
      <c r="AI444" s="197">
        <f t="shared" si="345"/>
        <v>0.11660930017110901</v>
      </c>
      <c r="AJ444" s="218">
        <f t="shared" si="312"/>
        <v>390.00000000000006</v>
      </c>
      <c r="AK444" s="197">
        <f t="shared" si="346"/>
        <v>6.0930617977437734E-2</v>
      </c>
      <c r="AL444" s="197">
        <f t="shared" si="347"/>
        <v>9.6203707235237593E-2</v>
      </c>
      <c r="AM444" s="197">
        <f t="shared" si="348"/>
        <v>4.0790371867740751E-3</v>
      </c>
      <c r="AN444" s="197">
        <f t="shared" si="313"/>
        <v>24.05</v>
      </c>
      <c r="AO444" s="197">
        <f t="shared" si="314"/>
        <v>21.69</v>
      </c>
      <c r="AP444" s="197">
        <f t="shared" si="349"/>
        <v>7.4093290390420161E-2</v>
      </c>
      <c r="AQ444" s="197">
        <f t="shared" si="350"/>
        <v>0.42250439890466829</v>
      </c>
      <c r="AR444" s="197">
        <f t="shared" si="351"/>
        <v>0.30589509873355925</v>
      </c>
      <c r="AS444" s="258">
        <f t="shared" si="352"/>
        <v>0.15228632177729159</v>
      </c>
      <c r="AT444" s="197">
        <f t="shared" si="315"/>
        <v>2.5974058656511614E-4</v>
      </c>
      <c r="AU444" s="194">
        <f t="shared" si="316"/>
        <v>21.19</v>
      </c>
      <c r="AV444" s="197">
        <f t="shared" si="317"/>
        <v>2.7E-2</v>
      </c>
      <c r="AW444" s="197">
        <f t="shared" si="318"/>
        <v>3.4260000000000002E-3</v>
      </c>
      <c r="AX444" s="197">
        <f t="shared" si="353"/>
        <v>6.1668000000000001E-2</v>
      </c>
      <c r="AY444" s="197">
        <f t="shared" si="319"/>
        <v>2.8867476000000005E-3</v>
      </c>
      <c r="AZ444" s="197">
        <f t="shared" si="320"/>
        <v>0</v>
      </c>
      <c r="BA444" s="197">
        <f t="shared" si="354"/>
        <v>7.2596940000000013E-2</v>
      </c>
      <c r="BB444" s="258">
        <f t="shared" si="321"/>
        <v>0.36575210336206115</v>
      </c>
      <c r="BC444" s="197">
        <f t="shared" si="322"/>
        <v>2.2380490766334034E-2</v>
      </c>
      <c r="BD444" s="197">
        <f t="shared" si="355"/>
        <v>4.4760981532668068E-3</v>
      </c>
      <c r="BE444" s="197">
        <f t="shared" si="356"/>
        <v>2.6856588919600841E-2</v>
      </c>
      <c r="BF444" s="197">
        <f t="shared" si="323"/>
        <v>0.20773291256157633</v>
      </c>
      <c r="BG444" s="197">
        <f t="shared" si="324"/>
        <v>5.4608303342508187E-4</v>
      </c>
      <c r="BH444" s="197">
        <f t="shared" si="325"/>
        <v>3.5336687086656722E-2</v>
      </c>
      <c r="BI444" s="197">
        <f t="shared" si="357"/>
        <v>0.44730899017824427</v>
      </c>
      <c r="BJ444" s="197">
        <f t="shared" si="326"/>
        <v>6.769615024661003</v>
      </c>
      <c r="BK444" s="288">
        <f t="shared" si="327"/>
        <v>0.93392401361838984</v>
      </c>
      <c r="BL444" s="197">
        <f t="shared" si="328"/>
        <v>0.37608972359227794</v>
      </c>
      <c r="BM444" s="197">
        <f t="shared" si="329"/>
        <v>7.4353030976985271E-2</v>
      </c>
      <c r="BN444" s="197">
        <f t="shared" si="330"/>
        <v>54.461181858619113</v>
      </c>
      <c r="BO444" s="197">
        <f t="shared" si="358"/>
        <v>0.2082789955950014</v>
      </c>
      <c r="BP444" s="197">
        <f t="shared" si="331"/>
        <v>65.620924669625111</v>
      </c>
      <c r="BQ444" s="197">
        <f t="shared" si="332"/>
        <v>9.9596940000000009E-2</v>
      </c>
      <c r="BR444" s="288">
        <f t="shared" si="333"/>
        <v>0.16008975919012108</v>
      </c>
      <c r="BS444" s="197">
        <f t="shared" si="334"/>
        <v>0.11660930017110901</v>
      </c>
      <c r="BT444" s="197">
        <f t="shared" si="335"/>
        <v>0.36419974881911377</v>
      </c>
      <c r="BU444" s="197">
        <f t="shared" si="336"/>
        <v>0.1713930788771201</v>
      </c>
      <c r="BV444" s="197">
        <f t="shared" si="337"/>
        <v>0.53530306917875781</v>
      </c>
      <c r="BW444" s="194"/>
      <c r="BX444" s="194"/>
      <c r="BY444" s="194"/>
      <c r="BZ444" s="194"/>
      <c r="CA444" s="194"/>
      <c r="CB444" s="194"/>
      <c r="CC444" s="194"/>
      <c r="CD444" s="194"/>
      <c r="CE444" s="194"/>
      <c r="CF444" s="194"/>
      <c r="CG444" s="194"/>
      <c r="CH444" s="194"/>
      <c r="CI444" s="194"/>
      <c r="CJ444" s="194"/>
      <c r="CK444" s="194"/>
      <c r="CL444" s="194"/>
      <c r="CM444" s="194"/>
      <c r="CN444" s="194"/>
      <c r="CO444" s="194"/>
      <c r="CP444" s="194"/>
      <c r="CQ444" s="194"/>
      <c r="CR444" s="194"/>
      <c r="CS444" s="194"/>
      <c r="CT444" s="194"/>
      <c r="CU444" s="194"/>
      <c r="CV444" s="194"/>
      <c r="CW444" s="194"/>
      <c r="CX444" s="194"/>
      <c r="CY444" s="194"/>
      <c r="CZ444" s="194"/>
      <c r="DA444" s="194"/>
      <c r="DB444" s="194"/>
      <c r="DC444" s="194"/>
      <c r="DD444" s="194"/>
      <c r="DE444" s="194"/>
      <c r="DF444" s="194"/>
    </row>
    <row r="445" spans="2:110" s="192" customFormat="1" hidden="1" x14ac:dyDescent="0.35">
      <c r="B445" s="289"/>
      <c r="C445" s="289"/>
      <c r="Q445" s="193"/>
      <c r="R445" s="194">
        <f t="shared" si="338"/>
        <v>18</v>
      </c>
      <c r="S445" s="197">
        <f t="shared" si="304"/>
        <v>0.3888888888888889</v>
      </c>
      <c r="T445" s="194">
        <f t="shared" si="359"/>
        <v>0.69</v>
      </c>
      <c r="U445" s="194">
        <f t="shared" si="360"/>
        <v>1.4999999999999999E-4</v>
      </c>
      <c r="V445" s="197">
        <f t="shared" si="339"/>
        <v>0.3888888888888889</v>
      </c>
      <c r="W445" s="197">
        <f t="shared" si="305"/>
        <v>4.3555555555555561E-3</v>
      </c>
      <c r="X445" s="286">
        <f t="shared" si="306"/>
        <v>1</v>
      </c>
      <c r="Y445" s="286">
        <f t="shared" si="307"/>
        <v>0.17335969315081967</v>
      </c>
      <c r="Z445" s="286">
        <f t="shared" si="308"/>
        <v>0.54964853345132902</v>
      </c>
      <c r="AA445" s="286">
        <f t="shared" si="340"/>
        <v>0.17335969315081967</v>
      </c>
      <c r="AB445" s="197">
        <f t="shared" si="309"/>
        <v>0.36419974881911377</v>
      </c>
      <c r="AC445" s="287">
        <f t="shared" si="310"/>
        <v>4.4451203372005044E-7</v>
      </c>
      <c r="AD445" s="197">
        <f t="shared" si="341"/>
        <v>11.693936048110356</v>
      </c>
      <c r="AE445" s="197">
        <f t="shared" si="342"/>
        <v>35.08180814433107</v>
      </c>
      <c r="AF445" s="197">
        <f t="shared" si="343"/>
        <v>8.5178571428571423E-2</v>
      </c>
      <c r="AG445" s="197">
        <f t="shared" si="344"/>
        <v>0.25553571428571431</v>
      </c>
      <c r="AH445" s="197">
        <f t="shared" si="311"/>
        <v>0.11660930017110901</v>
      </c>
      <c r="AI445" s="197">
        <f t="shared" si="345"/>
        <v>0.11660930017110901</v>
      </c>
      <c r="AJ445" s="218">
        <f t="shared" si="312"/>
        <v>390.00000000000006</v>
      </c>
      <c r="AK445" s="197">
        <f t="shared" si="346"/>
        <v>6.0930617977437734E-2</v>
      </c>
      <c r="AL445" s="197">
        <f t="shared" si="347"/>
        <v>9.6203707235237593E-2</v>
      </c>
      <c r="AM445" s="197">
        <f t="shared" si="348"/>
        <v>4.0790371867740751E-3</v>
      </c>
      <c r="AN445" s="197">
        <f t="shared" si="313"/>
        <v>24.05</v>
      </c>
      <c r="AO445" s="197">
        <f t="shared" si="314"/>
        <v>21.69</v>
      </c>
      <c r="AP445" s="197">
        <f t="shared" si="349"/>
        <v>7.4093290390420161E-2</v>
      </c>
      <c r="AQ445" s="197">
        <f t="shared" si="350"/>
        <v>0.42250439890466829</v>
      </c>
      <c r="AR445" s="197">
        <f t="shared" si="351"/>
        <v>0.30589509873355925</v>
      </c>
      <c r="AS445" s="258">
        <f t="shared" si="352"/>
        <v>0.15228632177729159</v>
      </c>
      <c r="AT445" s="197">
        <f t="shared" si="315"/>
        <v>2.5974058656511614E-4</v>
      </c>
      <c r="AU445" s="194">
        <f t="shared" si="316"/>
        <v>21.19</v>
      </c>
      <c r="AV445" s="197">
        <f t="shared" si="317"/>
        <v>2.7E-2</v>
      </c>
      <c r="AW445" s="197">
        <f t="shared" si="318"/>
        <v>3.4260000000000002E-3</v>
      </c>
      <c r="AX445" s="197">
        <f t="shared" si="353"/>
        <v>6.1668000000000001E-2</v>
      </c>
      <c r="AY445" s="197">
        <f t="shared" si="319"/>
        <v>2.8867476000000005E-3</v>
      </c>
      <c r="AZ445" s="197">
        <f t="shared" si="320"/>
        <v>0</v>
      </c>
      <c r="BA445" s="197">
        <f t="shared" si="354"/>
        <v>7.2596940000000013E-2</v>
      </c>
      <c r="BB445" s="258">
        <f t="shared" si="321"/>
        <v>0.36575210336206115</v>
      </c>
      <c r="BC445" s="197">
        <f t="shared" si="322"/>
        <v>2.2380490766334034E-2</v>
      </c>
      <c r="BD445" s="197">
        <f t="shared" si="355"/>
        <v>4.4760981532668068E-3</v>
      </c>
      <c r="BE445" s="197">
        <f t="shared" si="356"/>
        <v>2.6856588919600841E-2</v>
      </c>
      <c r="BF445" s="197">
        <f t="shared" si="323"/>
        <v>0.20773291256157633</v>
      </c>
      <c r="BG445" s="197">
        <f t="shared" si="324"/>
        <v>5.4608303342508187E-4</v>
      </c>
      <c r="BH445" s="197">
        <f t="shared" si="325"/>
        <v>3.5336687086656722E-2</v>
      </c>
      <c r="BI445" s="197">
        <f t="shared" si="357"/>
        <v>0.44730899017824427</v>
      </c>
      <c r="BJ445" s="197">
        <f t="shared" si="326"/>
        <v>6.769615024661003</v>
      </c>
      <c r="BK445" s="288">
        <f t="shared" si="327"/>
        <v>0.93392401361838984</v>
      </c>
      <c r="BL445" s="197">
        <f t="shared" si="328"/>
        <v>0.37608972359227794</v>
      </c>
      <c r="BM445" s="197">
        <f t="shared" si="329"/>
        <v>7.4353030976985271E-2</v>
      </c>
      <c r="BN445" s="197">
        <f t="shared" si="330"/>
        <v>54.461181858619113</v>
      </c>
      <c r="BO445" s="197">
        <f t="shared" si="358"/>
        <v>0.2082789955950014</v>
      </c>
      <c r="BP445" s="197">
        <f t="shared" si="331"/>
        <v>65.620924669625111</v>
      </c>
      <c r="BQ445" s="197">
        <f t="shared" si="332"/>
        <v>9.9596940000000009E-2</v>
      </c>
      <c r="BR445" s="288">
        <f t="shared" si="333"/>
        <v>0.16008975919012108</v>
      </c>
      <c r="BS445" s="197">
        <f t="shared" si="334"/>
        <v>0.11660930017110901</v>
      </c>
      <c r="BT445" s="197">
        <f t="shared" si="335"/>
        <v>0.36419974881911377</v>
      </c>
      <c r="BU445" s="197">
        <f t="shared" si="336"/>
        <v>0.1713930788771201</v>
      </c>
      <c r="BV445" s="197">
        <f t="shared" si="337"/>
        <v>0.53530306917875781</v>
      </c>
      <c r="BW445" s="194"/>
      <c r="BX445" s="194"/>
      <c r="BY445" s="194"/>
      <c r="BZ445" s="194"/>
      <c r="CA445" s="194"/>
      <c r="CB445" s="194"/>
      <c r="CC445" s="194"/>
      <c r="CD445" s="194"/>
      <c r="CE445" s="194"/>
      <c r="CF445" s="194"/>
      <c r="CG445" s="194"/>
      <c r="CH445" s="194"/>
      <c r="CI445" s="194"/>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row>
    <row r="446" spans="2:110" s="192" customFormat="1" hidden="1" x14ac:dyDescent="0.35">
      <c r="B446" s="289"/>
      <c r="C446" s="289"/>
      <c r="Q446" s="193"/>
      <c r="R446" s="194">
        <f t="shared" si="338"/>
        <v>18</v>
      </c>
      <c r="S446" s="197">
        <f t="shared" si="304"/>
        <v>0.3888888888888889</v>
      </c>
      <c r="T446" s="194">
        <f t="shared" si="359"/>
        <v>0.69</v>
      </c>
      <c r="U446" s="194">
        <f t="shared" si="360"/>
        <v>1.4999999999999999E-4</v>
      </c>
      <c r="V446" s="197">
        <f t="shared" si="339"/>
        <v>0.3888888888888889</v>
      </c>
      <c r="W446" s="197">
        <f t="shared" si="305"/>
        <v>4.3555555555555561E-3</v>
      </c>
      <c r="X446" s="286">
        <f t="shared" si="306"/>
        <v>1</v>
      </c>
      <c r="Y446" s="286">
        <f t="shared" si="307"/>
        <v>0.17335969315081967</v>
      </c>
      <c r="Z446" s="286">
        <f t="shared" si="308"/>
        <v>0.54964853345132902</v>
      </c>
      <c r="AA446" s="286">
        <f t="shared" si="340"/>
        <v>0.17335969315081967</v>
      </c>
      <c r="AB446" s="197">
        <f t="shared" si="309"/>
        <v>0.36419974881911377</v>
      </c>
      <c r="AC446" s="287">
        <f t="shared" si="310"/>
        <v>4.4451203372005044E-7</v>
      </c>
      <c r="AD446" s="197">
        <f t="shared" si="341"/>
        <v>11.693936048110356</v>
      </c>
      <c r="AE446" s="197">
        <f t="shared" si="342"/>
        <v>35.08180814433107</v>
      </c>
      <c r="AF446" s="197">
        <f t="shared" si="343"/>
        <v>8.5178571428571423E-2</v>
      </c>
      <c r="AG446" s="197">
        <f t="shared" si="344"/>
        <v>0.25553571428571431</v>
      </c>
      <c r="AH446" s="197">
        <f t="shared" si="311"/>
        <v>0.11660930017110901</v>
      </c>
      <c r="AI446" s="197">
        <f t="shared" si="345"/>
        <v>0.11660930017110901</v>
      </c>
      <c r="AJ446" s="218">
        <f t="shared" si="312"/>
        <v>390.00000000000006</v>
      </c>
      <c r="AK446" s="197">
        <f t="shared" si="346"/>
        <v>6.0930617977437734E-2</v>
      </c>
      <c r="AL446" s="197">
        <f t="shared" si="347"/>
        <v>9.6203707235237593E-2</v>
      </c>
      <c r="AM446" s="197">
        <f t="shared" si="348"/>
        <v>4.0790371867740751E-3</v>
      </c>
      <c r="AN446" s="197">
        <f t="shared" si="313"/>
        <v>24.05</v>
      </c>
      <c r="AO446" s="197">
        <f t="shared" si="314"/>
        <v>21.69</v>
      </c>
      <c r="AP446" s="197">
        <f t="shared" si="349"/>
        <v>7.4093290390420161E-2</v>
      </c>
      <c r="AQ446" s="197">
        <f t="shared" si="350"/>
        <v>0.42250439890466829</v>
      </c>
      <c r="AR446" s="197">
        <f t="shared" si="351"/>
        <v>0.30589509873355925</v>
      </c>
      <c r="AS446" s="258">
        <f t="shared" si="352"/>
        <v>0.15228632177729159</v>
      </c>
      <c r="AT446" s="197">
        <f t="shared" si="315"/>
        <v>2.5974058656511614E-4</v>
      </c>
      <c r="AU446" s="194">
        <f t="shared" si="316"/>
        <v>21.19</v>
      </c>
      <c r="AV446" s="197">
        <f t="shared" si="317"/>
        <v>2.7E-2</v>
      </c>
      <c r="AW446" s="197">
        <f t="shared" si="318"/>
        <v>3.4260000000000002E-3</v>
      </c>
      <c r="AX446" s="197">
        <f t="shared" si="353"/>
        <v>6.1668000000000001E-2</v>
      </c>
      <c r="AY446" s="197">
        <f t="shared" si="319"/>
        <v>2.8867476000000005E-3</v>
      </c>
      <c r="AZ446" s="197">
        <f t="shared" si="320"/>
        <v>0</v>
      </c>
      <c r="BA446" s="197">
        <f t="shared" si="354"/>
        <v>7.2596940000000013E-2</v>
      </c>
      <c r="BB446" s="258">
        <f t="shared" si="321"/>
        <v>0.36575210336206115</v>
      </c>
      <c r="BC446" s="197">
        <f t="shared" si="322"/>
        <v>2.2380490766334034E-2</v>
      </c>
      <c r="BD446" s="197">
        <f t="shared" si="355"/>
        <v>4.4760981532668068E-3</v>
      </c>
      <c r="BE446" s="197">
        <f t="shared" si="356"/>
        <v>2.6856588919600841E-2</v>
      </c>
      <c r="BF446" s="197">
        <f t="shared" si="323"/>
        <v>0.20773291256157633</v>
      </c>
      <c r="BG446" s="197">
        <f t="shared" si="324"/>
        <v>5.4608303342508187E-4</v>
      </c>
      <c r="BH446" s="197">
        <f t="shared" si="325"/>
        <v>3.5336687086656722E-2</v>
      </c>
      <c r="BI446" s="197">
        <f t="shared" si="357"/>
        <v>0.44730899017824427</v>
      </c>
      <c r="BJ446" s="197">
        <f t="shared" si="326"/>
        <v>6.769615024661003</v>
      </c>
      <c r="BK446" s="288">
        <f t="shared" si="327"/>
        <v>0.93392401361838984</v>
      </c>
      <c r="BL446" s="197">
        <f t="shared" si="328"/>
        <v>0.37608972359227794</v>
      </c>
      <c r="BM446" s="197">
        <f t="shared" si="329"/>
        <v>7.4353030976985271E-2</v>
      </c>
      <c r="BN446" s="197">
        <f t="shared" si="330"/>
        <v>54.461181858619113</v>
      </c>
      <c r="BO446" s="197">
        <f t="shared" si="358"/>
        <v>0.2082789955950014</v>
      </c>
      <c r="BP446" s="197">
        <f t="shared" si="331"/>
        <v>65.620924669625111</v>
      </c>
      <c r="BQ446" s="197">
        <f t="shared" si="332"/>
        <v>9.9596940000000009E-2</v>
      </c>
      <c r="BR446" s="288">
        <f t="shared" si="333"/>
        <v>0.16008975919012108</v>
      </c>
      <c r="BS446" s="197">
        <f t="shared" si="334"/>
        <v>0.11660930017110901</v>
      </c>
      <c r="BT446" s="197">
        <f t="shared" si="335"/>
        <v>0.36419974881911377</v>
      </c>
      <c r="BU446" s="197">
        <f t="shared" si="336"/>
        <v>0.1713930788771201</v>
      </c>
      <c r="BV446" s="197">
        <f t="shared" si="337"/>
        <v>0.53530306917875781</v>
      </c>
      <c r="BW446" s="194"/>
      <c r="BX446" s="194"/>
      <c r="BY446" s="194"/>
      <c r="BZ446" s="194"/>
      <c r="CA446" s="194"/>
      <c r="CB446" s="194"/>
      <c r="CC446" s="194"/>
      <c r="CD446" s="194"/>
      <c r="CE446" s="194"/>
      <c r="CF446" s="194"/>
      <c r="CG446" s="194"/>
      <c r="CH446" s="194"/>
      <c r="CI446" s="194"/>
      <c r="CJ446" s="194"/>
      <c r="CK446" s="194"/>
      <c r="CL446" s="194"/>
      <c r="CM446" s="194"/>
      <c r="CN446" s="194"/>
      <c r="CO446" s="194"/>
      <c r="CP446" s="194"/>
      <c r="CQ446" s="194"/>
      <c r="CR446" s="194"/>
      <c r="CS446" s="194"/>
      <c r="CT446" s="194"/>
      <c r="CU446" s="194"/>
      <c r="CV446" s="194"/>
      <c r="CW446" s="194"/>
      <c r="CX446" s="194"/>
      <c r="CY446" s="194"/>
      <c r="CZ446" s="194"/>
      <c r="DA446" s="194"/>
      <c r="DB446" s="194"/>
      <c r="DC446" s="194"/>
      <c r="DD446" s="194"/>
      <c r="DE446" s="194"/>
      <c r="DF446" s="194"/>
    </row>
    <row r="447" spans="2:110" s="192" customFormat="1" hidden="1" x14ac:dyDescent="0.35">
      <c r="B447" s="289"/>
      <c r="C447" s="289"/>
      <c r="Q447" s="193"/>
      <c r="R447" s="194">
        <f t="shared" si="338"/>
        <v>18</v>
      </c>
      <c r="S447" s="197">
        <f t="shared" si="304"/>
        <v>0.3888888888888889</v>
      </c>
      <c r="T447" s="194">
        <f t="shared" si="359"/>
        <v>0.69</v>
      </c>
      <c r="U447" s="194">
        <f t="shared" si="360"/>
        <v>1.4999999999999999E-4</v>
      </c>
      <c r="V447" s="197">
        <f t="shared" si="339"/>
        <v>0.3888888888888889</v>
      </c>
      <c r="W447" s="197">
        <f t="shared" si="305"/>
        <v>4.3555555555555561E-3</v>
      </c>
      <c r="X447" s="286">
        <f t="shared" si="306"/>
        <v>1</v>
      </c>
      <c r="Y447" s="286">
        <f t="shared" si="307"/>
        <v>0.17335969315081967</v>
      </c>
      <c r="Z447" s="286">
        <f t="shared" si="308"/>
        <v>0.54964853345132902</v>
      </c>
      <c r="AA447" s="286">
        <f t="shared" si="340"/>
        <v>0.17335969315081967</v>
      </c>
      <c r="AB447" s="197">
        <f t="shared" si="309"/>
        <v>0.36419974881911377</v>
      </c>
      <c r="AC447" s="287">
        <f t="shared" si="310"/>
        <v>4.4451203372005044E-7</v>
      </c>
      <c r="AD447" s="197">
        <f t="shared" si="341"/>
        <v>11.693936048110356</v>
      </c>
      <c r="AE447" s="197">
        <f t="shared" si="342"/>
        <v>35.08180814433107</v>
      </c>
      <c r="AF447" s="197">
        <f t="shared" si="343"/>
        <v>8.5178571428571423E-2</v>
      </c>
      <c r="AG447" s="197">
        <f t="shared" si="344"/>
        <v>0.25553571428571431</v>
      </c>
      <c r="AH447" s="197">
        <f t="shared" si="311"/>
        <v>0.11660930017110901</v>
      </c>
      <c r="AI447" s="197">
        <f t="shared" si="345"/>
        <v>0.11660930017110901</v>
      </c>
      <c r="AJ447" s="218">
        <f t="shared" si="312"/>
        <v>390.00000000000006</v>
      </c>
      <c r="AK447" s="197">
        <f t="shared" si="346"/>
        <v>6.0930617977437734E-2</v>
      </c>
      <c r="AL447" s="197">
        <f t="shared" si="347"/>
        <v>9.6203707235237593E-2</v>
      </c>
      <c r="AM447" s="197">
        <f t="shared" si="348"/>
        <v>4.0790371867740751E-3</v>
      </c>
      <c r="AN447" s="197">
        <f t="shared" si="313"/>
        <v>24.05</v>
      </c>
      <c r="AO447" s="197">
        <f t="shared" si="314"/>
        <v>21.69</v>
      </c>
      <c r="AP447" s="197">
        <f t="shared" si="349"/>
        <v>7.4093290390420161E-2</v>
      </c>
      <c r="AQ447" s="197">
        <f t="shared" si="350"/>
        <v>0.42250439890466829</v>
      </c>
      <c r="AR447" s="197">
        <f t="shared" si="351"/>
        <v>0.30589509873355925</v>
      </c>
      <c r="AS447" s="258">
        <f t="shared" si="352"/>
        <v>0.15228632177729159</v>
      </c>
      <c r="AT447" s="197">
        <f t="shared" si="315"/>
        <v>2.5974058656511614E-4</v>
      </c>
      <c r="AU447" s="194">
        <f t="shared" si="316"/>
        <v>21.19</v>
      </c>
      <c r="AV447" s="197">
        <f t="shared" si="317"/>
        <v>2.7E-2</v>
      </c>
      <c r="AW447" s="197">
        <f t="shared" si="318"/>
        <v>3.4260000000000002E-3</v>
      </c>
      <c r="AX447" s="197">
        <f t="shared" si="353"/>
        <v>6.1668000000000001E-2</v>
      </c>
      <c r="AY447" s="197">
        <f t="shared" si="319"/>
        <v>2.8867476000000005E-3</v>
      </c>
      <c r="AZ447" s="197">
        <f t="shared" si="320"/>
        <v>0</v>
      </c>
      <c r="BA447" s="197">
        <f t="shared" si="354"/>
        <v>7.2596940000000013E-2</v>
      </c>
      <c r="BB447" s="258">
        <f t="shared" si="321"/>
        <v>0.36575210336206115</v>
      </c>
      <c r="BC447" s="197">
        <f t="shared" si="322"/>
        <v>2.2380490766334034E-2</v>
      </c>
      <c r="BD447" s="197">
        <f t="shared" si="355"/>
        <v>4.4760981532668068E-3</v>
      </c>
      <c r="BE447" s="197">
        <f t="shared" si="356"/>
        <v>2.6856588919600841E-2</v>
      </c>
      <c r="BF447" s="197">
        <f t="shared" si="323"/>
        <v>0.20773291256157633</v>
      </c>
      <c r="BG447" s="197">
        <f t="shared" si="324"/>
        <v>5.4608303342508187E-4</v>
      </c>
      <c r="BH447" s="197">
        <f t="shared" si="325"/>
        <v>3.5336687086656722E-2</v>
      </c>
      <c r="BI447" s="197">
        <f t="shared" si="357"/>
        <v>0.44730899017824427</v>
      </c>
      <c r="BJ447" s="197">
        <f t="shared" si="326"/>
        <v>6.769615024661003</v>
      </c>
      <c r="BK447" s="288">
        <f t="shared" si="327"/>
        <v>0.93392401361838984</v>
      </c>
      <c r="BL447" s="197">
        <f t="shared" si="328"/>
        <v>0.37608972359227794</v>
      </c>
      <c r="BM447" s="197">
        <f t="shared" si="329"/>
        <v>7.4353030976985271E-2</v>
      </c>
      <c r="BN447" s="197">
        <f t="shared" si="330"/>
        <v>54.461181858619113</v>
      </c>
      <c r="BO447" s="197">
        <f t="shared" si="358"/>
        <v>0.2082789955950014</v>
      </c>
      <c r="BP447" s="197">
        <f t="shared" si="331"/>
        <v>65.620924669625111</v>
      </c>
      <c r="BQ447" s="197">
        <f t="shared" si="332"/>
        <v>9.9596940000000009E-2</v>
      </c>
      <c r="BR447" s="288">
        <f t="shared" si="333"/>
        <v>0.16008975919012108</v>
      </c>
      <c r="BS447" s="197">
        <f t="shared" si="334"/>
        <v>0.11660930017110901</v>
      </c>
      <c r="BT447" s="197">
        <f t="shared" si="335"/>
        <v>0.36419974881911377</v>
      </c>
      <c r="BU447" s="197">
        <f t="shared" si="336"/>
        <v>0.1713930788771201</v>
      </c>
      <c r="BV447" s="197">
        <f t="shared" si="337"/>
        <v>0.53530306917875781</v>
      </c>
      <c r="BW447" s="194"/>
      <c r="BX447" s="194"/>
      <c r="BY447" s="194"/>
      <c r="BZ447" s="194"/>
      <c r="CA447" s="194"/>
      <c r="CB447" s="194"/>
      <c r="CC447" s="194"/>
      <c r="CD447" s="194"/>
      <c r="CE447" s="194"/>
      <c r="CF447" s="194"/>
      <c r="CG447" s="194"/>
      <c r="CH447" s="194"/>
      <c r="CI447" s="194"/>
      <c r="CJ447" s="194"/>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row>
    <row r="448" spans="2:110" s="192" customFormat="1" hidden="1" x14ac:dyDescent="0.35">
      <c r="B448" s="289"/>
      <c r="C448" s="289"/>
      <c r="Q448" s="193"/>
      <c r="R448" s="194">
        <f t="shared" si="338"/>
        <v>18</v>
      </c>
      <c r="S448" s="197">
        <f t="shared" si="304"/>
        <v>0.3888888888888889</v>
      </c>
      <c r="T448" s="194">
        <f t="shared" si="359"/>
        <v>0.69</v>
      </c>
      <c r="U448" s="194">
        <f t="shared" si="360"/>
        <v>1.4999999999999999E-4</v>
      </c>
      <c r="V448" s="197">
        <f t="shared" si="339"/>
        <v>0.3888888888888889</v>
      </c>
      <c r="W448" s="197">
        <f t="shared" si="305"/>
        <v>4.3555555555555561E-3</v>
      </c>
      <c r="X448" s="286">
        <f t="shared" si="306"/>
        <v>1</v>
      </c>
      <c r="Y448" s="286">
        <f t="shared" si="307"/>
        <v>0.17335969315081967</v>
      </c>
      <c r="Z448" s="286">
        <f t="shared" si="308"/>
        <v>0.54964853345132902</v>
      </c>
      <c r="AA448" s="286">
        <f t="shared" si="340"/>
        <v>0.17335969315081967</v>
      </c>
      <c r="AB448" s="197">
        <f t="shared" si="309"/>
        <v>0.36419974881911377</v>
      </c>
      <c r="AC448" s="287">
        <f t="shared" si="310"/>
        <v>4.4451203372005044E-7</v>
      </c>
      <c r="AD448" s="197">
        <f t="shared" si="341"/>
        <v>11.693936048110356</v>
      </c>
      <c r="AE448" s="197">
        <f t="shared" si="342"/>
        <v>35.08180814433107</v>
      </c>
      <c r="AF448" s="197">
        <f t="shared" si="343"/>
        <v>8.5178571428571423E-2</v>
      </c>
      <c r="AG448" s="197">
        <f t="shared" si="344"/>
        <v>0.25553571428571431</v>
      </c>
      <c r="AH448" s="197">
        <f t="shared" si="311"/>
        <v>0.11660930017110901</v>
      </c>
      <c r="AI448" s="197">
        <f t="shared" si="345"/>
        <v>0.11660930017110901</v>
      </c>
      <c r="AJ448" s="218">
        <f t="shared" si="312"/>
        <v>390.00000000000006</v>
      </c>
      <c r="AK448" s="197">
        <f t="shared" si="346"/>
        <v>6.0930617977437734E-2</v>
      </c>
      <c r="AL448" s="197">
        <f t="shared" si="347"/>
        <v>9.6203707235237593E-2</v>
      </c>
      <c r="AM448" s="197">
        <f t="shared" si="348"/>
        <v>4.0790371867740751E-3</v>
      </c>
      <c r="AN448" s="197">
        <f t="shared" si="313"/>
        <v>24.05</v>
      </c>
      <c r="AO448" s="197">
        <f t="shared" si="314"/>
        <v>21.69</v>
      </c>
      <c r="AP448" s="197">
        <f t="shared" si="349"/>
        <v>7.4093290390420161E-2</v>
      </c>
      <c r="AQ448" s="197">
        <f t="shared" si="350"/>
        <v>0.42250439890466829</v>
      </c>
      <c r="AR448" s="197">
        <f t="shared" si="351"/>
        <v>0.30589509873355925</v>
      </c>
      <c r="AS448" s="258">
        <f t="shared" si="352"/>
        <v>0.15228632177729159</v>
      </c>
      <c r="AT448" s="197">
        <f t="shared" si="315"/>
        <v>2.5974058656511614E-4</v>
      </c>
      <c r="AU448" s="194">
        <f t="shared" si="316"/>
        <v>21.19</v>
      </c>
      <c r="AV448" s="197">
        <f t="shared" si="317"/>
        <v>2.7E-2</v>
      </c>
      <c r="AW448" s="197">
        <f t="shared" si="318"/>
        <v>3.4260000000000002E-3</v>
      </c>
      <c r="AX448" s="197">
        <f t="shared" si="353"/>
        <v>6.1668000000000001E-2</v>
      </c>
      <c r="AY448" s="197">
        <f t="shared" si="319"/>
        <v>2.8867476000000005E-3</v>
      </c>
      <c r="AZ448" s="197">
        <f t="shared" si="320"/>
        <v>0</v>
      </c>
      <c r="BA448" s="197">
        <f t="shared" si="354"/>
        <v>7.2596940000000013E-2</v>
      </c>
      <c r="BB448" s="258">
        <f t="shared" si="321"/>
        <v>0.36575210336206115</v>
      </c>
      <c r="BC448" s="197">
        <f t="shared" si="322"/>
        <v>2.2380490766334034E-2</v>
      </c>
      <c r="BD448" s="197">
        <f t="shared" si="355"/>
        <v>4.4760981532668068E-3</v>
      </c>
      <c r="BE448" s="197">
        <f t="shared" si="356"/>
        <v>2.6856588919600841E-2</v>
      </c>
      <c r="BF448" s="197">
        <f t="shared" si="323"/>
        <v>0.20773291256157633</v>
      </c>
      <c r="BG448" s="197">
        <f t="shared" si="324"/>
        <v>5.4608303342508187E-4</v>
      </c>
      <c r="BH448" s="197">
        <f t="shared" si="325"/>
        <v>3.5336687086656722E-2</v>
      </c>
      <c r="BI448" s="197">
        <f t="shared" si="357"/>
        <v>0.44730899017824427</v>
      </c>
      <c r="BJ448" s="197">
        <f t="shared" si="326"/>
        <v>6.769615024661003</v>
      </c>
      <c r="BK448" s="288">
        <f t="shared" si="327"/>
        <v>0.93392401361838984</v>
      </c>
      <c r="BL448" s="197">
        <f t="shared" si="328"/>
        <v>0.37608972359227794</v>
      </c>
      <c r="BM448" s="197">
        <f t="shared" si="329"/>
        <v>7.4353030976985271E-2</v>
      </c>
      <c r="BN448" s="197">
        <f t="shared" si="330"/>
        <v>54.461181858619113</v>
      </c>
      <c r="BO448" s="197">
        <f t="shared" si="358"/>
        <v>0.2082789955950014</v>
      </c>
      <c r="BP448" s="197">
        <f t="shared" si="331"/>
        <v>65.620924669625111</v>
      </c>
      <c r="BQ448" s="197">
        <f t="shared" si="332"/>
        <v>9.9596940000000009E-2</v>
      </c>
      <c r="BR448" s="288">
        <f t="shared" si="333"/>
        <v>0.16008975919012108</v>
      </c>
      <c r="BS448" s="197">
        <f t="shared" si="334"/>
        <v>0.11660930017110901</v>
      </c>
      <c r="BT448" s="197">
        <f t="shared" si="335"/>
        <v>0.36419974881911377</v>
      </c>
      <c r="BU448" s="197">
        <f t="shared" si="336"/>
        <v>0.1713930788771201</v>
      </c>
      <c r="BV448" s="197">
        <f t="shared" si="337"/>
        <v>0.53530306917875781</v>
      </c>
      <c r="BW448" s="194"/>
      <c r="BX448" s="194"/>
      <c r="BY448" s="194"/>
      <c r="BZ448" s="194"/>
      <c r="CA448" s="194"/>
      <c r="CB448" s="194"/>
      <c r="CC448" s="194"/>
      <c r="CD448" s="194"/>
      <c r="CE448" s="194"/>
      <c r="CF448" s="194"/>
      <c r="CG448" s="194"/>
      <c r="CH448" s="194"/>
      <c r="CI448" s="194"/>
      <c r="CJ448" s="194"/>
      <c r="CK448" s="194"/>
      <c r="CL448" s="194"/>
      <c r="CM448" s="194"/>
      <c r="CN448" s="194"/>
      <c r="CO448" s="194"/>
      <c r="CP448" s="194"/>
      <c r="CQ448" s="194"/>
      <c r="CR448" s="194"/>
      <c r="CS448" s="194"/>
      <c r="CT448" s="194"/>
      <c r="CU448" s="194"/>
      <c r="CV448" s="194"/>
      <c r="CW448" s="194"/>
      <c r="CX448" s="194"/>
      <c r="CY448" s="194"/>
      <c r="CZ448" s="194"/>
      <c r="DA448" s="194"/>
      <c r="DB448" s="194"/>
      <c r="DC448" s="194"/>
      <c r="DD448" s="194"/>
      <c r="DE448" s="194"/>
      <c r="DF448" s="194"/>
    </row>
    <row r="449" spans="2:110" s="192" customFormat="1" hidden="1" x14ac:dyDescent="0.35">
      <c r="B449" s="289"/>
      <c r="C449" s="289"/>
      <c r="Q449" s="193"/>
      <c r="R449" s="194">
        <f t="shared" si="338"/>
        <v>18</v>
      </c>
      <c r="S449" s="197">
        <f t="shared" si="304"/>
        <v>0.3888888888888889</v>
      </c>
      <c r="T449" s="194">
        <f t="shared" si="359"/>
        <v>0.69</v>
      </c>
      <c r="U449" s="194">
        <f t="shared" si="360"/>
        <v>1.4999999999999999E-4</v>
      </c>
      <c r="V449" s="197">
        <f t="shared" si="339"/>
        <v>0.3888888888888889</v>
      </c>
      <c r="W449" s="197">
        <f t="shared" si="305"/>
        <v>4.3555555555555561E-3</v>
      </c>
      <c r="X449" s="286">
        <f t="shared" si="306"/>
        <v>1</v>
      </c>
      <c r="Y449" s="286">
        <f t="shared" si="307"/>
        <v>0.17335969315081967</v>
      </c>
      <c r="Z449" s="286">
        <f t="shared" si="308"/>
        <v>0.54964853345132902</v>
      </c>
      <c r="AA449" s="286">
        <f t="shared" si="340"/>
        <v>0.17335969315081967</v>
      </c>
      <c r="AB449" s="197">
        <f t="shared" si="309"/>
        <v>0.36419974881911377</v>
      </c>
      <c r="AC449" s="287">
        <f t="shared" si="310"/>
        <v>4.4451203372005044E-7</v>
      </c>
      <c r="AD449" s="197">
        <f t="shared" si="341"/>
        <v>11.693936048110356</v>
      </c>
      <c r="AE449" s="197">
        <f t="shared" si="342"/>
        <v>35.08180814433107</v>
      </c>
      <c r="AF449" s="197">
        <f t="shared" si="343"/>
        <v>8.5178571428571423E-2</v>
      </c>
      <c r="AG449" s="197">
        <f t="shared" si="344"/>
        <v>0.25553571428571431</v>
      </c>
      <c r="AH449" s="197">
        <f t="shared" si="311"/>
        <v>0.11660930017110901</v>
      </c>
      <c r="AI449" s="197">
        <f t="shared" si="345"/>
        <v>0.11660930017110901</v>
      </c>
      <c r="AJ449" s="218">
        <f t="shared" si="312"/>
        <v>390.00000000000006</v>
      </c>
      <c r="AK449" s="197">
        <f t="shared" si="346"/>
        <v>6.0930617977437734E-2</v>
      </c>
      <c r="AL449" s="197">
        <f t="shared" si="347"/>
        <v>9.6203707235237593E-2</v>
      </c>
      <c r="AM449" s="197">
        <f t="shared" si="348"/>
        <v>4.0790371867740751E-3</v>
      </c>
      <c r="AN449" s="197">
        <f t="shared" si="313"/>
        <v>24.05</v>
      </c>
      <c r="AO449" s="197">
        <f t="shared" si="314"/>
        <v>21.69</v>
      </c>
      <c r="AP449" s="197">
        <f t="shared" si="349"/>
        <v>7.4093290390420161E-2</v>
      </c>
      <c r="AQ449" s="197">
        <f t="shared" si="350"/>
        <v>0.42250439890466829</v>
      </c>
      <c r="AR449" s="197">
        <f t="shared" si="351"/>
        <v>0.30589509873355925</v>
      </c>
      <c r="AS449" s="258">
        <f t="shared" si="352"/>
        <v>0.15228632177729159</v>
      </c>
      <c r="AT449" s="197">
        <f t="shared" si="315"/>
        <v>2.5974058656511614E-4</v>
      </c>
      <c r="AU449" s="194">
        <f t="shared" si="316"/>
        <v>21.19</v>
      </c>
      <c r="AV449" s="197">
        <f t="shared" si="317"/>
        <v>2.7E-2</v>
      </c>
      <c r="AW449" s="197">
        <f t="shared" si="318"/>
        <v>3.4260000000000002E-3</v>
      </c>
      <c r="AX449" s="197">
        <f t="shared" si="353"/>
        <v>6.1668000000000001E-2</v>
      </c>
      <c r="AY449" s="197">
        <f t="shared" si="319"/>
        <v>2.8867476000000005E-3</v>
      </c>
      <c r="AZ449" s="197">
        <f t="shared" si="320"/>
        <v>0</v>
      </c>
      <c r="BA449" s="197">
        <f t="shared" si="354"/>
        <v>7.2596940000000013E-2</v>
      </c>
      <c r="BB449" s="258">
        <f t="shared" si="321"/>
        <v>0.36575210336206115</v>
      </c>
      <c r="BC449" s="197">
        <f t="shared" si="322"/>
        <v>2.2380490766334034E-2</v>
      </c>
      <c r="BD449" s="197">
        <f t="shared" si="355"/>
        <v>4.4760981532668068E-3</v>
      </c>
      <c r="BE449" s="197">
        <f t="shared" si="356"/>
        <v>2.6856588919600841E-2</v>
      </c>
      <c r="BF449" s="197">
        <f t="shared" si="323"/>
        <v>0.20773291256157633</v>
      </c>
      <c r="BG449" s="197">
        <f t="shared" si="324"/>
        <v>5.4608303342508187E-4</v>
      </c>
      <c r="BH449" s="197">
        <f t="shared" si="325"/>
        <v>3.5336687086656722E-2</v>
      </c>
      <c r="BI449" s="197">
        <f t="shared" si="357"/>
        <v>0.44730899017824427</v>
      </c>
      <c r="BJ449" s="197">
        <f t="shared" si="326"/>
        <v>6.769615024661003</v>
      </c>
      <c r="BK449" s="288">
        <f t="shared" si="327"/>
        <v>0.93392401361838984</v>
      </c>
      <c r="BL449" s="197">
        <f t="shared" si="328"/>
        <v>0.37608972359227794</v>
      </c>
      <c r="BM449" s="197">
        <f t="shared" si="329"/>
        <v>7.4353030976985271E-2</v>
      </c>
      <c r="BN449" s="197">
        <f t="shared" si="330"/>
        <v>54.461181858619113</v>
      </c>
      <c r="BO449" s="197">
        <f t="shared" si="358"/>
        <v>0.2082789955950014</v>
      </c>
      <c r="BP449" s="197">
        <f t="shared" si="331"/>
        <v>65.620924669625111</v>
      </c>
      <c r="BQ449" s="197">
        <f t="shared" si="332"/>
        <v>9.9596940000000009E-2</v>
      </c>
      <c r="BR449" s="288">
        <f t="shared" si="333"/>
        <v>0.16008975919012108</v>
      </c>
      <c r="BS449" s="197">
        <f t="shared" si="334"/>
        <v>0.11660930017110901</v>
      </c>
      <c r="BT449" s="197">
        <f t="shared" si="335"/>
        <v>0.36419974881911377</v>
      </c>
      <c r="BU449" s="197">
        <f t="shared" si="336"/>
        <v>0.1713930788771201</v>
      </c>
      <c r="BV449" s="197">
        <f t="shared" si="337"/>
        <v>0.53530306917875781</v>
      </c>
      <c r="BW449" s="194"/>
      <c r="BX449" s="194"/>
      <c r="BY449" s="194"/>
      <c r="BZ449" s="194"/>
      <c r="CA449" s="194"/>
      <c r="CB449" s="194"/>
      <c r="CC449" s="194"/>
      <c r="CD449" s="194"/>
      <c r="CE449" s="194"/>
      <c r="CF449" s="194"/>
      <c r="CG449" s="194"/>
      <c r="CH449" s="194"/>
      <c r="CI449" s="194"/>
      <c r="CJ449" s="194"/>
      <c r="CK449" s="194"/>
      <c r="CL449" s="194"/>
      <c r="CM449" s="194"/>
      <c r="CN449" s="194"/>
      <c r="CO449" s="194"/>
      <c r="CP449" s="194"/>
      <c r="CQ449" s="194"/>
      <c r="CR449" s="194"/>
      <c r="CS449" s="194"/>
      <c r="CT449" s="194"/>
      <c r="CU449" s="194"/>
      <c r="CV449" s="194"/>
      <c r="CW449" s="194"/>
      <c r="CX449" s="194"/>
      <c r="CY449" s="194"/>
      <c r="CZ449" s="194"/>
      <c r="DA449" s="194"/>
      <c r="DB449" s="194"/>
      <c r="DC449" s="194"/>
      <c r="DD449" s="194"/>
      <c r="DE449" s="194"/>
      <c r="DF449" s="194"/>
    </row>
    <row r="450" spans="2:110" s="192" customFormat="1" hidden="1" x14ac:dyDescent="0.35">
      <c r="B450" s="289"/>
      <c r="C450" s="289"/>
      <c r="Q450" s="193"/>
      <c r="R450" s="194">
        <f t="shared" si="338"/>
        <v>18</v>
      </c>
      <c r="S450" s="197">
        <f t="shared" si="304"/>
        <v>0.3888888888888889</v>
      </c>
      <c r="T450" s="194">
        <f t="shared" si="359"/>
        <v>0.69</v>
      </c>
      <c r="U450" s="194">
        <f t="shared" si="360"/>
        <v>1.4999999999999999E-4</v>
      </c>
      <c r="V450" s="197">
        <f t="shared" si="339"/>
        <v>0.3888888888888889</v>
      </c>
      <c r="W450" s="197">
        <f t="shared" si="305"/>
        <v>4.3555555555555561E-3</v>
      </c>
      <c r="X450" s="286">
        <f t="shared" si="306"/>
        <v>1</v>
      </c>
      <c r="Y450" s="286">
        <f t="shared" si="307"/>
        <v>0.17335969315081967</v>
      </c>
      <c r="Z450" s="286">
        <f t="shared" si="308"/>
        <v>0.54964853345132902</v>
      </c>
      <c r="AA450" s="286">
        <f t="shared" si="340"/>
        <v>0.17335969315081967</v>
      </c>
      <c r="AB450" s="197">
        <f t="shared" si="309"/>
        <v>0.36419974881911377</v>
      </c>
      <c r="AC450" s="287">
        <f t="shared" si="310"/>
        <v>4.4451203372005044E-7</v>
      </c>
      <c r="AD450" s="197">
        <f t="shared" si="341"/>
        <v>11.693936048110356</v>
      </c>
      <c r="AE450" s="197">
        <f t="shared" si="342"/>
        <v>35.08180814433107</v>
      </c>
      <c r="AF450" s="197">
        <f t="shared" si="343"/>
        <v>8.5178571428571423E-2</v>
      </c>
      <c r="AG450" s="197">
        <f t="shared" si="344"/>
        <v>0.25553571428571431</v>
      </c>
      <c r="AH450" s="197">
        <f t="shared" si="311"/>
        <v>0.11660930017110901</v>
      </c>
      <c r="AI450" s="197">
        <f t="shared" si="345"/>
        <v>0.11660930017110901</v>
      </c>
      <c r="AJ450" s="218">
        <f t="shared" si="312"/>
        <v>390.00000000000006</v>
      </c>
      <c r="AK450" s="197">
        <f t="shared" si="346"/>
        <v>6.0930617977437734E-2</v>
      </c>
      <c r="AL450" s="197">
        <f t="shared" si="347"/>
        <v>9.6203707235237593E-2</v>
      </c>
      <c r="AM450" s="197">
        <f t="shared" si="348"/>
        <v>4.0790371867740751E-3</v>
      </c>
      <c r="AN450" s="197">
        <f t="shared" si="313"/>
        <v>24.05</v>
      </c>
      <c r="AO450" s="197">
        <f t="shared" si="314"/>
        <v>21.69</v>
      </c>
      <c r="AP450" s="197">
        <f t="shared" si="349"/>
        <v>7.4093290390420161E-2</v>
      </c>
      <c r="AQ450" s="197">
        <f t="shared" si="350"/>
        <v>0.42250439890466829</v>
      </c>
      <c r="AR450" s="197">
        <f t="shared" si="351"/>
        <v>0.30589509873355925</v>
      </c>
      <c r="AS450" s="258">
        <f t="shared" si="352"/>
        <v>0.15228632177729159</v>
      </c>
      <c r="AT450" s="197">
        <f t="shared" si="315"/>
        <v>2.5974058656511614E-4</v>
      </c>
      <c r="AU450" s="194">
        <f t="shared" si="316"/>
        <v>21.19</v>
      </c>
      <c r="AV450" s="197">
        <f t="shared" si="317"/>
        <v>2.7E-2</v>
      </c>
      <c r="AW450" s="197">
        <f t="shared" si="318"/>
        <v>3.4260000000000002E-3</v>
      </c>
      <c r="AX450" s="197">
        <f t="shared" si="353"/>
        <v>6.1668000000000001E-2</v>
      </c>
      <c r="AY450" s="197">
        <f t="shared" si="319"/>
        <v>2.8867476000000005E-3</v>
      </c>
      <c r="AZ450" s="197">
        <f t="shared" si="320"/>
        <v>0</v>
      </c>
      <c r="BA450" s="197">
        <f t="shared" si="354"/>
        <v>7.2596940000000013E-2</v>
      </c>
      <c r="BB450" s="258">
        <f t="shared" si="321"/>
        <v>0.36575210336206115</v>
      </c>
      <c r="BC450" s="197">
        <f t="shared" si="322"/>
        <v>2.2380490766334034E-2</v>
      </c>
      <c r="BD450" s="197">
        <f t="shared" si="355"/>
        <v>4.4760981532668068E-3</v>
      </c>
      <c r="BE450" s="197">
        <f t="shared" si="356"/>
        <v>2.6856588919600841E-2</v>
      </c>
      <c r="BF450" s="197">
        <f t="shared" si="323"/>
        <v>0.20773291256157633</v>
      </c>
      <c r="BG450" s="197">
        <f t="shared" si="324"/>
        <v>5.4608303342508187E-4</v>
      </c>
      <c r="BH450" s="197">
        <f t="shared" si="325"/>
        <v>3.5336687086656722E-2</v>
      </c>
      <c r="BI450" s="197">
        <f t="shared" si="357"/>
        <v>0.44730899017824427</v>
      </c>
      <c r="BJ450" s="197">
        <f t="shared" si="326"/>
        <v>6.769615024661003</v>
      </c>
      <c r="BK450" s="288">
        <f t="shared" si="327"/>
        <v>0.93392401361838984</v>
      </c>
      <c r="BL450" s="197">
        <f t="shared" si="328"/>
        <v>0.37608972359227794</v>
      </c>
      <c r="BM450" s="197">
        <f t="shared" si="329"/>
        <v>7.4353030976985271E-2</v>
      </c>
      <c r="BN450" s="197">
        <f t="shared" si="330"/>
        <v>54.461181858619113</v>
      </c>
      <c r="BO450" s="197">
        <f t="shared" si="358"/>
        <v>0.2082789955950014</v>
      </c>
      <c r="BP450" s="197">
        <f t="shared" si="331"/>
        <v>65.620924669625111</v>
      </c>
      <c r="BQ450" s="197">
        <f t="shared" si="332"/>
        <v>9.9596940000000009E-2</v>
      </c>
      <c r="BR450" s="288">
        <f t="shared" si="333"/>
        <v>0.16008975919012108</v>
      </c>
      <c r="BS450" s="197">
        <f t="shared" si="334"/>
        <v>0.11660930017110901</v>
      </c>
      <c r="BT450" s="197">
        <f t="shared" si="335"/>
        <v>0.36419974881911377</v>
      </c>
      <c r="BU450" s="197">
        <f t="shared" si="336"/>
        <v>0.1713930788771201</v>
      </c>
      <c r="BV450" s="197">
        <f t="shared" si="337"/>
        <v>0.53530306917875781</v>
      </c>
      <c r="BW450" s="194"/>
      <c r="BX450" s="194"/>
      <c r="BY450" s="194"/>
      <c r="BZ450" s="194"/>
      <c r="CA450" s="194"/>
      <c r="CB450" s="194"/>
      <c r="CC450" s="194"/>
      <c r="CD450" s="194"/>
      <c r="CE450" s="194"/>
      <c r="CF450" s="194"/>
      <c r="CG450" s="194"/>
      <c r="CH450" s="194"/>
      <c r="CI450" s="194"/>
      <c r="CJ450" s="194"/>
      <c r="CK450" s="194"/>
      <c r="CL450" s="194"/>
      <c r="CM450" s="194"/>
      <c r="CN450" s="194"/>
      <c r="CO450" s="194"/>
      <c r="CP450" s="194"/>
      <c r="CQ450" s="194"/>
      <c r="CR450" s="194"/>
      <c r="CS450" s="194"/>
      <c r="CT450" s="194"/>
      <c r="CU450" s="194"/>
      <c r="CV450" s="194"/>
      <c r="CW450" s="194"/>
      <c r="CX450" s="194"/>
      <c r="CY450" s="194"/>
      <c r="CZ450" s="194"/>
      <c r="DA450" s="194"/>
      <c r="DB450" s="194"/>
      <c r="DC450" s="194"/>
      <c r="DD450" s="194"/>
      <c r="DE450" s="194"/>
      <c r="DF450" s="194"/>
    </row>
    <row r="451" spans="2:110" s="192" customFormat="1" hidden="1" x14ac:dyDescent="0.35">
      <c r="B451" s="289"/>
      <c r="C451" s="289"/>
      <c r="Q451" s="193"/>
      <c r="R451" s="194">
        <f t="shared" si="338"/>
        <v>18</v>
      </c>
      <c r="S451" s="197">
        <f t="shared" si="304"/>
        <v>0.3888888888888889</v>
      </c>
      <c r="T451" s="194">
        <f t="shared" si="359"/>
        <v>0.69</v>
      </c>
      <c r="U451" s="194">
        <f t="shared" si="360"/>
        <v>1.4999999999999999E-4</v>
      </c>
      <c r="V451" s="197">
        <f t="shared" si="339"/>
        <v>0.3888888888888889</v>
      </c>
      <c r="W451" s="197">
        <f t="shared" si="305"/>
        <v>4.3555555555555561E-3</v>
      </c>
      <c r="X451" s="286">
        <f t="shared" si="306"/>
        <v>1</v>
      </c>
      <c r="Y451" s="286">
        <f t="shared" si="307"/>
        <v>0.17335969315081967</v>
      </c>
      <c r="Z451" s="286">
        <f t="shared" si="308"/>
        <v>0.54964853345132902</v>
      </c>
      <c r="AA451" s="286">
        <f t="shared" si="340"/>
        <v>0.17335969315081967</v>
      </c>
      <c r="AB451" s="197">
        <f t="shared" si="309"/>
        <v>0.36419974881911377</v>
      </c>
      <c r="AC451" s="287">
        <f t="shared" si="310"/>
        <v>4.4451203372005044E-7</v>
      </c>
      <c r="AD451" s="197">
        <f t="shared" si="341"/>
        <v>11.693936048110356</v>
      </c>
      <c r="AE451" s="197">
        <f t="shared" si="342"/>
        <v>35.08180814433107</v>
      </c>
      <c r="AF451" s="197">
        <f t="shared" si="343"/>
        <v>8.5178571428571423E-2</v>
      </c>
      <c r="AG451" s="197">
        <f t="shared" si="344"/>
        <v>0.25553571428571431</v>
      </c>
      <c r="AH451" s="197">
        <f t="shared" si="311"/>
        <v>0.11660930017110901</v>
      </c>
      <c r="AI451" s="197">
        <f t="shared" si="345"/>
        <v>0.11660930017110901</v>
      </c>
      <c r="AJ451" s="218">
        <f t="shared" si="312"/>
        <v>390.00000000000006</v>
      </c>
      <c r="AK451" s="197">
        <f t="shared" si="346"/>
        <v>6.0930617977437734E-2</v>
      </c>
      <c r="AL451" s="197">
        <f t="shared" si="347"/>
        <v>9.6203707235237593E-2</v>
      </c>
      <c r="AM451" s="197">
        <f t="shared" si="348"/>
        <v>4.0790371867740751E-3</v>
      </c>
      <c r="AN451" s="197">
        <f t="shared" si="313"/>
        <v>24.05</v>
      </c>
      <c r="AO451" s="197">
        <f t="shared" si="314"/>
        <v>21.69</v>
      </c>
      <c r="AP451" s="197">
        <f t="shared" si="349"/>
        <v>7.4093290390420161E-2</v>
      </c>
      <c r="AQ451" s="197">
        <f t="shared" si="350"/>
        <v>0.42250439890466829</v>
      </c>
      <c r="AR451" s="197">
        <f t="shared" si="351"/>
        <v>0.30589509873355925</v>
      </c>
      <c r="AS451" s="258">
        <f t="shared" si="352"/>
        <v>0.15228632177729159</v>
      </c>
      <c r="AT451" s="197">
        <f t="shared" si="315"/>
        <v>2.5974058656511614E-4</v>
      </c>
      <c r="AU451" s="194">
        <f t="shared" si="316"/>
        <v>21.19</v>
      </c>
      <c r="AV451" s="197">
        <f t="shared" si="317"/>
        <v>2.7E-2</v>
      </c>
      <c r="AW451" s="197">
        <f t="shared" si="318"/>
        <v>3.4260000000000002E-3</v>
      </c>
      <c r="AX451" s="197">
        <f t="shared" si="353"/>
        <v>6.1668000000000001E-2</v>
      </c>
      <c r="AY451" s="197">
        <f t="shared" si="319"/>
        <v>2.8867476000000005E-3</v>
      </c>
      <c r="AZ451" s="197">
        <f t="shared" si="320"/>
        <v>0</v>
      </c>
      <c r="BA451" s="197">
        <f t="shared" si="354"/>
        <v>7.2596940000000013E-2</v>
      </c>
      <c r="BB451" s="258">
        <f t="shared" si="321"/>
        <v>0.36575210336206115</v>
      </c>
      <c r="BC451" s="197">
        <f t="shared" si="322"/>
        <v>2.2380490766334034E-2</v>
      </c>
      <c r="BD451" s="197">
        <f t="shared" si="355"/>
        <v>4.4760981532668068E-3</v>
      </c>
      <c r="BE451" s="197">
        <f t="shared" si="356"/>
        <v>2.6856588919600841E-2</v>
      </c>
      <c r="BF451" s="197">
        <f t="shared" si="323"/>
        <v>0.20773291256157633</v>
      </c>
      <c r="BG451" s="197">
        <f t="shared" si="324"/>
        <v>5.4608303342508187E-4</v>
      </c>
      <c r="BH451" s="197">
        <f t="shared" si="325"/>
        <v>3.5336687086656722E-2</v>
      </c>
      <c r="BI451" s="197">
        <f t="shared" si="357"/>
        <v>0.44730899017824427</v>
      </c>
      <c r="BJ451" s="197">
        <f t="shared" si="326"/>
        <v>6.769615024661003</v>
      </c>
      <c r="BK451" s="288">
        <f t="shared" si="327"/>
        <v>0.93392401361838984</v>
      </c>
      <c r="BL451" s="197">
        <f t="shared" si="328"/>
        <v>0.37608972359227794</v>
      </c>
      <c r="BM451" s="197">
        <f t="shared" si="329"/>
        <v>7.4353030976985271E-2</v>
      </c>
      <c r="BN451" s="197">
        <f t="shared" si="330"/>
        <v>54.461181858619113</v>
      </c>
      <c r="BO451" s="197">
        <f t="shared" si="358"/>
        <v>0.2082789955950014</v>
      </c>
      <c r="BP451" s="197">
        <f t="shared" si="331"/>
        <v>65.620924669625111</v>
      </c>
      <c r="BQ451" s="197">
        <f t="shared" si="332"/>
        <v>9.9596940000000009E-2</v>
      </c>
      <c r="BR451" s="288">
        <f t="shared" si="333"/>
        <v>0.16008975919012108</v>
      </c>
      <c r="BS451" s="197">
        <f t="shared" si="334"/>
        <v>0.11660930017110901</v>
      </c>
      <c r="BT451" s="197">
        <f t="shared" si="335"/>
        <v>0.36419974881911377</v>
      </c>
      <c r="BU451" s="197">
        <f t="shared" si="336"/>
        <v>0.1713930788771201</v>
      </c>
      <c r="BV451" s="197">
        <f t="shared" si="337"/>
        <v>0.53530306917875781</v>
      </c>
      <c r="BW451" s="194"/>
      <c r="BX451" s="194"/>
      <c r="BY451" s="194"/>
      <c r="BZ451" s="194"/>
      <c r="CA451" s="194"/>
      <c r="CB451" s="194"/>
      <c r="CC451" s="194"/>
      <c r="CD451" s="194"/>
      <c r="CE451" s="194"/>
      <c r="CF451" s="194"/>
      <c r="CG451" s="194"/>
      <c r="CH451" s="194"/>
      <c r="CI451" s="194"/>
      <c r="CJ451" s="194"/>
      <c r="CK451" s="194"/>
      <c r="CL451" s="194"/>
      <c r="CM451" s="194"/>
      <c r="CN451" s="194"/>
      <c r="CO451" s="194"/>
      <c r="CP451" s="194"/>
      <c r="CQ451" s="194"/>
      <c r="CR451" s="194"/>
      <c r="CS451" s="194"/>
      <c r="CT451" s="194"/>
      <c r="CU451" s="194"/>
      <c r="CV451" s="194"/>
      <c r="CW451" s="194"/>
      <c r="CX451" s="194"/>
      <c r="CY451" s="194"/>
      <c r="CZ451" s="194"/>
      <c r="DA451" s="194"/>
      <c r="DB451" s="194"/>
      <c r="DC451" s="194"/>
      <c r="DD451" s="194"/>
      <c r="DE451" s="194"/>
      <c r="DF451" s="194"/>
    </row>
    <row r="452" spans="2:110" s="192" customFormat="1" hidden="1" x14ac:dyDescent="0.35">
      <c r="B452" s="289"/>
      <c r="C452" s="289"/>
      <c r="Q452" s="193"/>
      <c r="R452" s="194">
        <f t="shared" si="338"/>
        <v>18</v>
      </c>
      <c r="S452" s="197">
        <f t="shared" si="304"/>
        <v>0.3888888888888889</v>
      </c>
      <c r="T452" s="194">
        <f t="shared" si="359"/>
        <v>0.69</v>
      </c>
      <c r="U452" s="194">
        <f t="shared" si="360"/>
        <v>1.4999999999999999E-4</v>
      </c>
      <c r="V452" s="197">
        <f t="shared" si="339"/>
        <v>0.3888888888888889</v>
      </c>
      <c r="W452" s="197">
        <f t="shared" si="305"/>
        <v>4.3555555555555561E-3</v>
      </c>
      <c r="X452" s="286">
        <f t="shared" si="306"/>
        <v>1</v>
      </c>
      <c r="Y452" s="286">
        <f t="shared" si="307"/>
        <v>0.17335969315081967</v>
      </c>
      <c r="Z452" s="286">
        <f t="shared" si="308"/>
        <v>0.54964853345132902</v>
      </c>
      <c r="AA452" s="286">
        <f t="shared" si="340"/>
        <v>0.17335969315081967</v>
      </c>
      <c r="AB452" s="197">
        <f t="shared" si="309"/>
        <v>0.36419974881911377</v>
      </c>
      <c r="AC452" s="287">
        <f t="shared" si="310"/>
        <v>4.4451203372005044E-7</v>
      </c>
      <c r="AD452" s="197">
        <f t="shared" si="341"/>
        <v>11.693936048110356</v>
      </c>
      <c r="AE452" s="197">
        <f t="shared" si="342"/>
        <v>35.08180814433107</v>
      </c>
      <c r="AF452" s="197">
        <f t="shared" si="343"/>
        <v>8.5178571428571423E-2</v>
      </c>
      <c r="AG452" s="197">
        <f t="shared" si="344"/>
        <v>0.25553571428571431</v>
      </c>
      <c r="AH452" s="197">
        <f t="shared" si="311"/>
        <v>0.11660930017110901</v>
      </c>
      <c r="AI452" s="197">
        <f t="shared" si="345"/>
        <v>0.11660930017110901</v>
      </c>
      <c r="AJ452" s="218">
        <f t="shared" si="312"/>
        <v>390.00000000000006</v>
      </c>
      <c r="AK452" s="197">
        <f t="shared" si="346"/>
        <v>6.0930617977437734E-2</v>
      </c>
      <c r="AL452" s="197">
        <f t="shared" si="347"/>
        <v>9.6203707235237593E-2</v>
      </c>
      <c r="AM452" s="197">
        <f t="shared" si="348"/>
        <v>4.0790371867740751E-3</v>
      </c>
      <c r="AN452" s="197">
        <f t="shared" si="313"/>
        <v>24.05</v>
      </c>
      <c r="AO452" s="197">
        <f t="shared" si="314"/>
        <v>21.69</v>
      </c>
      <c r="AP452" s="197">
        <f t="shared" si="349"/>
        <v>7.4093290390420161E-2</v>
      </c>
      <c r="AQ452" s="197">
        <f t="shared" si="350"/>
        <v>0.42250439890466829</v>
      </c>
      <c r="AR452" s="197">
        <f t="shared" si="351"/>
        <v>0.30589509873355925</v>
      </c>
      <c r="AS452" s="258">
        <f t="shared" si="352"/>
        <v>0.15228632177729159</v>
      </c>
      <c r="AT452" s="197">
        <f t="shared" si="315"/>
        <v>2.5974058656511614E-4</v>
      </c>
      <c r="AU452" s="194">
        <f t="shared" si="316"/>
        <v>21.19</v>
      </c>
      <c r="AV452" s="197">
        <f t="shared" si="317"/>
        <v>2.7E-2</v>
      </c>
      <c r="AW452" s="197">
        <f t="shared" si="318"/>
        <v>3.4260000000000002E-3</v>
      </c>
      <c r="AX452" s="197">
        <f t="shared" si="353"/>
        <v>6.1668000000000001E-2</v>
      </c>
      <c r="AY452" s="197">
        <f t="shared" si="319"/>
        <v>2.8867476000000005E-3</v>
      </c>
      <c r="AZ452" s="197">
        <f t="shared" si="320"/>
        <v>0</v>
      </c>
      <c r="BA452" s="197">
        <f t="shared" si="354"/>
        <v>7.2596940000000013E-2</v>
      </c>
      <c r="BB452" s="258">
        <f t="shared" si="321"/>
        <v>0.36575210336206115</v>
      </c>
      <c r="BC452" s="197">
        <f t="shared" si="322"/>
        <v>2.2380490766334034E-2</v>
      </c>
      <c r="BD452" s="197">
        <f t="shared" si="355"/>
        <v>4.4760981532668068E-3</v>
      </c>
      <c r="BE452" s="197">
        <f t="shared" si="356"/>
        <v>2.6856588919600841E-2</v>
      </c>
      <c r="BF452" s="197">
        <f t="shared" si="323"/>
        <v>0.20773291256157633</v>
      </c>
      <c r="BG452" s="197">
        <f t="shared" si="324"/>
        <v>5.4608303342508187E-4</v>
      </c>
      <c r="BH452" s="197">
        <f t="shared" si="325"/>
        <v>3.5336687086656722E-2</v>
      </c>
      <c r="BI452" s="197">
        <f t="shared" si="357"/>
        <v>0.44730899017824427</v>
      </c>
      <c r="BJ452" s="197">
        <f t="shared" si="326"/>
        <v>6.769615024661003</v>
      </c>
      <c r="BK452" s="288">
        <f t="shared" si="327"/>
        <v>0.93392401361838984</v>
      </c>
      <c r="BL452" s="197">
        <f t="shared" si="328"/>
        <v>0.37608972359227794</v>
      </c>
      <c r="BM452" s="197">
        <f t="shared" si="329"/>
        <v>7.4353030976985271E-2</v>
      </c>
      <c r="BN452" s="197">
        <f t="shared" si="330"/>
        <v>54.461181858619113</v>
      </c>
      <c r="BO452" s="197">
        <f t="shared" si="358"/>
        <v>0.2082789955950014</v>
      </c>
      <c r="BP452" s="197">
        <f t="shared" si="331"/>
        <v>65.620924669625111</v>
      </c>
      <c r="BQ452" s="197">
        <f t="shared" si="332"/>
        <v>9.9596940000000009E-2</v>
      </c>
      <c r="BR452" s="288">
        <f t="shared" si="333"/>
        <v>0.16008975919012108</v>
      </c>
      <c r="BS452" s="197">
        <f t="shared" si="334"/>
        <v>0.11660930017110901</v>
      </c>
      <c r="BT452" s="197">
        <f t="shared" si="335"/>
        <v>0.36419974881911377</v>
      </c>
      <c r="BU452" s="197">
        <f t="shared" si="336"/>
        <v>0.1713930788771201</v>
      </c>
      <c r="BV452" s="197">
        <f t="shared" si="337"/>
        <v>0.53530306917875781</v>
      </c>
      <c r="BW452" s="194"/>
      <c r="BX452" s="194"/>
      <c r="BY452" s="194"/>
      <c r="BZ452" s="194"/>
      <c r="CA452" s="194"/>
      <c r="CB452" s="194"/>
      <c r="CC452" s="194"/>
      <c r="CD452" s="194"/>
      <c r="CE452" s="194"/>
      <c r="CF452" s="194"/>
      <c r="CG452" s="194"/>
      <c r="CH452" s="194"/>
      <c r="CI452" s="194"/>
      <c r="CJ452" s="194"/>
      <c r="CK452" s="194"/>
      <c r="CL452" s="194"/>
      <c r="CM452" s="194"/>
      <c r="CN452" s="194"/>
      <c r="CO452" s="194"/>
      <c r="CP452" s="194"/>
      <c r="CQ452" s="194"/>
      <c r="CR452" s="194"/>
      <c r="CS452" s="194"/>
      <c r="CT452" s="194"/>
      <c r="CU452" s="194"/>
      <c r="CV452" s="194"/>
      <c r="CW452" s="194"/>
      <c r="CX452" s="194"/>
      <c r="CY452" s="194"/>
      <c r="CZ452" s="194"/>
      <c r="DA452" s="194"/>
      <c r="DB452" s="194"/>
      <c r="DC452" s="194"/>
      <c r="DD452" s="194"/>
      <c r="DE452" s="194"/>
      <c r="DF452" s="194"/>
    </row>
    <row r="453" spans="2:110" s="192" customFormat="1" hidden="1" x14ac:dyDescent="0.35">
      <c r="B453" s="289"/>
      <c r="C453" s="289"/>
      <c r="Q453" s="193"/>
      <c r="R453" s="194">
        <f t="shared" si="338"/>
        <v>18</v>
      </c>
      <c r="S453" s="197">
        <f t="shared" si="304"/>
        <v>0.3888888888888889</v>
      </c>
      <c r="T453" s="194">
        <f t="shared" si="359"/>
        <v>0.69</v>
      </c>
      <c r="U453" s="194">
        <f t="shared" si="360"/>
        <v>1.4999999999999999E-4</v>
      </c>
      <c r="V453" s="197">
        <f t="shared" si="339"/>
        <v>0.3888888888888889</v>
      </c>
      <c r="W453" s="197">
        <f t="shared" si="305"/>
        <v>4.3555555555555561E-3</v>
      </c>
      <c r="X453" s="286">
        <f t="shared" si="306"/>
        <v>1</v>
      </c>
      <c r="Y453" s="286">
        <f t="shared" si="307"/>
        <v>0.17335969315081967</v>
      </c>
      <c r="Z453" s="286">
        <f t="shared" si="308"/>
        <v>0.54964853345132902</v>
      </c>
      <c r="AA453" s="286">
        <f t="shared" si="340"/>
        <v>0.17335969315081967</v>
      </c>
      <c r="AB453" s="197">
        <f t="shared" si="309"/>
        <v>0.36419974881911377</v>
      </c>
      <c r="AC453" s="287">
        <f t="shared" si="310"/>
        <v>4.4451203372005044E-7</v>
      </c>
      <c r="AD453" s="197">
        <f t="shared" si="341"/>
        <v>11.693936048110356</v>
      </c>
      <c r="AE453" s="197">
        <f t="shared" si="342"/>
        <v>35.08180814433107</v>
      </c>
      <c r="AF453" s="197">
        <f t="shared" si="343"/>
        <v>8.5178571428571423E-2</v>
      </c>
      <c r="AG453" s="197">
        <f t="shared" si="344"/>
        <v>0.25553571428571431</v>
      </c>
      <c r="AH453" s="197">
        <f t="shared" si="311"/>
        <v>0.11660930017110901</v>
      </c>
      <c r="AI453" s="197">
        <f t="shared" si="345"/>
        <v>0.11660930017110901</v>
      </c>
      <c r="AJ453" s="218">
        <f t="shared" si="312"/>
        <v>390.00000000000006</v>
      </c>
      <c r="AK453" s="197">
        <f t="shared" si="346"/>
        <v>6.0930617977437734E-2</v>
      </c>
      <c r="AL453" s="197">
        <f t="shared" si="347"/>
        <v>9.6203707235237593E-2</v>
      </c>
      <c r="AM453" s="197">
        <f t="shared" si="348"/>
        <v>4.0790371867740751E-3</v>
      </c>
      <c r="AN453" s="197">
        <f t="shared" si="313"/>
        <v>24.05</v>
      </c>
      <c r="AO453" s="197">
        <f t="shared" si="314"/>
        <v>21.69</v>
      </c>
      <c r="AP453" s="197">
        <f t="shared" si="349"/>
        <v>7.4093290390420161E-2</v>
      </c>
      <c r="AQ453" s="197">
        <f t="shared" si="350"/>
        <v>0.42250439890466829</v>
      </c>
      <c r="AR453" s="197">
        <f t="shared" si="351"/>
        <v>0.30589509873355925</v>
      </c>
      <c r="AS453" s="258">
        <f t="shared" si="352"/>
        <v>0.15228632177729159</v>
      </c>
      <c r="AT453" s="197">
        <f t="shared" si="315"/>
        <v>2.5974058656511614E-4</v>
      </c>
      <c r="AU453" s="194">
        <f t="shared" si="316"/>
        <v>21.19</v>
      </c>
      <c r="AV453" s="197">
        <f t="shared" si="317"/>
        <v>2.7E-2</v>
      </c>
      <c r="AW453" s="197">
        <f t="shared" si="318"/>
        <v>3.4260000000000002E-3</v>
      </c>
      <c r="AX453" s="197">
        <f t="shared" si="353"/>
        <v>6.1668000000000001E-2</v>
      </c>
      <c r="AY453" s="197">
        <f t="shared" si="319"/>
        <v>2.8867476000000005E-3</v>
      </c>
      <c r="AZ453" s="197">
        <f t="shared" si="320"/>
        <v>0</v>
      </c>
      <c r="BA453" s="197">
        <f t="shared" si="354"/>
        <v>7.2596940000000013E-2</v>
      </c>
      <c r="BB453" s="258">
        <f t="shared" si="321"/>
        <v>0.36575210336206115</v>
      </c>
      <c r="BC453" s="197">
        <f t="shared" si="322"/>
        <v>2.2380490766334034E-2</v>
      </c>
      <c r="BD453" s="197">
        <f t="shared" si="355"/>
        <v>4.4760981532668068E-3</v>
      </c>
      <c r="BE453" s="197">
        <f t="shared" si="356"/>
        <v>2.6856588919600841E-2</v>
      </c>
      <c r="BF453" s="197">
        <f t="shared" si="323"/>
        <v>0.20773291256157633</v>
      </c>
      <c r="BG453" s="197">
        <f t="shared" si="324"/>
        <v>5.4608303342508187E-4</v>
      </c>
      <c r="BH453" s="197">
        <f t="shared" si="325"/>
        <v>3.5336687086656722E-2</v>
      </c>
      <c r="BI453" s="197">
        <f t="shared" si="357"/>
        <v>0.44730899017824427</v>
      </c>
      <c r="BJ453" s="197">
        <f t="shared" si="326"/>
        <v>6.769615024661003</v>
      </c>
      <c r="BK453" s="288">
        <f t="shared" si="327"/>
        <v>0.93392401361838984</v>
      </c>
      <c r="BL453" s="197">
        <f t="shared" si="328"/>
        <v>0.37608972359227794</v>
      </c>
      <c r="BM453" s="197">
        <f t="shared" si="329"/>
        <v>7.4353030976985271E-2</v>
      </c>
      <c r="BN453" s="197">
        <f t="shared" si="330"/>
        <v>54.461181858619113</v>
      </c>
      <c r="BO453" s="197">
        <f t="shared" si="358"/>
        <v>0.2082789955950014</v>
      </c>
      <c r="BP453" s="197">
        <f t="shared" si="331"/>
        <v>65.620924669625111</v>
      </c>
      <c r="BQ453" s="197">
        <f t="shared" si="332"/>
        <v>9.9596940000000009E-2</v>
      </c>
      <c r="BR453" s="288">
        <f t="shared" si="333"/>
        <v>0.16008975919012108</v>
      </c>
      <c r="BS453" s="197">
        <f t="shared" si="334"/>
        <v>0.11660930017110901</v>
      </c>
      <c r="BT453" s="197">
        <f t="shared" si="335"/>
        <v>0.36419974881911377</v>
      </c>
      <c r="BU453" s="197">
        <f t="shared" si="336"/>
        <v>0.1713930788771201</v>
      </c>
      <c r="BV453" s="197">
        <f t="shared" si="337"/>
        <v>0.53530306917875781</v>
      </c>
      <c r="BW453" s="194"/>
      <c r="BX453" s="194"/>
      <c r="BY453" s="194"/>
      <c r="BZ453" s="194"/>
      <c r="CA453" s="194"/>
      <c r="CB453" s="194"/>
      <c r="CC453" s="194"/>
      <c r="CD453" s="194"/>
      <c r="CE453" s="194"/>
      <c r="CF453" s="194"/>
      <c r="CG453" s="194"/>
      <c r="CH453" s="194"/>
      <c r="CI453" s="194"/>
      <c r="CJ453" s="194"/>
      <c r="CK453" s="194"/>
      <c r="CL453" s="194"/>
      <c r="CM453" s="194"/>
      <c r="CN453" s="194"/>
      <c r="CO453" s="194"/>
      <c r="CP453" s="194"/>
      <c r="CQ453" s="194"/>
      <c r="CR453" s="194"/>
      <c r="CS453" s="194"/>
      <c r="CT453" s="194"/>
      <c r="CU453" s="194"/>
      <c r="CV453" s="194"/>
      <c r="CW453" s="194"/>
      <c r="CX453" s="194"/>
      <c r="CY453" s="194"/>
      <c r="CZ453" s="194"/>
      <c r="DA453" s="194"/>
      <c r="DB453" s="194"/>
      <c r="DC453" s="194"/>
      <c r="DD453" s="194"/>
      <c r="DE453" s="194"/>
      <c r="DF453" s="194"/>
    </row>
    <row r="454" spans="2:110" s="192" customFormat="1" hidden="1" x14ac:dyDescent="0.35">
      <c r="B454" s="289"/>
      <c r="C454" s="289"/>
      <c r="Q454" s="193"/>
      <c r="R454" s="194">
        <f t="shared" si="338"/>
        <v>18</v>
      </c>
      <c r="S454" s="197">
        <f t="shared" si="304"/>
        <v>0.3888888888888889</v>
      </c>
      <c r="T454" s="194">
        <f t="shared" si="359"/>
        <v>0.69</v>
      </c>
      <c r="U454" s="194">
        <f t="shared" si="360"/>
        <v>1.4999999999999999E-4</v>
      </c>
      <c r="V454" s="197">
        <f t="shared" si="339"/>
        <v>0.3888888888888889</v>
      </c>
      <c r="W454" s="197">
        <f t="shared" si="305"/>
        <v>4.3555555555555561E-3</v>
      </c>
      <c r="X454" s="286">
        <f t="shared" si="306"/>
        <v>1</v>
      </c>
      <c r="Y454" s="286">
        <f t="shared" si="307"/>
        <v>0.17335969315081967</v>
      </c>
      <c r="Z454" s="286">
        <f t="shared" si="308"/>
        <v>0.54964853345132902</v>
      </c>
      <c r="AA454" s="286">
        <f t="shared" si="340"/>
        <v>0.17335969315081967</v>
      </c>
      <c r="AB454" s="197">
        <f t="shared" si="309"/>
        <v>0.36419974881911377</v>
      </c>
      <c r="AC454" s="287">
        <f t="shared" si="310"/>
        <v>4.4451203372005044E-7</v>
      </c>
      <c r="AD454" s="197">
        <f t="shared" si="341"/>
        <v>11.693936048110356</v>
      </c>
      <c r="AE454" s="197">
        <f t="shared" si="342"/>
        <v>35.08180814433107</v>
      </c>
      <c r="AF454" s="197">
        <f t="shared" si="343"/>
        <v>8.5178571428571423E-2</v>
      </c>
      <c r="AG454" s="197">
        <f t="shared" si="344"/>
        <v>0.25553571428571431</v>
      </c>
      <c r="AH454" s="197">
        <f t="shared" si="311"/>
        <v>0.11660930017110901</v>
      </c>
      <c r="AI454" s="197">
        <f t="shared" si="345"/>
        <v>0.11660930017110901</v>
      </c>
      <c r="AJ454" s="218">
        <f t="shared" si="312"/>
        <v>390.00000000000006</v>
      </c>
      <c r="AK454" s="197">
        <f t="shared" si="346"/>
        <v>6.0930617977437734E-2</v>
      </c>
      <c r="AL454" s="197">
        <f t="shared" si="347"/>
        <v>9.6203707235237593E-2</v>
      </c>
      <c r="AM454" s="197">
        <f t="shared" si="348"/>
        <v>4.0790371867740751E-3</v>
      </c>
      <c r="AN454" s="197">
        <f t="shared" si="313"/>
        <v>24.05</v>
      </c>
      <c r="AO454" s="197">
        <f t="shared" si="314"/>
        <v>21.69</v>
      </c>
      <c r="AP454" s="197">
        <f t="shared" si="349"/>
        <v>7.4093290390420161E-2</v>
      </c>
      <c r="AQ454" s="197">
        <f t="shared" si="350"/>
        <v>0.42250439890466829</v>
      </c>
      <c r="AR454" s="197">
        <f t="shared" si="351"/>
        <v>0.30589509873355925</v>
      </c>
      <c r="AS454" s="258">
        <f t="shared" si="352"/>
        <v>0.15228632177729159</v>
      </c>
      <c r="AT454" s="197">
        <f t="shared" si="315"/>
        <v>2.5974058656511614E-4</v>
      </c>
      <c r="AU454" s="194">
        <f t="shared" si="316"/>
        <v>21.19</v>
      </c>
      <c r="AV454" s="197">
        <f t="shared" si="317"/>
        <v>2.7E-2</v>
      </c>
      <c r="AW454" s="197">
        <f t="shared" si="318"/>
        <v>3.4260000000000002E-3</v>
      </c>
      <c r="AX454" s="197">
        <f t="shared" si="353"/>
        <v>6.1668000000000001E-2</v>
      </c>
      <c r="AY454" s="197">
        <f t="shared" si="319"/>
        <v>2.8867476000000005E-3</v>
      </c>
      <c r="AZ454" s="197">
        <f t="shared" si="320"/>
        <v>0</v>
      </c>
      <c r="BA454" s="197">
        <f t="shared" si="354"/>
        <v>7.2596940000000013E-2</v>
      </c>
      <c r="BB454" s="258">
        <f t="shared" si="321"/>
        <v>0.36575210336206115</v>
      </c>
      <c r="BC454" s="197">
        <f t="shared" si="322"/>
        <v>2.2380490766334034E-2</v>
      </c>
      <c r="BD454" s="197">
        <f t="shared" si="355"/>
        <v>4.4760981532668068E-3</v>
      </c>
      <c r="BE454" s="197">
        <f t="shared" si="356"/>
        <v>2.6856588919600841E-2</v>
      </c>
      <c r="BF454" s="197">
        <f t="shared" si="323"/>
        <v>0.20773291256157633</v>
      </c>
      <c r="BG454" s="197">
        <f t="shared" si="324"/>
        <v>5.4608303342508187E-4</v>
      </c>
      <c r="BH454" s="197">
        <f t="shared" si="325"/>
        <v>3.5336687086656722E-2</v>
      </c>
      <c r="BI454" s="197">
        <f t="shared" si="357"/>
        <v>0.44730899017824427</v>
      </c>
      <c r="BJ454" s="197">
        <f t="shared" si="326"/>
        <v>6.769615024661003</v>
      </c>
      <c r="BK454" s="288">
        <f t="shared" si="327"/>
        <v>0.93392401361838984</v>
      </c>
      <c r="BL454" s="197">
        <f t="shared" si="328"/>
        <v>0.37608972359227794</v>
      </c>
      <c r="BM454" s="197">
        <f t="shared" si="329"/>
        <v>7.4353030976985271E-2</v>
      </c>
      <c r="BN454" s="197">
        <f t="shared" si="330"/>
        <v>54.461181858619113</v>
      </c>
      <c r="BO454" s="197">
        <f t="shared" si="358"/>
        <v>0.2082789955950014</v>
      </c>
      <c r="BP454" s="197">
        <f t="shared" si="331"/>
        <v>65.620924669625111</v>
      </c>
      <c r="BQ454" s="197">
        <f t="shared" si="332"/>
        <v>9.9596940000000009E-2</v>
      </c>
      <c r="BR454" s="288">
        <f t="shared" si="333"/>
        <v>0.16008975919012108</v>
      </c>
      <c r="BS454" s="197">
        <f t="shared" si="334"/>
        <v>0.11660930017110901</v>
      </c>
      <c r="BT454" s="197">
        <f t="shared" si="335"/>
        <v>0.36419974881911377</v>
      </c>
      <c r="BU454" s="197">
        <f t="shared" si="336"/>
        <v>0.1713930788771201</v>
      </c>
      <c r="BV454" s="197">
        <f t="shared" si="337"/>
        <v>0.53530306917875781</v>
      </c>
      <c r="BW454" s="194"/>
      <c r="BX454" s="194"/>
      <c r="BY454" s="194"/>
      <c r="BZ454" s="194"/>
      <c r="CA454" s="194"/>
      <c r="CB454" s="194"/>
      <c r="CC454" s="194"/>
      <c r="CD454" s="194"/>
      <c r="CE454" s="194"/>
      <c r="CF454" s="194"/>
      <c r="CG454" s="194"/>
      <c r="CH454" s="194"/>
      <c r="CI454" s="194"/>
      <c r="CJ454" s="194"/>
      <c r="CK454" s="194"/>
      <c r="CL454" s="194"/>
      <c r="CM454" s="194"/>
      <c r="CN454" s="194"/>
      <c r="CO454" s="194"/>
      <c r="CP454" s="194"/>
      <c r="CQ454" s="194"/>
      <c r="CR454" s="194"/>
      <c r="CS454" s="194"/>
      <c r="CT454" s="194"/>
      <c r="CU454" s="194"/>
      <c r="CV454" s="194"/>
      <c r="CW454" s="194"/>
      <c r="CX454" s="194"/>
      <c r="CY454" s="194"/>
      <c r="CZ454" s="194"/>
      <c r="DA454" s="194"/>
      <c r="DB454" s="194"/>
      <c r="DC454" s="194"/>
      <c r="DD454" s="194"/>
      <c r="DE454" s="194"/>
      <c r="DF454" s="194"/>
    </row>
    <row r="455" spans="2:110" s="192" customFormat="1" hidden="1" x14ac:dyDescent="0.35">
      <c r="B455" s="289"/>
      <c r="C455" s="289"/>
      <c r="Q455" s="193"/>
      <c r="R455" s="194">
        <f t="shared" si="338"/>
        <v>18</v>
      </c>
      <c r="S455" s="197">
        <f t="shared" si="304"/>
        <v>0.3888888888888889</v>
      </c>
      <c r="T455" s="194">
        <f t="shared" si="359"/>
        <v>0.69</v>
      </c>
      <c r="U455" s="194">
        <f t="shared" si="360"/>
        <v>1.4999999999999999E-4</v>
      </c>
      <c r="V455" s="197">
        <f t="shared" si="339"/>
        <v>0.3888888888888889</v>
      </c>
      <c r="W455" s="197">
        <f t="shared" si="305"/>
        <v>4.3555555555555561E-3</v>
      </c>
      <c r="X455" s="286">
        <f t="shared" si="306"/>
        <v>1</v>
      </c>
      <c r="Y455" s="286">
        <f t="shared" si="307"/>
        <v>0.17335969315081967</v>
      </c>
      <c r="Z455" s="286">
        <f t="shared" si="308"/>
        <v>0.54964853345132902</v>
      </c>
      <c r="AA455" s="286">
        <f t="shared" si="340"/>
        <v>0.17335969315081967</v>
      </c>
      <c r="AB455" s="197">
        <f t="shared" si="309"/>
        <v>0.36419974881911377</v>
      </c>
      <c r="AC455" s="287">
        <f t="shared" si="310"/>
        <v>4.4451203372005044E-7</v>
      </c>
      <c r="AD455" s="197">
        <f t="shared" si="341"/>
        <v>11.693936048110356</v>
      </c>
      <c r="AE455" s="197">
        <f t="shared" si="342"/>
        <v>35.08180814433107</v>
      </c>
      <c r="AF455" s="197">
        <f t="shared" si="343"/>
        <v>8.5178571428571423E-2</v>
      </c>
      <c r="AG455" s="197">
        <f t="shared" si="344"/>
        <v>0.25553571428571431</v>
      </c>
      <c r="AH455" s="197">
        <f t="shared" si="311"/>
        <v>0.11660930017110901</v>
      </c>
      <c r="AI455" s="197">
        <f t="shared" si="345"/>
        <v>0.11660930017110901</v>
      </c>
      <c r="AJ455" s="218">
        <f t="shared" si="312"/>
        <v>390.00000000000006</v>
      </c>
      <c r="AK455" s="197">
        <f t="shared" si="346"/>
        <v>6.0930617977437734E-2</v>
      </c>
      <c r="AL455" s="197">
        <f t="shared" si="347"/>
        <v>9.6203707235237593E-2</v>
      </c>
      <c r="AM455" s="197">
        <f t="shared" si="348"/>
        <v>4.0790371867740751E-3</v>
      </c>
      <c r="AN455" s="197">
        <f t="shared" si="313"/>
        <v>24.05</v>
      </c>
      <c r="AO455" s="197">
        <f t="shared" si="314"/>
        <v>21.69</v>
      </c>
      <c r="AP455" s="197">
        <f t="shared" si="349"/>
        <v>7.4093290390420161E-2</v>
      </c>
      <c r="AQ455" s="197">
        <f t="shared" si="350"/>
        <v>0.42250439890466829</v>
      </c>
      <c r="AR455" s="197">
        <f t="shared" si="351"/>
        <v>0.30589509873355925</v>
      </c>
      <c r="AS455" s="258">
        <f t="shared" si="352"/>
        <v>0.15228632177729159</v>
      </c>
      <c r="AT455" s="197">
        <f t="shared" si="315"/>
        <v>2.5974058656511614E-4</v>
      </c>
      <c r="AU455" s="194">
        <f t="shared" si="316"/>
        <v>21.19</v>
      </c>
      <c r="AV455" s="197">
        <f t="shared" si="317"/>
        <v>2.7E-2</v>
      </c>
      <c r="AW455" s="197">
        <f t="shared" si="318"/>
        <v>3.4260000000000002E-3</v>
      </c>
      <c r="AX455" s="197">
        <f t="shared" si="353"/>
        <v>6.1668000000000001E-2</v>
      </c>
      <c r="AY455" s="197">
        <f t="shared" si="319"/>
        <v>2.8867476000000005E-3</v>
      </c>
      <c r="AZ455" s="197">
        <f t="shared" si="320"/>
        <v>0</v>
      </c>
      <c r="BA455" s="197">
        <f t="shared" si="354"/>
        <v>7.2596940000000013E-2</v>
      </c>
      <c r="BB455" s="258">
        <f t="shared" si="321"/>
        <v>0.36575210336206115</v>
      </c>
      <c r="BC455" s="197">
        <f t="shared" si="322"/>
        <v>2.2380490766334034E-2</v>
      </c>
      <c r="BD455" s="197">
        <f t="shared" si="355"/>
        <v>4.4760981532668068E-3</v>
      </c>
      <c r="BE455" s="197">
        <f t="shared" si="356"/>
        <v>2.6856588919600841E-2</v>
      </c>
      <c r="BF455" s="197">
        <f t="shared" si="323"/>
        <v>0.20773291256157633</v>
      </c>
      <c r="BG455" s="197">
        <f t="shared" si="324"/>
        <v>5.4608303342508187E-4</v>
      </c>
      <c r="BH455" s="197">
        <f t="shared" si="325"/>
        <v>3.5336687086656722E-2</v>
      </c>
      <c r="BI455" s="197">
        <f t="shared" si="357"/>
        <v>0.44730899017824427</v>
      </c>
      <c r="BJ455" s="197">
        <f t="shared" si="326"/>
        <v>6.769615024661003</v>
      </c>
      <c r="BK455" s="288">
        <f t="shared" si="327"/>
        <v>0.93392401361838984</v>
      </c>
      <c r="BL455" s="197">
        <f t="shared" si="328"/>
        <v>0.37608972359227794</v>
      </c>
      <c r="BM455" s="197">
        <f t="shared" si="329"/>
        <v>7.4353030976985271E-2</v>
      </c>
      <c r="BN455" s="197">
        <f t="shared" si="330"/>
        <v>54.461181858619113</v>
      </c>
      <c r="BO455" s="197">
        <f t="shared" si="358"/>
        <v>0.2082789955950014</v>
      </c>
      <c r="BP455" s="197">
        <f t="shared" si="331"/>
        <v>65.620924669625111</v>
      </c>
      <c r="BQ455" s="197">
        <f t="shared" si="332"/>
        <v>9.9596940000000009E-2</v>
      </c>
      <c r="BR455" s="288">
        <f t="shared" si="333"/>
        <v>0.16008975919012108</v>
      </c>
      <c r="BS455" s="197">
        <f t="shared" si="334"/>
        <v>0.11660930017110901</v>
      </c>
      <c r="BT455" s="197">
        <f t="shared" si="335"/>
        <v>0.36419974881911377</v>
      </c>
      <c r="BU455" s="197">
        <f t="shared" si="336"/>
        <v>0.1713930788771201</v>
      </c>
      <c r="BV455" s="197">
        <f t="shared" si="337"/>
        <v>0.53530306917875781</v>
      </c>
      <c r="BW455" s="194"/>
      <c r="BX455" s="194"/>
      <c r="BY455" s="194"/>
      <c r="BZ455" s="194"/>
      <c r="CA455" s="194"/>
      <c r="CB455" s="194"/>
      <c r="CC455" s="194"/>
      <c r="CD455" s="194"/>
      <c r="CE455" s="194"/>
      <c r="CF455" s="194"/>
      <c r="CG455" s="194"/>
      <c r="CH455" s="194"/>
      <c r="CI455" s="194"/>
      <c r="CJ455" s="194"/>
      <c r="CK455" s="194"/>
      <c r="CL455" s="194"/>
      <c r="CM455" s="194"/>
      <c r="CN455" s="194"/>
      <c r="CO455" s="194"/>
      <c r="CP455" s="194"/>
      <c r="CQ455" s="194"/>
      <c r="CR455" s="194"/>
      <c r="CS455" s="194"/>
      <c r="CT455" s="194"/>
      <c r="CU455" s="194"/>
      <c r="CV455" s="194"/>
      <c r="CW455" s="194"/>
      <c r="CX455" s="194"/>
      <c r="CY455" s="194"/>
      <c r="CZ455" s="194"/>
      <c r="DA455" s="194"/>
      <c r="DB455" s="194"/>
      <c r="DC455" s="194"/>
      <c r="DD455" s="194"/>
      <c r="DE455" s="194"/>
      <c r="DF455" s="194"/>
    </row>
    <row r="456" spans="2:110" s="192" customFormat="1" hidden="1" x14ac:dyDescent="0.35">
      <c r="B456" s="289"/>
      <c r="C456" s="289"/>
      <c r="Q456" s="193"/>
      <c r="R456" s="194">
        <f t="shared" si="338"/>
        <v>18</v>
      </c>
      <c r="S456" s="197">
        <f t="shared" si="304"/>
        <v>0.3888888888888889</v>
      </c>
      <c r="T456" s="194">
        <f t="shared" si="359"/>
        <v>0.69</v>
      </c>
      <c r="U456" s="194">
        <f t="shared" si="360"/>
        <v>1.4999999999999999E-4</v>
      </c>
      <c r="V456" s="197">
        <f t="shared" si="339"/>
        <v>0.3888888888888889</v>
      </c>
      <c r="W456" s="197">
        <f t="shared" si="305"/>
        <v>4.3555555555555561E-3</v>
      </c>
      <c r="X456" s="286">
        <f t="shared" si="306"/>
        <v>1</v>
      </c>
      <c r="Y456" s="286">
        <f t="shared" si="307"/>
        <v>0.17335969315081967</v>
      </c>
      <c r="Z456" s="286">
        <f t="shared" si="308"/>
        <v>0.54964853345132902</v>
      </c>
      <c r="AA456" s="286">
        <f t="shared" si="340"/>
        <v>0.17335969315081967</v>
      </c>
      <c r="AB456" s="197">
        <f t="shared" si="309"/>
        <v>0.36419974881911377</v>
      </c>
      <c r="AC456" s="287">
        <f t="shared" si="310"/>
        <v>4.4451203372005044E-7</v>
      </c>
      <c r="AD456" s="197">
        <f t="shared" si="341"/>
        <v>11.693936048110356</v>
      </c>
      <c r="AE456" s="197">
        <f t="shared" si="342"/>
        <v>35.08180814433107</v>
      </c>
      <c r="AF456" s="197">
        <f t="shared" si="343"/>
        <v>8.5178571428571423E-2</v>
      </c>
      <c r="AG456" s="197">
        <f t="shared" si="344"/>
        <v>0.25553571428571431</v>
      </c>
      <c r="AH456" s="197">
        <f t="shared" si="311"/>
        <v>0.11660930017110901</v>
      </c>
      <c r="AI456" s="197">
        <f t="shared" si="345"/>
        <v>0.11660930017110901</v>
      </c>
      <c r="AJ456" s="218">
        <f t="shared" si="312"/>
        <v>390.00000000000006</v>
      </c>
      <c r="AK456" s="197">
        <f t="shared" si="346"/>
        <v>6.0930617977437734E-2</v>
      </c>
      <c r="AL456" s="197">
        <f t="shared" si="347"/>
        <v>9.6203707235237593E-2</v>
      </c>
      <c r="AM456" s="197">
        <f t="shared" si="348"/>
        <v>4.0790371867740751E-3</v>
      </c>
      <c r="AN456" s="197">
        <f t="shared" si="313"/>
        <v>24.05</v>
      </c>
      <c r="AO456" s="197">
        <f t="shared" si="314"/>
        <v>21.69</v>
      </c>
      <c r="AP456" s="197">
        <f t="shared" si="349"/>
        <v>7.4093290390420161E-2</v>
      </c>
      <c r="AQ456" s="197">
        <f t="shared" si="350"/>
        <v>0.42250439890466829</v>
      </c>
      <c r="AR456" s="197">
        <f t="shared" si="351"/>
        <v>0.30589509873355925</v>
      </c>
      <c r="AS456" s="258">
        <f t="shared" si="352"/>
        <v>0.15228632177729159</v>
      </c>
      <c r="AT456" s="197">
        <f t="shared" si="315"/>
        <v>2.5974058656511614E-4</v>
      </c>
      <c r="AU456" s="194">
        <f t="shared" si="316"/>
        <v>21.19</v>
      </c>
      <c r="AV456" s="197">
        <f t="shared" si="317"/>
        <v>2.7E-2</v>
      </c>
      <c r="AW456" s="197">
        <f t="shared" si="318"/>
        <v>3.4260000000000002E-3</v>
      </c>
      <c r="AX456" s="197">
        <f t="shared" si="353"/>
        <v>6.1668000000000001E-2</v>
      </c>
      <c r="AY456" s="197">
        <f t="shared" si="319"/>
        <v>2.8867476000000005E-3</v>
      </c>
      <c r="AZ456" s="197">
        <f t="shared" si="320"/>
        <v>0</v>
      </c>
      <c r="BA456" s="197">
        <f t="shared" si="354"/>
        <v>7.2596940000000013E-2</v>
      </c>
      <c r="BB456" s="258">
        <f t="shared" si="321"/>
        <v>0.36575210336206115</v>
      </c>
      <c r="BC456" s="197">
        <f t="shared" si="322"/>
        <v>2.2380490766334034E-2</v>
      </c>
      <c r="BD456" s="197">
        <f t="shared" si="355"/>
        <v>4.4760981532668068E-3</v>
      </c>
      <c r="BE456" s="197">
        <f t="shared" si="356"/>
        <v>2.6856588919600841E-2</v>
      </c>
      <c r="BF456" s="197">
        <f t="shared" si="323"/>
        <v>0.20773291256157633</v>
      </c>
      <c r="BG456" s="197">
        <f t="shared" si="324"/>
        <v>5.4608303342508187E-4</v>
      </c>
      <c r="BH456" s="197">
        <f t="shared" si="325"/>
        <v>3.5336687086656722E-2</v>
      </c>
      <c r="BI456" s="197">
        <f t="shared" si="357"/>
        <v>0.44730899017824427</v>
      </c>
      <c r="BJ456" s="197">
        <f t="shared" si="326"/>
        <v>6.769615024661003</v>
      </c>
      <c r="BK456" s="288">
        <f t="shared" si="327"/>
        <v>0.93392401361838984</v>
      </c>
      <c r="BL456" s="197">
        <f t="shared" si="328"/>
        <v>0.37608972359227794</v>
      </c>
      <c r="BM456" s="197">
        <f t="shared" si="329"/>
        <v>7.4353030976985271E-2</v>
      </c>
      <c r="BN456" s="197">
        <f t="shared" si="330"/>
        <v>54.461181858619113</v>
      </c>
      <c r="BO456" s="197">
        <f t="shared" si="358"/>
        <v>0.2082789955950014</v>
      </c>
      <c r="BP456" s="197">
        <f t="shared" si="331"/>
        <v>65.620924669625111</v>
      </c>
      <c r="BQ456" s="197">
        <f t="shared" si="332"/>
        <v>9.9596940000000009E-2</v>
      </c>
      <c r="BR456" s="288">
        <f t="shared" si="333"/>
        <v>0.16008975919012108</v>
      </c>
      <c r="BS456" s="197">
        <f t="shared" si="334"/>
        <v>0.11660930017110901</v>
      </c>
      <c r="BT456" s="197">
        <f t="shared" si="335"/>
        <v>0.36419974881911377</v>
      </c>
      <c r="BU456" s="197">
        <f t="shared" si="336"/>
        <v>0.1713930788771201</v>
      </c>
      <c r="BV456" s="197">
        <f t="shared" si="337"/>
        <v>0.53530306917875781</v>
      </c>
      <c r="BW456" s="194"/>
      <c r="BX456" s="194"/>
      <c r="BY456" s="194"/>
      <c r="BZ456" s="194"/>
      <c r="CA456" s="194"/>
      <c r="CB456" s="194"/>
      <c r="CC456" s="194"/>
      <c r="CD456" s="194"/>
      <c r="CE456" s="194"/>
      <c r="CF456" s="194"/>
      <c r="CG456" s="194"/>
      <c r="CH456" s="194"/>
      <c r="CI456" s="194"/>
      <c r="CJ456" s="194"/>
      <c r="CK456" s="194"/>
      <c r="CL456" s="194"/>
      <c r="CM456" s="194"/>
      <c r="CN456" s="194"/>
      <c r="CO456" s="194"/>
      <c r="CP456" s="194"/>
      <c r="CQ456" s="194"/>
      <c r="CR456" s="194"/>
      <c r="CS456" s="194"/>
      <c r="CT456" s="194"/>
      <c r="CU456" s="194"/>
      <c r="CV456" s="194"/>
      <c r="CW456" s="194"/>
      <c r="CX456" s="194"/>
      <c r="CY456" s="194"/>
      <c r="CZ456" s="194"/>
      <c r="DA456" s="194"/>
      <c r="DB456" s="194"/>
      <c r="DC456" s="194"/>
      <c r="DD456" s="194"/>
      <c r="DE456" s="194"/>
      <c r="DF456" s="194"/>
    </row>
    <row r="457" spans="2:110" s="192" customFormat="1" hidden="1" x14ac:dyDescent="0.35">
      <c r="B457" s="289"/>
      <c r="C457" s="289"/>
      <c r="Q457" s="193"/>
      <c r="R457" s="194">
        <f t="shared" si="338"/>
        <v>18</v>
      </c>
      <c r="S457" s="197">
        <f t="shared" si="304"/>
        <v>0.3888888888888889</v>
      </c>
      <c r="T457" s="194">
        <f t="shared" si="359"/>
        <v>0.69</v>
      </c>
      <c r="U457" s="194">
        <f t="shared" si="360"/>
        <v>1.4999999999999999E-4</v>
      </c>
      <c r="V457" s="197">
        <f t="shared" si="339"/>
        <v>0.3888888888888889</v>
      </c>
      <c r="W457" s="197">
        <f t="shared" si="305"/>
        <v>4.3555555555555561E-3</v>
      </c>
      <c r="X457" s="286">
        <f t="shared" si="306"/>
        <v>1</v>
      </c>
      <c r="Y457" s="286">
        <f t="shared" si="307"/>
        <v>0.17335969315081967</v>
      </c>
      <c r="Z457" s="286">
        <f t="shared" si="308"/>
        <v>0.54964853345132902</v>
      </c>
      <c r="AA457" s="286">
        <f t="shared" si="340"/>
        <v>0.17335969315081967</v>
      </c>
      <c r="AB457" s="197">
        <f t="shared" si="309"/>
        <v>0.36419974881911377</v>
      </c>
      <c r="AC457" s="287">
        <f t="shared" si="310"/>
        <v>4.4451203372005044E-7</v>
      </c>
      <c r="AD457" s="197">
        <f t="shared" si="341"/>
        <v>11.693936048110356</v>
      </c>
      <c r="AE457" s="197">
        <f t="shared" si="342"/>
        <v>35.08180814433107</v>
      </c>
      <c r="AF457" s="197">
        <f t="shared" si="343"/>
        <v>8.5178571428571423E-2</v>
      </c>
      <c r="AG457" s="197">
        <f t="shared" si="344"/>
        <v>0.25553571428571431</v>
      </c>
      <c r="AH457" s="197">
        <f t="shared" si="311"/>
        <v>0.11660930017110901</v>
      </c>
      <c r="AI457" s="197">
        <f t="shared" si="345"/>
        <v>0.11660930017110901</v>
      </c>
      <c r="AJ457" s="218">
        <f t="shared" si="312"/>
        <v>390.00000000000006</v>
      </c>
      <c r="AK457" s="197">
        <f t="shared" si="346"/>
        <v>6.0930617977437734E-2</v>
      </c>
      <c r="AL457" s="197">
        <f t="shared" si="347"/>
        <v>9.6203707235237593E-2</v>
      </c>
      <c r="AM457" s="197">
        <f t="shared" si="348"/>
        <v>4.0790371867740751E-3</v>
      </c>
      <c r="AN457" s="197">
        <f t="shared" si="313"/>
        <v>24.05</v>
      </c>
      <c r="AO457" s="197">
        <f t="shared" si="314"/>
        <v>21.69</v>
      </c>
      <c r="AP457" s="197">
        <f t="shared" si="349"/>
        <v>7.4093290390420161E-2</v>
      </c>
      <c r="AQ457" s="197">
        <f t="shared" si="350"/>
        <v>0.42250439890466829</v>
      </c>
      <c r="AR457" s="197">
        <f t="shared" si="351"/>
        <v>0.30589509873355925</v>
      </c>
      <c r="AS457" s="258">
        <f t="shared" si="352"/>
        <v>0.15228632177729159</v>
      </c>
      <c r="AT457" s="197">
        <f t="shared" si="315"/>
        <v>2.5974058656511614E-4</v>
      </c>
      <c r="AU457" s="194">
        <f t="shared" si="316"/>
        <v>21.19</v>
      </c>
      <c r="AV457" s="197">
        <f t="shared" si="317"/>
        <v>2.7E-2</v>
      </c>
      <c r="AW457" s="197">
        <f t="shared" si="318"/>
        <v>3.4260000000000002E-3</v>
      </c>
      <c r="AX457" s="197">
        <f t="shared" si="353"/>
        <v>6.1668000000000001E-2</v>
      </c>
      <c r="AY457" s="197">
        <f t="shared" si="319"/>
        <v>2.8867476000000005E-3</v>
      </c>
      <c r="AZ457" s="197">
        <f t="shared" si="320"/>
        <v>0</v>
      </c>
      <c r="BA457" s="197">
        <f t="shared" si="354"/>
        <v>7.2596940000000013E-2</v>
      </c>
      <c r="BB457" s="258">
        <f t="shared" si="321"/>
        <v>0.36575210336206115</v>
      </c>
      <c r="BC457" s="197">
        <f t="shared" si="322"/>
        <v>2.2380490766334034E-2</v>
      </c>
      <c r="BD457" s="197">
        <f t="shared" si="355"/>
        <v>4.4760981532668068E-3</v>
      </c>
      <c r="BE457" s="197">
        <f t="shared" si="356"/>
        <v>2.6856588919600841E-2</v>
      </c>
      <c r="BF457" s="197">
        <f t="shared" si="323"/>
        <v>0.20773291256157633</v>
      </c>
      <c r="BG457" s="197">
        <f t="shared" si="324"/>
        <v>5.4608303342508187E-4</v>
      </c>
      <c r="BH457" s="197">
        <f t="shared" si="325"/>
        <v>3.5336687086656722E-2</v>
      </c>
      <c r="BI457" s="197">
        <f t="shared" si="357"/>
        <v>0.44730899017824427</v>
      </c>
      <c r="BJ457" s="197">
        <f t="shared" si="326"/>
        <v>6.769615024661003</v>
      </c>
      <c r="BK457" s="288">
        <f t="shared" si="327"/>
        <v>0.93392401361838984</v>
      </c>
      <c r="BL457" s="197">
        <f t="shared" si="328"/>
        <v>0.37608972359227794</v>
      </c>
      <c r="BM457" s="197">
        <f t="shared" si="329"/>
        <v>7.4353030976985271E-2</v>
      </c>
      <c r="BN457" s="197">
        <f t="shared" si="330"/>
        <v>54.461181858619113</v>
      </c>
      <c r="BO457" s="197">
        <f t="shared" si="358"/>
        <v>0.2082789955950014</v>
      </c>
      <c r="BP457" s="197">
        <f t="shared" si="331"/>
        <v>65.620924669625111</v>
      </c>
      <c r="BQ457" s="197">
        <f t="shared" si="332"/>
        <v>9.9596940000000009E-2</v>
      </c>
      <c r="BR457" s="288">
        <f t="shared" si="333"/>
        <v>0.16008975919012108</v>
      </c>
      <c r="BS457" s="197">
        <f t="shared" si="334"/>
        <v>0.11660930017110901</v>
      </c>
      <c r="BT457" s="197">
        <f t="shared" si="335"/>
        <v>0.36419974881911377</v>
      </c>
      <c r="BU457" s="197">
        <f t="shared" si="336"/>
        <v>0.1713930788771201</v>
      </c>
      <c r="BV457" s="197">
        <f t="shared" si="337"/>
        <v>0.53530306917875781</v>
      </c>
      <c r="BW457" s="194"/>
      <c r="BX457" s="194"/>
      <c r="BY457" s="194"/>
      <c r="BZ457" s="194"/>
      <c r="CA457" s="194"/>
      <c r="CB457" s="194"/>
      <c r="CC457" s="194"/>
      <c r="CD457" s="194"/>
      <c r="CE457" s="194"/>
      <c r="CF457" s="194"/>
      <c r="CG457" s="194"/>
      <c r="CH457" s="194"/>
      <c r="CI457" s="194"/>
      <c r="CJ457" s="194"/>
      <c r="CK457" s="194"/>
      <c r="CL457" s="194"/>
      <c r="CM457" s="194"/>
      <c r="CN457" s="194"/>
      <c r="CO457" s="194"/>
      <c r="CP457" s="194"/>
      <c r="CQ457" s="194"/>
      <c r="CR457" s="194"/>
      <c r="CS457" s="194"/>
      <c r="CT457" s="194"/>
      <c r="CU457" s="194"/>
      <c r="CV457" s="194"/>
      <c r="CW457" s="194"/>
      <c r="CX457" s="194"/>
      <c r="CY457" s="194"/>
      <c r="CZ457" s="194"/>
      <c r="DA457" s="194"/>
      <c r="DB457" s="194"/>
      <c r="DC457" s="194"/>
      <c r="DD457" s="194"/>
      <c r="DE457" s="194"/>
      <c r="DF457" s="194"/>
    </row>
    <row r="458" spans="2:110" s="192" customFormat="1" hidden="1" x14ac:dyDescent="0.35">
      <c r="B458" s="289"/>
      <c r="C458" s="289"/>
      <c r="Q458" s="193"/>
      <c r="R458" s="194">
        <f t="shared" si="338"/>
        <v>18</v>
      </c>
      <c r="S458" s="197">
        <f t="shared" si="304"/>
        <v>0.3888888888888889</v>
      </c>
      <c r="T458" s="194">
        <f t="shared" si="359"/>
        <v>0.69</v>
      </c>
      <c r="U458" s="194">
        <f t="shared" si="360"/>
        <v>1.4999999999999999E-4</v>
      </c>
      <c r="V458" s="197">
        <f t="shared" si="339"/>
        <v>0.3888888888888889</v>
      </c>
      <c r="W458" s="197">
        <f t="shared" si="305"/>
        <v>4.3555555555555561E-3</v>
      </c>
      <c r="X458" s="286">
        <f t="shared" si="306"/>
        <v>1</v>
      </c>
      <c r="Y458" s="286">
        <f t="shared" si="307"/>
        <v>0.17335969315081967</v>
      </c>
      <c r="Z458" s="286">
        <f t="shared" si="308"/>
        <v>0.54964853345132902</v>
      </c>
      <c r="AA458" s="286">
        <f t="shared" si="340"/>
        <v>0.17335969315081967</v>
      </c>
      <c r="AB458" s="197">
        <f t="shared" si="309"/>
        <v>0.36419974881911377</v>
      </c>
      <c r="AC458" s="287">
        <f t="shared" si="310"/>
        <v>4.4451203372005044E-7</v>
      </c>
      <c r="AD458" s="197">
        <f t="shared" si="341"/>
        <v>11.693936048110356</v>
      </c>
      <c r="AE458" s="197">
        <f t="shared" si="342"/>
        <v>35.08180814433107</v>
      </c>
      <c r="AF458" s="197">
        <f t="shared" si="343"/>
        <v>8.5178571428571423E-2</v>
      </c>
      <c r="AG458" s="197">
        <f t="shared" si="344"/>
        <v>0.25553571428571431</v>
      </c>
      <c r="AH458" s="197">
        <f t="shared" si="311"/>
        <v>0.11660930017110901</v>
      </c>
      <c r="AI458" s="197">
        <f t="shared" si="345"/>
        <v>0.11660930017110901</v>
      </c>
      <c r="AJ458" s="218">
        <f t="shared" si="312"/>
        <v>390.00000000000006</v>
      </c>
      <c r="AK458" s="197">
        <f t="shared" si="346"/>
        <v>6.0930617977437734E-2</v>
      </c>
      <c r="AL458" s="197">
        <f t="shared" si="347"/>
        <v>9.6203707235237593E-2</v>
      </c>
      <c r="AM458" s="197">
        <f t="shared" si="348"/>
        <v>4.0790371867740751E-3</v>
      </c>
      <c r="AN458" s="197">
        <f t="shared" si="313"/>
        <v>24.05</v>
      </c>
      <c r="AO458" s="197">
        <f t="shared" si="314"/>
        <v>21.69</v>
      </c>
      <c r="AP458" s="197">
        <f t="shared" si="349"/>
        <v>7.4093290390420161E-2</v>
      </c>
      <c r="AQ458" s="197">
        <f t="shared" si="350"/>
        <v>0.42250439890466829</v>
      </c>
      <c r="AR458" s="197">
        <f t="shared" si="351"/>
        <v>0.30589509873355925</v>
      </c>
      <c r="AS458" s="258">
        <f t="shared" si="352"/>
        <v>0.15228632177729159</v>
      </c>
      <c r="AT458" s="197">
        <f t="shared" si="315"/>
        <v>2.5974058656511614E-4</v>
      </c>
      <c r="AU458" s="194">
        <f t="shared" si="316"/>
        <v>21.19</v>
      </c>
      <c r="AV458" s="197">
        <f t="shared" si="317"/>
        <v>2.7E-2</v>
      </c>
      <c r="AW458" s="197">
        <f t="shared" si="318"/>
        <v>3.4260000000000002E-3</v>
      </c>
      <c r="AX458" s="197">
        <f t="shared" si="353"/>
        <v>6.1668000000000001E-2</v>
      </c>
      <c r="AY458" s="197">
        <f t="shared" si="319"/>
        <v>2.8867476000000005E-3</v>
      </c>
      <c r="AZ458" s="197">
        <f t="shared" si="320"/>
        <v>0</v>
      </c>
      <c r="BA458" s="197">
        <f t="shared" si="354"/>
        <v>7.2596940000000013E-2</v>
      </c>
      <c r="BB458" s="258">
        <f t="shared" si="321"/>
        <v>0.36575210336206115</v>
      </c>
      <c r="BC458" s="197">
        <f t="shared" si="322"/>
        <v>2.2380490766334034E-2</v>
      </c>
      <c r="BD458" s="197">
        <f t="shared" si="355"/>
        <v>4.4760981532668068E-3</v>
      </c>
      <c r="BE458" s="197">
        <f t="shared" si="356"/>
        <v>2.6856588919600841E-2</v>
      </c>
      <c r="BF458" s="197">
        <f t="shared" si="323"/>
        <v>0.20773291256157633</v>
      </c>
      <c r="BG458" s="197">
        <f t="shared" si="324"/>
        <v>5.4608303342508187E-4</v>
      </c>
      <c r="BH458" s="197">
        <f t="shared" si="325"/>
        <v>3.5336687086656722E-2</v>
      </c>
      <c r="BI458" s="197">
        <f t="shared" si="357"/>
        <v>0.44730899017824427</v>
      </c>
      <c r="BJ458" s="197">
        <f t="shared" si="326"/>
        <v>6.769615024661003</v>
      </c>
      <c r="BK458" s="288">
        <f t="shared" si="327"/>
        <v>0.93392401361838984</v>
      </c>
      <c r="BL458" s="197">
        <f t="shared" si="328"/>
        <v>0.37608972359227794</v>
      </c>
      <c r="BM458" s="197">
        <f t="shared" si="329"/>
        <v>7.4353030976985271E-2</v>
      </c>
      <c r="BN458" s="197">
        <f t="shared" si="330"/>
        <v>54.461181858619113</v>
      </c>
      <c r="BO458" s="197">
        <f t="shared" si="358"/>
        <v>0.2082789955950014</v>
      </c>
      <c r="BP458" s="197">
        <f t="shared" si="331"/>
        <v>65.620924669625111</v>
      </c>
      <c r="BQ458" s="197">
        <f t="shared" si="332"/>
        <v>9.9596940000000009E-2</v>
      </c>
      <c r="BR458" s="288">
        <f t="shared" si="333"/>
        <v>0.16008975919012108</v>
      </c>
      <c r="BS458" s="197">
        <f t="shared" si="334"/>
        <v>0.11660930017110901</v>
      </c>
      <c r="BT458" s="197">
        <f t="shared" si="335"/>
        <v>0.36419974881911377</v>
      </c>
      <c r="BU458" s="197">
        <f t="shared" si="336"/>
        <v>0.1713930788771201</v>
      </c>
      <c r="BV458" s="197">
        <f t="shared" si="337"/>
        <v>0.53530306917875781</v>
      </c>
      <c r="BW458" s="194"/>
      <c r="BX458" s="194"/>
      <c r="BY458" s="194"/>
      <c r="BZ458" s="194"/>
      <c r="CA458" s="194"/>
      <c r="CB458" s="194"/>
      <c r="CC458" s="194"/>
      <c r="CD458" s="194"/>
      <c r="CE458" s="194"/>
      <c r="CF458" s="194"/>
      <c r="CG458" s="194"/>
      <c r="CH458" s="194"/>
      <c r="CI458" s="194"/>
      <c r="CJ458" s="194"/>
      <c r="CK458" s="194"/>
      <c r="CL458" s="194"/>
      <c r="CM458" s="194"/>
      <c r="CN458" s="194"/>
      <c r="CO458" s="194"/>
      <c r="CP458" s="194"/>
      <c r="CQ458" s="194"/>
      <c r="CR458" s="194"/>
      <c r="CS458" s="194"/>
      <c r="CT458" s="194"/>
      <c r="CU458" s="194"/>
      <c r="CV458" s="194"/>
      <c r="CW458" s="194"/>
      <c r="CX458" s="194"/>
      <c r="CY458" s="194"/>
      <c r="CZ458" s="194"/>
      <c r="DA458" s="194"/>
      <c r="DB458" s="194"/>
      <c r="DC458" s="194"/>
      <c r="DD458" s="194"/>
      <c r="DE458" s="194"/>
      <c r="DF458" s="194"/>
    </row>
    <row r="459" spans="2:110" s="192" customFormat="1" hidden="1" x14ac:dyDescent="0.35">
      <c r="B459" s="289"/>
      <c r="C459" s="289"/>
      <c r="Q459" s="193"/>
      <c r="R459" s="194">
        <f t="shared" si="338"/>
        <v>18</v>
      </c>
      <c r="S459" s="197">
        <f t="shared" si="304"/>
        <v>0.3888888888888889</v>
      </c>
      <c r="T459" s="194">
        <f t="shared" si="359"/>
        <v>0.69</v>
      </c>
      <c r="U459" s="194">
        <f t="shared" si="360"/>
        <v>1.4999999999999999E-4</v>
      </c>
      <c r="V459" s="197">
        <f t="shared" si="339"/>
        <v>0.3888888888888889</v>
      </c>
      <c r="W459" s="197">
        <f t="shared" si="305"/>
        <v>4.3555555555555561E-3</v>
      </c>
      <c r="X459" s="286">
        <f t="shared" si="306"/>
        <v>1</v>
      </c>
      <c r="Y459" s="286">
        <f t="shared" si="307"/>
        <v>0.17335969315081967</v>
      </c>
      <c r="Z459" s="286">
        <f t="shared" si="308"/>
        <v>0.54964853345132902</v>
      </c>
      <c r="AA459" s="286">
        <f t="shared" si="340"/>
        <v>0.17335969315081967</v>
      </c>
      <c r="AB459" s="197">
        <f t="shared" si="309"/>
        <v>0.36419974881911377</v>
      </c>
      <c r="AC459" s="287">
        <f t="shared" si="310"/>
        <v>4.4451203372005044E-7</v>
      </c>
      <c r="AD459" s="197">
        <f t="shared" si="341"/>
        <v>11.693936048110356</v>
      </c>
      <c r="AE459" s="197">
        <f t="shared" si="342"/>
        <v>35.08180814433107</v>
      </c>
      <c r="AF459" s="197">
        <f t="shared" si="343"/>
        <v>8.5178571428571423E-2</v>
      </c>
      <c r="AG459" s="197">
        <f t="shared" si="344"/>
        <v>0.25553571428571431</v>
      </c>
      <c r="AH459" s="197">
        <f t="shared" si="311"/>
        <v>0.11660930017110901</v>
      </c>
      <c r="AI459" s="197">
        <f t="shared" si="345"/>
        <v>0.11660930017110901</v>
      </c>
      <c r="AJ459" s="218">
        <f t="shared" si="312"/>
        <v>390.00000000000006</v>
      </c>
      <c r="AK459" s="197">
        <f t="shared" si="346"/>
        <v>6.0930617977437734E-2</v>
      </c>
      <c r="AL459" s="197">
        <f t="shared" si="347"/>
        <v>9.6203707235237593E-2</v>
      </c>
      <c r="AM459" s="197">
        <f t="shared" si="348"/>
        <v>4.0790371867740751E-3</v>
      </c>
      <c r="AN459" s="197">
        <f t="shared" si="313"/>
        <v>24.05</v>
      </c>
      <c r="AO459" s="197">
        <f t="shared" si="314"/>
        <v>21.69</v>
      </c>
      <c r="AP459" s="197">
        <f t="shared" si="349"/>
        <v>7.4093290390420161E-2</v>
      </c>
      <c r="AQ459" s="197">
        <f t="shared" si="350"/>
        <v>0.42250439890466829</v>
      </c>
      <c r="AR459" s="197">
        <f t="shared" si="351"/>
        <v>0.30589509873355925</v>
      </c>
      <c r="AS459" s="258">
        <f t="shared" si="352"/>
        <v>0.15228632177729159</v>
      </c>
      <c r="AT459" s="197">
        <f t="shared" si="315"/>
        <v>2.5974058656511614E-4</v>
      </c>
      <c r="AU459" s="194">
        <f t="shared" si="316"/>
        <v>21.19</v>
      </c>
      <c r="AV459" s="197">
        <f t="shared" si="317"/>
        <v>2.7E-2</v>
      </c>
      <c r="AW459" s="197">
        <f t="shared" si="318"/>
        <v>3.4260000000000002E-3</v>
      </c>
      <c r="AX459" s="197">
        <f t="shared" si="353"/>
        <v>6.1668000000000001E-2</v>
      </c>
      <c r="AY459" s="197">
        <f t="shared" si="319"/>
        <v>2.8867476000000005E-3</v>
      </c>
      <c r="AZ459" s="197">
        <f t="shared" si="320"/>
        <v>0</v>
      </c>
      <c r="BA459" s="197">
        <f t="shared" si="354"/>
        <v>7.2596940000000013E-2</v>
      </c>
      <c r="BB459" s="258">
        <f t="shared" si="321"/>
        <v>0.36575210336206115</v>
      </c>
      <c r="BC459" s="197">
        <f t="shared" si="322"/>
        <v>2.2380490766334034E-2</v>
      </c>
      <c r="BD459" s="197">
        <f t="shared" si="355"/>
        <v>4.4760981532668068E-3</v>
      </c>
      <c r="BE459" s="197">
        <f t="shared" si="356"/>
        <v>2.6856588919600841E-2</v>
      </c>
      <c r="BF459" s="197">
        <f t="shared" si="323"/>
        <v>0.20773291256157633</v>
      </c>
      <c r="BG459" s="197">
        <f t="shared" si="324"/>
        <v>5.4608303342508187E-4</v>
      </c>
      <c r="BH459" s="197">
        <f t="shared" si="325"/>
        <v>3.5336687086656722E-2</v>
      </c>
      <c r="BI459" s="197">
        <f t="shared" si="357"/>
        <v>0.44730899017824427</v>
      </c>
      <c r="BJ459" s="197">
        <f t="shared" si="326"/>
        <v>6.769615024661003</v>
      </c>
      <c r="BK459" s="288">
        <f t="shared" si="327"/>
        <v>0.93392401361838984</v>
      </c>
      <c r="BL459" s="197">
        <f t="shared" si="328"/>
        <v>0.37608972359227794</v>
      </c>
      <c r="BM459" s="197">
        <f t="shared" si="329"/>
        <v>7.4353030976985271E-2</v>
      </c>
      <c r="BN459" s="197">
        <f t="shared" si="330"/>
        <v>54.461181858619113</v>
      </c>
      <c r="BO459" s="197">
        <f t="shared" si="358"/>
        <v>0.2082789955950014</v>
      </c>
      <c r="BP459" s="197">
        <f t="shared" si="331"/>
        <v>65.620924669625111</v>
      </c>
      <c r="BQ459" s="197">
        <f t="shared" si="332"/>
        <v>9.9596940000000009E-2</v>
      </c>
      <c r="BR459" s="288">
        <f t="shared" si="333"/>
        <v>0.16008975919012108</v>
      </c>
      <c r="BS459" s="197">
        <f t="shared" si="334"/>
        <v>0.11660930017110901</v>
      </c>
      <c r="BT459" s="197">
        <f t="shared" si="335"/>
        <v>0.36419974881911377</v>
      </c>
      <c r="BU459" s="197">
        <f t="shared" si="336"/>
        <v>0.1713930788771201</v>
      </c>
      <c r="BV459" s="197">
        <f t="shared" si="337"/>
        <v>0.53530306917875781</v>
      </c>
      <c r="BW459" s="194"/>
      <c r="BX459" s="194"/>
      <c r="BY459" s="194"/>
      <c r="BZ459" s="194"/>
      <c r="CA459" s="194"/>
      <c r="CB459" s="194"/>
      <c r="CC459" s="194"/>
      <c r="CD459" s="194"/>
      <c r="CE459" s="194"/>
      <c r="CF459" s="194"/>
      <c r="CG459" s="194"/>
      <c r="CH459" s="194"/>
      <c r="CI459" s="194"/>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row>
    <row r="460" spans="2:110" s="192" customFormat="1" hidden="1" x14ac:dyDescent="0.35">
      <c r="B460" s="289"/>
      <c r="C460" s="289"/>
      <c r="Q460" s="193"/>
      <c r="R460" s="194">
        <f t="shared" si="338"/>
        <v>18</v>
      </c>
      <c r="S460" s="197">
        <f t="shared" si="304"/>
        <v>0.3888888888888889</v>
      </c>
      <c r="T460" s="194">
        <f t="shared" si="359"/>
        <v>0.69</v>
      </c>
      <c r="U460" s="194">
        <f t="shared" si="360"/>
        <v>1.4999999999999999E-4</v>
      </c>
      <c r="V460" s="197">
        <f t="shared" si="339"/>
        <v>0.3888888888888889</v>
      </c>
      <c r="W460" s="197">
        <f t="shared" si="305"/>
        <v>4.3555555555555561E-3</v>
      </c>
      <c r="X460" s="286">
        <f t="shared" si="306"/>
        <v>1</v>
      </c>
      <c r="Y460" s="286">
        <f t="shared" si="307"/>
        <v>0.17335969315081967</v>
      </c>
      <c r="Z460" s="286">
        <f t="shared" si="308"/>
        <v>0.54964853345132902</v>
      </c>
      <c r="AA460" s="286">
        <f t="shared" si="340"/>
        <v>0.17335969315081967</v>
      </c>
      <c r="AB460" s="197">
        <f t="shared" si="309"/>
        <v>0.36419974881911377</v>
      </c>
      <c r="AC460" s="287">
        <f t="shared" si="310"/>
        <v>4.4451203372005044E-7</v>
      </c>
      <c r="AD460" s="197">
        <f t="shared" si="341"/>
        <v>11.693936048110356</v>
      </c>
      <c r="AE460" s="197">
        <f t="shared" si="342"/>
        <v>35.08180814433107</v>
      </c>
      <c r="AF460" s="197">
        <f t="shared" si="343"/>
        <v>8.5178571428571423E-2</v>
      </c>
      <c r="AG460" s="197">
        <f t="shared" si="344"/>
        <v>0.25553571428571431</v>
      </c>
      <c r="AH460" s="197">
        <f t="shared" si="311"/>
        <v>0.11660930017110901</v>
      </c>
      <c r="AI460" s="197">
        <f t="shared" si="345"/>
        <v>0.11660930017110901</v>
      </c>
      <c r="AJ460" s="218">
        <f t="shared" si="312"/>
        <v>390.00000000000006</v>
      </c>
      <c r="AK460" s="197">
        <f t="shared" si="346"/>
        <v>6.0930617977437734E-2</v>
      </c>
      <c r="AL460" s="197">
        <f t="shared" si="347"/>
        <v>9.6203707235237593E-2</v>
      </c>
      <c r="AM460" s="197">
        <f t="shared" si="348"/>
        <v>4.0790371867740751E-3</v>
      </c>
      <c r="AN460" s="197">
        <f t="shared" si="313"/>
        <v>24.05</v>
      </c>
      <c r="AO460" s="197">
        <f t="shared" si="314"/>
        <v>21.69</v>
      </c>
      <c r="AP460" s="197">
        <f t="shared" si="349"/>
        <v>7.4093290390420161E-2</v>
      </c>
      <c r="AQ460" s="197">
        <f t="shared" si="350"/>
        <v>0.42250439890466829</v>
      </c>
      <c r="AR460" s="197">
        <f t="shared" si="351"/>
        <v>0.30589509873355925</v>
      </c>
      <c r="AS460" s="258">
        <f t="shared" si="352"/>
        <v>0.15228632177729159</v>
      </c>
      <c r="AT460" s="197">
        <f t="shared" si="315"/>
        <v>2.5974058656511614E-4</v>
      </c>
      <c r="AU460" s="194">
        <f t="shared" si="316"/>
        <v>21.19</v>
      </c>
      <c r="AV460" s="197">
        <f t="shared" si="317"/>
        <v>2.7E-2</v>
      </c>
      <c r="AW460" s="197">
        <f t="shared" si="318"/>
        <v>3.4260000000000002E-3</v>
      </c>
      <c r="AX460" s="197">
        <f t="shared" si="353"/>
        <v>6.1668000000000001E-2</v>
      </c>
      <c r="AY460" s="197">
        <f t="shared" si="319"/>
        <v>2.8867476000000005E-3</v>
      </c>
      <c r="AZ460" s="197">
        <f t="shared" si="320"/>
        <v>0</v>
      </c>
      <c r="BA460" s="197">
        <f t="shared" si="354"/>
        <v>7.2596940000000013E-2</v>
      </c>
      <c r="BB460" s="258">
        <f t="shared" si="321"/>
        <v>0.36575210336206115</v>
      </c>
      <c r="BC460" s="197">
        <f t="shared" si="322"/>
        <v>2.2380490766334034E-2</v>
      </c>
      <c r="BD460" s="197">
        <f t="shared" si="355"/>
        <v>4.4760981532668068E-3</v>
      </c>
      <c r="BE460" s="197">
        <f t="shared" si="356"/>
        <v>2.6856588919600841E-2</v>
      </c>
      <c r="BF460" s="197">
        <f t="shared" si="323"/>
        <v>0.20773291256157633</v>
      </c>
      <c r="BG460" s="197">
        <f t="shared" si="324"/>
        <v>5.4608303342508187E-4</v>
      </c>
      <c r="BH460" s="197">
        <f t="shared" si="325"/>
        <v>3.5336687086656722E-2</v>
      </c>
      <c r="BI460" s="197">
        <f t="shared" si="357"/>
        <v>0.44730899017824427</v>
      </c>
      <c r="BJ460" s="197">
        <f t="shared" si="326"/>
        <v>6.769615024661003</v>
      </c>
      <c r="BK460" s="288">
        <f t="shared" si="327"/>
        <v>0.93392401361838984</v>
      </c>
      <c r="BL460" s="197">
        <f t="shared" si="328"/>
        <v>0.37608972359227794</v>
      </c>
      <c r="BM460" s="197">
        <f t="shared" si="329"/>
        <v>7.4353030976985271E-2</v>
      </c>
      <c r="BN460" s="197">
        <f t="shared" si="330"/>
        <v>54.461181858619113</v>
      </c>
      <c r="BO460" s="197">
        <f t="shared" si="358"/>
        <v>0.2082789955950014</v>
      </c>
      <c r="BP460" s="197">
        <f t="shared" si="331"/>
        <v>65.620924669625111</v>
      </c>
      <c r="BQ460" s="197">
        <f t="shared" si="332"/>
        <v>9.9596940000000009E-2</v>
      </c>
      <c r="BR460" s="288">
        <f t="shared" si="333"/>
        <v>0.16008975919012108</v>
      </c>
      <c r="BS460" s="197">
        <f t="shared" si="334"/>
        <v>0.11660930017110901</v>
      </c>
      <c r="BT460" s="197">
        <f t="shared" si="335"/>
        <v>0.36419974881911377</v>
      </c>
      <c r="BU460" s="197">
        <f t="shared" si="336"/>
        <v>0.1713930788771201</v>
      </c>
      <c r="BV460" s="197">
        <f t="shared" si="337"/>
        <v>0.53530306917875781</v>
      </c>
      <c r="BW460" s="194"/>
      <c r="BX460" s="194"/>
      <c r="BY460" s="194"/>
      <c r="BZ460" s="194"/>
      <c r="CA460" s="194"/>
      <c r="CB460" s="194"/>
      <c r="CC460" s="194"/>
      <c r="CD460" s="194"/>
      <c r="CE460" s="194"/>
      <c r="CF460" s="194"/>
      <c r="CG460" s="194"/>
      <c r="CH460" s="194"/>
      <c r="CI460" s="194"/>
      <c r="CJ460" s="194"/>
      <c r="CK460" s="194"/>
      <c r="CL460" s="194"/>
      <c r="CM460" s="194"/>
      <c r="CN460" s="194"/>
      <c r="CO460" s="194"/>
      <c r="CP460" s="194"/>
      <c r="CQ460" s="194"/>
      <c r="CR460" s="194"/>
      <c r="CS460" s="194"/>
      <c r="CT460" s="194"/>
      <c r="CU460" s="194"/>
      <c r="CV460" s="194"/>
      <c r="CW460" s="194"/>
      <c r="CX460" s="194"/>
      <c r="CY460" s="194"/>
      <c r="CZ460" s="194"/>
      <c r="DA460" s="194"/>
      <c r="DB460" s="194"/>
      <c r="DC460" s="194"/>
      <c r="DD460" s="194"/>
      <c r="DE460" s="194"/>
      <c r="DF460" s="194"/>
    </row>
    <row r="461" spans="2:110" s="192" customFormat="1" hidden="1" x14ac:dyDescent="0.35">
      <c r="B461" s="289"/>
      <c r="C461" s="289"/>
      <c r="Q461" s="193"/>
      <c r="R461" s="194">
        <f t="shared" si="338"/>
        <v>18</v>
      </c>
      <c r="S461" s="197">
        <f t="shared" si="304"/>
        <v>0.3888888888888889</v>
      </c>
      <c r="T461" s="194">
        <f t="shared" si="359"/>
        <v>0.69</v>
      </c>
      <c r="U461" s="194">
        <f t="shared" si="360"/>
        <v>1.4999999999999999E-4</v>
      </c>
      <c r="V461" s="197">
        <f t="shared" si="339"/>
        <v>0.3888888888888889</v>
      </c>
      <c r="W461" s="197">
        <f t="shared" si="305"/>
        <v>4.3555555555555561E-3</v>
      </c>
      <c r="X461" s="286">
        <f t="shared" si="306"/>
        <v>1</v>
      </c>
      <c r="Y461" s="286">
        <f t="shared" si="307"/>
        <v>0.17335969315081967</v>
      </c>
      <c r="Z461" s="286">
        <f t="shared" si="308"/>
        <v>0.54964853345132902</v>
      </c>
      <c r="AA461" s="286">
        <f t="shared" si="340"/>
        <v>0.17335969315081967</v>
      </c>
      <c r="AB461" s="197">
        <f t="shared" si="309"/>
        <v>0.36419974881911377</v>
      </c>
      <c r="AC461" s="287">
        <f t="shared" si="310"/>
        <v>4.4451203372005044E-7</v>
      </c>
      <c r="AD461" s="197">
        <f t="shared" si="341"/>
        <v>11.693936048110356</v>
      </c>
      <c r="AE461" s="197">
        <f t="shared" si="342"/>
        <v>35.08180814433107</v>
      </c>
      <c r="AF461" s="197">
        <f t="shared" si="343"/>
        <v>8.5178571428571423E-2</v>
      </c>
      <c r="AG461" s="197">
        <f t="shared" si="344"/>
        <v>0.25553571428571431</v>
      </c>
      <c r="AH461" s="197">
        <f t="shared" si="311"/>
        <v>0.11660930017110901</v>
      </c>
      <c r="AI461" s="197">
        <f t="shared" si="345"/>
        <v>0.11660930017110901</v>
      </c>
      <c r="AJ461" s="218">
        <f t="shared" si="312"/>
        <v>390.00000000000006</v>
      </c>
      <c r="AK461" s="197">
        <f t="shared" si="346"/>
        <v>6.0930617977437734E-2</v>
      </c>
      <c r="AL461" s="197">
        <f t="shared" si="347"/>
        <v>9.6203707235237593E-2</v>
      </c>
      <c r="AM461" s="197">
        <f t="shared" si="348"/>
        <v>4.0790371867740751E-3</v>
      </c>
      <c r="AN461" s="197">
        <f t="shared" si="313"/>
        <v>24.05</v>
      </c>
      <c r="AO461" s="197">
        <f t="shared" si="314"/>
        <v>21.69</v>
      </c>
      <c r="AP461" s="197">
        <f t="shared" si="349"/>
        <v>7.4093290390420161E-2</v>
      </c>
      <c r="AQ461" s="197">
        <f t="shared" si="350"/>
        <v>0.42250439890466829</v>
      </c>
      <c r="AR461" s="197">
        <f t="shared" si="351"/>
        <v>0.30589509873355925</v>
      </c>
      <c r="AS461" s="258">
        <f t="shared" si="352"/>
        <v>0.15228632177729159</v>
      </c>
      <c r="AT461" s="197">
        <f t="shared" si="315"/>
        <v>2.5974058656511614E-4</v>
      </c>
      <c r="AU461" s="194">
        <f t="shared" si="316"/>
        <v>21.19</v>
      </c>
      <c r="AV461" s="197">
        <f t="shared" si="317"/>
        <v>2.7E-2</v>
      </c>
      <c r="AW461" s="197">
        <f t="shared" si="318"/>
        <v>3.4260000000000002E-3</v>
      </c>
      <c r="AX461" s="197">
        <f t="shared" si="353"/>
        <v>6.1668000000000001E-2</v>
      </c>
      <c r="AY461" s="197">
        <f t="shared" si="319"/>
        <v>2.8867476000000005E-3</v>
      </c>
      <c r="AZ461" s="197">
        <f t="shared" si="320"/>
        <v>0</v>
      </c>
      <c r="BA461" s="197">
        <f t="shared" si="354"/>
        <v>7.2596940000000013E-2</v>
      </c>
      <c r="BB461" s="258">
        <f t="shared" si="321"/>
        <v>0.36575210336206115</v>
      </c>
      <c r="BC461" s="197">
        <f t="shared" si="322"/>
        <v>2.2380490766334034E-2</v>
      </c>
      <c r="BD461" s="197">
        <f t="shared" si="355"/>
        <v>4.4760981532668068E-3</v>
      </c>
      <c r="BE461" s="197">
        <f t="shared" si="356"/>
        <v>2.6856588919600841E-2</v>
      </c>
      <c r="BF461" s="197">
        <f t="shared" si="323"/>
        <v>0.20773291256157633</v>
      </c>
      <c r="BG461" s="197">
        <f t="shared" si="324"/>
        <v>5.4608303342508187E-4</v>
      </c>
      <c r="BH461" s="197">
        <f t="shared" si="325"/>
        <v>3.5336687086656722E-2</v>
      </c>
      <c r="BI461" s="197">
        <f t="shared" si="357"/>
        <v>0.44730899017824427</v>
      </c>
      <c r="BJ461" s="197">
        <f t="shared" si="326"/>
        <v>6.769615024661003</v>
      </c>
      <c r="BK461" s="288">
        <f t="shared" si="327"/>
        <v>0.93392401361838984</v>
      </c>
      <c r="BL461" s="197">
        <f t="shared" si="328"/>
        <v>0.37608972359227794</v>
      </c>
      <c r="BM461" s="197">
        <f t="shared" si="329"/>
        <v>7.4353030976985271E-2</v>
      </c>
      <c r="BN461" s="197">
        <f t="shared" si="330"/>
        <v>54.461181858619113</v>
      </c>
      <c r="BO461" s="197">
        <f t="shared" si="358"/>
        <v>0.2082789955950014</v>
      </c>
      <c r="BP461" s="197">
        <f t="shared" si="331"/>
        <v>65.620924669625111</v>
      </c>
      <c r="BQ461" s="197">
        <f t="shared" si="332"/>
        <v>9.9596940000000009E-2</v>
      </c>
      <c r="BR461" s="288">
        <f t="shared" si="333"/>
        <v>0.16008975919012108</v>
      </c>
      <c r="BS461" s="197">
        <f t="shared" si="334"/>
        <v>0.11660930017110901</v>
      </c>
      <c r="BT461" s="197">
        <f t="shared" si="335"/>
        <v>0.36419974881911377</v>
      </c>
      <c r="BU461" s="197">
        <f t="shared" si="336"/>
        <v>0.1713930788771201</v>
      </c>
      <c r="BV461" s="197">
        <f t="shared" si="337"/>
        <v>0.53530306917875781</v>
      </c>
      <c r="BW461" s="194"/>
      <c r="BX461" s="194"/>
      <c r="BY461" s="194"/>
      <c r="BZ461" s="194"/>
      <c r="CA461" s="194"/>
      <c r="CB461" s="194"/>
      <c r="CC461" s="194"/>
      <c r="CD461" s="194"/>
      <c r="CE461" s="194"/>
      <c r="CF461" s="194"/>
      <c r="CG461" s="194"/>
      <c r="CH461" s="194"/>
      <c r="CI461" s="194"/>
      <c r="CJ461" s="194"/>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row>
    <row r="462" spans="2:110" s="192" customFormat="1" hidden="1" x14ac:dyDescent="0.35">
      <c r="B462" s="289"/>
      <c r="C462" s="289"/>
      <c r="Q462" s="193"/>
      <c r="R462" s="194">
        <f t="shared" si="338"/>
        <v>18</v>
      </c>
      <c r="S462" s="197">
        <f t="shared" si="304"/>
        <v>0.3888888888888889</v>
      </c>
      <c r="T462" s="194">
        <f t="shared" si="359"/>
        <v>0.69</v>
      </c>
      <c r="U462" s="194">
        <f t="shared" si="360"/>
        <v>1.4999999999999999E-4</v>
      </c>
      <c r="V462" s="197">
        <f t="shared" si="339"/>
        <v>0.3888888888888889</v>
      </c>
      <c r="W462" s="197">
        <f t="shared" si="305"/>
        <v>4.3555555555555561E-3</v>
      </c>
      <c r="X462" s="286">
        <f t="shared" si="306"/>
        <v>1</v>
      </c>
      <c r="Y462" s="286">
        <f t="shared" si="307"/>
        <v>0.17335969315081967</v>
      </c>
      <c r="Z462" s="286">
        <f t="shared" si="308"/>
        <v>0.54964853345132902</v>
      </c>
      <c r="AA462" s="286">
        <f t="shared" si="340"/>
        <v>0.17335969315081967</v>
      </c>
      <c r="AB462" s="197">
        <f t="shared" si="309"/>
        <v>0.36419974881911377</v>
      </c>
      <c r="AC462" s="287">
        <f t="shared" si="310"/>
        <v>4.4451203372005044E-7</v>
      </c>
      <c r="AD462" s="197">
        <f t="shared" si="341"/>
        <v>11.693936048110356</v>
      </c>
      <c r="AE462" s="197">
        <f t="shared" si="342"/>
        <v>35.08180814433107</v>
      </c>
      <c r="AF462" s="197">
        <f t="shared" si="343"/>
        <v>8.5178571428571423E-2</v>
      </c>
      <c r="AG462" s="197">
        <f t="shared" si="344"/>
        <v>0.25553571428571431</v>
      </c>
      <c r="AH462" s="197">
        <f t="shared" si="311"/>
        <v>0.11660930017110901</v>
      </c>
      <c r="AI462" s="197">
        <f t="shared" si="345"/>
        <v>0.11660930017110901</v>
      </c>
      <c r="AJ462" s="218">
        <f t="shared" si="312"/>
        <v>390.00000000000006</v>
      </c>
      <c r="AK462" s="197">
        <f t="shared" si="346"/>
        <v>6.0930617977437734E-2</v>
      </c>
      <c r="AL462" s="197">
        <f t="shared" si="347"/>
        <v>9.6203707235237593E-2</v>
      </c>
      <c r="AM462" s="197">
        <f t="shared" si="348"/>
        <v>4.0790371867740751E-3</v>
      </c>
      <c r="AN462" s="197">
        <f t="shared" si="313"/>
        <v>24.05</v>
      </c>
      <c r="AO462" s="197">
        <f t="shared" si="314"/>
        <v>21.69</v>
      </c>
      <c r="AP462" s="197">
        <f t="shared" si="349"/>
        <v>7.4093290390420161E-2</v>
      </c>
      <c r="AQ462" s="197">
        <f t="shared" si="350"/>
        <v>0.42250439890466829</v>
      </c>
      <c r="AR462" s="197">
        <f t="shared" si="351"/>
        <v>0.30589509873355925</v>
      </c>
      <c r="AS462" s="258">
        <f t="shared" si="352"/>
        <v>0.15228632177729159</v>
      </c>
      <c r="AT462" s="197">
        <f t="shared" si="315"/>
        <v>2.5974058656511614E-4</v>
      </c>
      <c r="AU462" s="194">
        <f t="shared" si="316"/>
        <v>21.19</v>
      </c>
      <c r="AV462" s="197">
        <f t="shared" si="317"/>
        <v>2.7E-2</v>
      </c>
      <c r="AW462" s="197">
        <f t="shared" si="318"/>
        <v>3.4260000000000002E-3</v>
      </c>
      <c r="AX462" s="197">
        <f t="shared" si="353"/>
        <v>6.1668000000000001E-2</v>
      </c>
      <c r="AY462" s="197">
        <f t="shared" si="319"/>
        <v>2.8867476000000005E-3</v>
      </c>
      <c r="AZ462" s="197">
        <f t="shared" si="320"/>
        <v>0</v>
      </c>
      <c r="BA462" s="197">
        <f t="shared" si="354"/>
        <v>7.2596940000000013E-2</v>
      </c>
      <c r="BB462" s="258">
        <f t="shared" si="321"/>
        <v>0.36575210336206115</v>
      </c>
      <c r="BC462" s="197">
        <f t="shared" si="322"/>
        <v>2.2380490766334034E-2</v>
      </c>
      <c r="BD462" s="197">
        <f t="shared" si="355"/>
        <v>4.4760981532668068E-3</v>
      </c>
      <c r="BE462" s="197">
        <f t="shared" si="356"/>
        <v>2.6856588919600841E-2</v>
      </c>
      <c r="BF462" s="197">
        <f t="shared" si="323"/>
        <v>0.20773291256157633</v>
      </c>
      <c r="BG462" s="197">
        <f t="shared" si="324"/>
        <v>5.4608303342508187E-4</v>
      </c>
      <c r="BH462" s="197">
        <f t="shared" si="325"/>
        <v>3.5336687086656722E-2</v>
      </c>
      <c r="BI462" s="197">
        <f t="shared" si="357"/>
        <v>0.44730899017824427</v>
      </c>
      <c r="BJ462" s="197">
        <f t="shared" si="326"/>
        <v>6.769615024661003</v>
      </c>
      <c r="BK462" s="288">
        <f t="shared" si="327"/>
        <v>0.93392401361838984</v>
      </c>
      <c r="BL462" s="197">
        <f t="shared" si="328"/>
        <v>0.37608972359227794</v>
      </c>
      <c r="BM462" s="197">
        <f t="shared" si="329"/>
        <v>7.4353030976985271E-2</v>
      </c>
      <c r="BN462" s="197">
        <f t="shared" si="330"/>
        <v>54.461181858619113</v>
      </c>
      <c r="BO462" s="197">
        <f t="shared" si="358"/>
        <v>0.2082789955950014</v>
      </c>
      <c r="BP462" s="197">
        <f t="shared" si="331"/>
        <v>65.620924669625111</v>
      </c>
      <c r="BQ462" s="197">
        <f t="shared" si="332"/>
        <v>9.9596940000000009E-2</v>
      </c>
      <c r="BR462" s="288">
        <f t="shared" si="333"/>
        <v>0.16008975919012108</v>
      </c>
      <c r="BS462" s="197">
        <f t="shared" si="334"/>
        <v>0.11660930017110901</v>
      </c>
      <c r="BT462" s="197">
        <f t="shared" si="335"/>
        <v>0.36419974881911377</v>
      </c>
      <c r="BU462" s="197">
        <f t="shared" si="336"/>
        <v>0.1713930788771201</v>
      </c>
      <c r="BV462" s="197">
        <f t="shared" si="337"/>
        <v>0.53530306917875781</v>
      </c>
      <c r="BW462" s="194"/>
      <c r="BX462" s="194"/>
      <c r="BY462" s="194"/>
      <c r="BZ462" s="194"/>
      <c r="CA462" s="194"/>
      <c r="CB462" s="194"/>
      <c r="CC462" s="194"/>
      <c r="CD462" s="194"/>
      <c r="CE462" s="194"/>
      <c r="CF462" s="194"/>
      <c r="CG462" s="194"/>
      <c r="CH462" s="194"/>
      <c r="CI462" s="194"/>
      <c r="CJ462" s="194"/>
      <c r="CK462" s="194"/>
      <c r="CL462" s="194"/>
      <c r="CM462" s="194"/>
      <c r="CN462" s="194"/>
      <c r="CO462" s="194"/>
      <c r="CP462" s="194"/>
      <c r="CQ462" s="194"/>
      <c r="CR462" s="194"/>
      <c r="CS462" s="194"/>
      <c r="CT462" s="194"/>
      <c r="CU462" s="194"/>
      <c r="CV462" s="194"/>
      <c r="CW462" s="194"/>
      <c r="CX462" s="194"/>
      <c r="CY462" s="194"/>
      <c r="CZ462" s="194"/>
      <c r="DA462" s="194"/>
      <c r="DB462" s="194"/>
      <c r="DC462" s="194"/>
      <c r="DD462" s="194"/>
      <c r="DE462" s="194"/>
      <c r="DF462" s="194"/>
    </row>
    <row r="463" spans="2:110" s="192" customFormat="1" hidden="1" x14ac:dyDescent="0.35">
      <c r="B463" s="289"/>
      <c r="C463" s="289"/>
      <c r="Q463" s="193"/>
      <c r="R463" s="194">
        <f t="shared" si="338"/>
        <v>18</v>
      </c>
      <c r="S463" s="197">
        <f t="shared" si="304"/>
        <v>0.3888888888888889</v>
      </c>
      <c r="T463" s="194">
        <f t="shared" si="359"/>
        <v>0.69</v>
      </c>
      <c r="U463" s="194">
        <f t="shared" si="360"/>
        <v>1.4999999999999999E-4</v>
      </c>
      <c r="V463" s="197">
        <f t="shared" si="339"/>
        <v>0.3888888888888889</v>
      </c>
      <c r="W463" s="197">
        <f t="shared" si="305"/>
        <v>4.3555555555555561E-3</v>
      </c>
      <c r="X463" s="286">
        <f t="shared" si="306"/>
        <v>1</v>
      </c>
      <c r="Y463" s="286">
        <f t="shared" si="307"/>
        <v>0.17335969315081967</v>
      </c>
      <c r="Z463" s="286">
        <f t="shared" si="308"/>
        <v>0.54964853345132902</v>
      </c>
      <c r="AA463" s="286">
        <f t="shared" si="340"/>
        <v>0.17335969315081967</v>
      </c>
      <c r="AB463" s="197">
        <f t="shared" si="309"/>
        <v>0.36419974881911377</v>
      </c>
      <c r="AC463" s="287">
        <f t="shared" si="310"/>
        <v>4.4451203372005044E-7</v>
      </c>
      <c r="AD463" s="197">
        <f t="shared" si="341"/>
        <v>11.693936048110356</v>
      </c>
      <c r="AE463" s="197">
        <f t="shared" si="342"/>
        <v>35.08180814433107</v>
      </c>
      <c r="AF463" s="197">
        <f t="shared" si="343"/>
        <v>8.5178571428571423E-2</v>
      </c>
      <c r="AG463" s="197">
        <f t="shared" si="344"/>
        <v>0.25553571428571431</v>
      </c>
      <c r="AH463" s="197">
        <f t="shared" si="311"/>
        <v>0.11660930017110901</v>
      </c>
      <c r="AI463" s="197">
        <f t="shared" si="345"/>
        <v>0.11660930017110901</v>
      </c>
      <c r="AJ463" s="218">
        <f t="shared" si="312"/>
        <v>390.00000000000006</v>
      </c>
      <c r="AK463" s="197">
        <f t="shared" si="346"/>
        <v>6.0930617977437734E-2</v>
      </c>
      <c r="AL463" s="197">
        <f t="shared" si="347"/>
        <v>9.6203707235237593E-2</v>
      </c>
      <c r="AM463" s="197">
        <f t="shared" si="348"/>
        <v>4.0790371867740751E-3</v>
      </c>
      <c r="AN463" s="197">
        <f t="shared" si="313"/>
        <v>24.05</v>
      </c>
      <c r="AO463" s="197">
        <f t="shared" si="314"/>
        <v>21.69</v>
      </c>
      <c r="AP463" s="197">
        <f t="shared" si="349"/>
        <v>7.4093290390420161E-2</v>
      </c>
      <c r="AQ463" s="197">
        <f t="shared" si="350"/>
        <v>0.42250439890466829</v>
      </c>
      <c r="AR463" s="197">
        <f t="shared" si="351"/>
        <v>0.30589509873355925</v>
      </c>
      <c r="AS463" s="258">
        <f t="shared" si="352"/>
        <v>0.15228632177729159</v>
      </c>
      <c r="AT463" s="197">
        <f t="shared" si="315"/>
        <v>2.5974058656511614E-4</v>
      </c>
      <c r="AU463" s="194">
        <f t="shared" si="316"/>
        <v>21.19</v>
      </c>
      <c r="AV463" s="197">
        <f t="shared" si="317"/>
        <v>2.7E-2</v>
      </c>
      <c r="AW463" s="197">
        <f t="shared" si="318"/>
        <v>3.4260000000000002E-3</v>
      </c>
      <c r="AX463" s="197">
        <f t="shared" si="353"/>
        <v>6.1668000000000001E-2</v>
      </c>
      <c r="AY463" s="197">
        <f t="shared" si="319"/>
        <v>2.8867476000000005E-3</v>
      </c>
      <c r="AZ463" s="197">
        <f t="shared" si="320"/>
        <v>0</v>
      </c>
      <c r="BA463" s="197">
        <f t="shared" si="354"/>
        <v>7.2596940000000013E-2</v>
      </c>
      <c r="BB463" s="258">
        <f t="shared" si="321"/>
        <v>0.36575210336206115</v>
      </c>
      <c r="BC463" s="197">
        <f t="shared" si="322"/>
        <v>2.2380490766334034E-2</v>
      </c>
      <c r="BD463" s="197">
        <f t="shared" si="355"/>
        <v>4.4760981532668068E-3</v>
      </c>
      <c r="BE463" s="197">
        <f t="shared" si="356"/>
        <v>2.6856588919600841E-2</v>
      </c>
      <c r="BF463" s="197">
        <f t="shared" si="323"/>
        <v>0.20773291256157633</v>
      </c>
      <c r="BG463" s="197">
        <f t="shared" si="324"/>
        <v>5.4608303342508187E-4</v>
      </c>
      <c r="BH463" s="197">
        <f t="shared" si="325"/>
        <v>3.5336687086656722E-2</v>
      </c>
      <c r="BI463" s="197">
        <f t="shared" si="357"/>
        <v>0.44730899017824427</v>
      </c>
      <c r="BJ463" s="197">
        <f t="shared" si="326"/>
        <v>6.769615024661003</v>
      </c>
      <c r="BK463" s="288">
        <f t="shared" si="327"/>
        <v>0.93392401361838984</v>
      </c>
      <c r="BL463" s="197">
        <f t="shared" si="328"/>
        <v>0.37608972359227794</v>
      </c>
      <c r="BM463" s="197">
        <f t="shared" si="329"/>
        <v>7.4353030976985271E-2</v>
      </c>
      <c r="BN463" s="197">
        <f t="shared" si="330"/>
        <v>54.461181858619113</v>
      </c>
      <c r="BO463" s="197">
        <f t="shared" si="358"/>
        <v>0.2082789955950014</v>
      </c>
      <c r="BP463" s="197">
        <f t="shared" si="331"/>
        <v>65.620924669625111</v>
      </c>
      <c r="BQ463" s="197">
        <f t="shared" si="332"/>
        <v>9.9596940000000009E-2</v>
      </c>
      <c r="BR463" s="288">
        <f t="shared" si="333"/>
        <v>0.16008975919012108</v>
      </c>
      <c r="BS463" s="197">
        <f t="shared" si="334"/>
        <v>0.11660930017110901</v>
      </c>
      <c r="BT463" s="197">
        <f t="shared" si="335"/>
        <v>0.36419974881911377</v>
      </c>
      <c r="BU463" s="197">
        <f t="shared" si="336"/>
        <v>0.1713930788771201</v>
      </c>
      <c r="BV463" s="197">
        <f t="shared" si="337"/>
        <v>0.53530306917875781</v>
      </c>
      <c r="BW463" s="194"/>
      <c r="BX463" s="194"/>
      <c r="BY463" s="194"/>
      <c r="BZ463" s="194"/>
      <c r="CA463" s="194"/>
      <c r="CB463" s="194"/>
      <c r="CC463" s="194"/>
      <c r="CD463" s="194"/>
      <c r="CE463" s="194"/>
      <c r="CF463" s="194"/>
      <c r="CG463" s="194"/>
      <c r="CH463" s="194"/>
      <c r="CI463" s="194"/>
      <c r="CJ463" s="194"/>
      <c r="CK463" s="194"/>
      <c r="CL463" s="194"/>
      <c r="CM463" s="194"/>
      <c r="CN463" s="194"/>
      <c r="CO463" s="194"/>
      <c r="CP463" s="194"/>
      <c r="CQ463" s="194"/>
      <c r="CR463" s="194"/>
      <c r="CS463" s="194"/>
      <c r="CT463" s="194"/>
      <c r="CU463" s="194"/>
      <c r="CV463" s="194"/>
      <c r="CW463" s="194"/>
      <c r="CX463" s="194"/>
      <c r="CY463" s="194"/>
      <c r="CZ463" s="194"/>
      <c r="DA463" s="194"/>
      <c r="DB463" s="194"/>
      <c r="DC463" s="194"/>
      <c r="DD463" s="194"/>
      <c r="DE463" s="194"/>
      <c r="DF463" s="194"/>
    </row>
    <row r="464" spans="2:110" s="192" customFormat="1" hidden="1" x14ac:dyDescent="0.35">
      <c r="B464" s="289"/>
      <c r="C464" s="289"/>
      <c r="Q464" s="193"/>
      <c r="R464" s="194">
        <f t="shared" si="338"/>
        <v>18</v>
      </c>
      <c r="S464" s="197">
        <f t="shared" si="304"/>
        <v>0.3888888888888889</v>
      </c>
      <c r="T464" s="194">
        <f t="shared" si="359"/>
        <v>0.69</v>
      </c>
      <c r="U464" s="194">
        <f t="shared" si="360"/>
        <v>1.4999999999999999E-4</v>
      </c>
      <c r="V464" s="197">
        <f t="shared" si="339"/>
        <v>0.3888888888888889</v>
      </c>
      <c r="W464" s="197">
        <f t="shared" si="305"/>
        <v>4.3555555555555561E-3</v>
      </c>
      <c r="X464" s="286">
        <f t="shared" si="306"/>
        <v>1</v>
      </c>
      <c r="Y464" s="286">
        <f t="shared" si="307"/>
        <v>0.17335969315081967</v>
      </c>
      <c r="Z464" s="286">
        <f t="shared" si="308"/>
        <v>0.54964853345132902</v>
      </c>
      <c r="AA464" s="286">
        <f t="shared" si="340"/>
        <v>0.17335969315081967</v>
      </c>
      <c r="AB464" s="197">
        <f t="shared" si="309"/>
        <v>0.36419974881911377</v>
      </c>
      <c r="AC464" s="287">
        <f t="shared" si="310"/>
        <v>4.4451203372005044E-7</v>
      </c>
      <c r="AD464" s="197">
        <f t="shared" si="341"/>
        <v>11.693936048110356</v>
      </c>
      <c r="AE464" s="197">
        <f t="shared" si="342"/>
        <v>35.08180814433107</v>
      </c>
      <c r="AF464" s="197">
        <f t="shared" si="343"/>
        <v>8.5178571428571423E-2</v>
      </c>
      <c r="AG464" s="197">
        <f t="shared" si="344"/>
        <v>0.25553571428571431</v>
      </c>
      <c r="AH464" s="197">
        <f t="shared" si="311"/>
        <v>0.11660930017110901</v>
      </c>
      <c r="AI464" s="197">
        <f t="shared" si="345"/>
        <v>0.11660930017110901</v>
      </c>
      <c r="AJ464" s="218">
        <f t="shared" si="312"/>
        <v>390.00000000000006</v>
      </c>
      <c r="AK464" s="197">
        <f t="shared" si="346"/>
        <v>6.0930617977437734E-2</v>
      </c>
      <c r="AL464" s="197">
        <f t="shared" si="347"/>
        <v>9.6203707235237593E-2</v>
      </c>
      <c r="AM464" s="197">
        <f t="shared" si="348"/>
        <v>4.0790371867740751E-3</v>
      </c>
      <c r="AN464" s="197">
        <f t="shared" si="313"/>
        <v>24.05</v>
      </c>
      <c r="AO464" s="197">
        <f t="shared" si="314"/>
        <v>21.69</v>
      </c>
      <c r="AP464" s="197">
        <f t="shared" si="349"/>
        <v>7.4093290390420161E-2</v>
      </c>
      <c r="AQ464" s="197">
        <f t="shared" si="350"/>
        <v>0.42250439890466829</v>
      </c>
      <c r="AR464" s="197">
        <f t="shared" si="351"/>
        <v>0.30589509873355925</v>
      </c>
      <c r="AS464" s="258">
        <f t="shared" si="352"/>
        <v>0.15228632177729159</v>
      </c>
      <c r="AT464" s="197">
        <f t="shared" si="315"/>
        <v>2.5974058656511614E-4</v>
      </c>
      <c r="AU464" s="194">
        <f t="shared" si="316"/>
        <v>21.19</v>
      </c>
      <c r="AV464" s="197">
        <f t="shared" si="317"/>
        <v>2.7E-2</v>
      </c>
      <c r="AW464" s="197">
        <f t="shared" si="318"/>
        <v>3.4260000000000002E-3</v>
      </c>
      <c r="AX464" s="197">
        <f t="shared" si="353"/>
        <v>6.1668000000000001E-2</v>
      </c>
      <c r="AY464" s="197">
        <f t="shared" si="319"/>
        <v>2.8867476000000005E-3</v>
      </c>
      <c r="AZ464" s="197">
        <f t="shared" si="320"/>
        <v>0</v>
      </c>
      <c r="BA464" s="197">
        <f t="shared" si="354"/>
        <v>7.2596940000000013E-2</v>
      </c>
      <c r="BB464" s="258">
        <f t="shared" si="321"/>
        <v>0.36575210336206115</v>
      </c>
      <c r="BC464" s="197">
        <f t="shared" si="322"/>
        <v>2.2380490766334034E-2</v>
      </c>
      <c r="BD464" s="197">
        <f t="shared" si="355"/>
        <v>4.4760981532668068E-3</v>
      </c>
      <c r="BE464" s="197">
        <f t="shared" si="356"/>
        <v>2.6856588919600841E-2</v>
      </c>
      <c r="BF464" s="197">
        <f t="shared" si="323"/>
        <v>0.20773291256157633</v>
      </c>
      <c r="BG464" s="197">
        <f t="shared" si="324"/>
        <v>5.4608303342508187E-4</v>
      </c>
      <c r="BH464" s="197">
        <f t="shared" si="325"/>
        <v>3.5336687086656722E-2</v>
      </c>
      <c r="BI464" s="197">
        <f t="shared" si="357"/>
        <v>0.44730899017824427</v>
      </c>
      <c r="BJ464" s="197">
        <f t="shared" si="326"/>
        <v>6.769615024661003</v>
      </c>
      <c r="BK464" s="288">
        <f t="shared" si="327"/>
        <v>0.93392401361838984</v>
      </c>
      <c r="BL464" s="197">
        <f t="shared" si="328"/>
        <v>0.37608972359227794</v>
      </c>
      <c r="BM464" s="197">
        <f t="shared" si="329"/>
        <v>7.4353030976985271E-2</v>
      </c>
      <c r="BN464" s="197">
        <f t="shared" si="330"/>
        <v>54.461181858619113</v>
      </c>
      <c r="BO464" s="197">
        <f t="shared" si="358"/>
        <v>0.2082789955950014</v>
      </c>
      <c r="BP464" s="197">
        <f t="shared" si="331"/>
        <v>65.620924669625111</v>
      </c>
      <c r="BQ464" s="197">
        <f t="shared" si="332"/>
        <v>9.9596940000000009E-2</v>
      </c>
      <c r="BR464" s="288">
        <f t="shared" si="333"/>
        <v>0.16008975919012108</v>
      </c>
      <c r="BS464" s="197">
        <f t="shared" si="334"/>
        <v>0.11660930017110901</v>
      </c>
      <c r="BT464" s="197">
        <f t="shared" si="335"/>
        <v>0.36419974881911377</v>
      </c>
      <c r="BU464" s="197">
        <f t="shared" si="336"/>
        <v>0.1713930788771201</v>
      </c>
      <c r="BV464" s="197">
        <f t="shared" si="337"/>
        <v>0.53530306917875781</v>
      </c>
      <c r="BW464" s="194"/>
      <c r="BX464" s="194"/>
      <c r="BY464" s="194"/>
      <c r="BZ464" s="194"/>
      <c r="CA464" s="194"/>
      <c r="CB464" s="194"/>
      <c r="CC464" s="194"/>
      <c r="CD464" s="194"/>
      <c r="CE464" s="194"/>
      <c r="CF464" s="194"/>
      <c r="CG464" s="194"/>
      <c r="CH464" s="194"/>
      <c r="CI464" s="194"/>
      <c r="CJ464" s="194"/>
      <c r="CK464" s="194"/>
      <c r="CL464" s="194"/>
      <c r="CM464" s="194"/>
      <c r="CN464" s="194"/>
      <c r="CO464" s="194"/>
      <c r="CP464" s="194"/>
      <c r="CQ464" s="194"/>
      <c r="CR464" s="194"/>
      <c r="CS464" s="194"/>
      <c r="CT464" s="194"/>
      <c r="CU464" s="194"/>
      <c r="CV464" s="194"/>
      <c r="CW464" s="194"/>
      <c r="CX464" s="194"/>
      <c r="CY464" s="194"/>
      <c r="CZ464" s="194"/>
      <c r="DA464" s="194"/>
      <c r="DB464" s="194"/>
      <c r="DC464" s="194"/>
      <c r="DD464" s="194"/>
      <c r="DE464" s="194"/>
      <c r="DF464" s="194"/>
    </row>
    <row r="465" spans="2:110" s="192" customFormat="1" hidden="1" x14ac:dyDescent="0.35">
      <c r="B465" s="289"/>
      <c r="C465" s="289"/>
      <c r="Q465" s="193"/>
      <c r="R465" s="194">
        <f t="shared" si="338"/>
        <v>18</v>
      </c>
      <c r="S465" s="197">
        <f t="shared" si="304"/>
        <v>0.3888888888888889</v>
      </c>
      <c r="T465" s="194">
        <f t="shared" si="359"/>
        <v>0.69</v>
      </c>
      <c r="U465" s="194">
        <f t="shared" si="360"/>
        <v>1.4999999999999999E-4</v>
      </c>
      <c r="V465" s="197">
        <f t="shared" si="339"/>
        <v>0.3888888888888889</v>
      </c>
      <c r="W465" s="197">
        <f t="shared" si="305"/>
        <v>4.3555555555555561E-3</v>
      </c>
      <c r="X465" s="286">
        <f t="shared" si="306"/>
        <v>1</v>
      </c>
      <c r="Y465" s="286">
        <f t="shared" si="307"/>
        <v>0.17335969315081967</v>
      </c>
      <c r="Z465" s="286">
        <f t="shared" si="308"/>
        <v>0.54964853345132902</v>
      </c>
      <c r="AA465" s="286">
        <f t="shared" si="340"/>
        <v>0.17335969315081967</v>
      </c>
      <c r="AB465" s="197">
        <f t="shared" si="309"/>
        <v>0.36419974881911377</v>
      </c>
      <c r="AC465" s="287">
        <f t="shared" si="310"/>
        <v>4.4451203372005044E-7</v>
      </c>
      <c r="AD465" s="197">
        <f t="shared" si="341"/>
        <v>11.693936048110356</v>
      </c>
      <c r="AE465" s="197">
        <f t="shared" si="342"/>
        <v>35.08180814433107</v>
      </c>
      <c r="AF465" s="197">
        <f t="shared" si="343"/>
        <v>8.5178571428571423E-2</v>
      </c>
      <c r="AG465" s="197">
        <f t="shared" si="344"/>
        <v>0.25553571428571431</v>
      </c>
      <c r="AH465" s="197">
        <f t="shared" si="311"/>
        <v>0.11660930017110901</v>
      </c>
      <c r="AI465" s="197">
        <f t="shared" si="345"/>
        <v>0.11660930017110901</v>
      </c>
      <c r="AJ465" s="218">
        <f t="shared" si="312"/>
        <v>390.00000000000006</v>
      </c>
      <c r="AK465" s="197">
        <f t="shared" si="346"/>
        <v>6.0930617977437734E-2</v>
      </c>
      <c r="AL465" s="197">
        <f t="shared" si="347"/>
        <v>9.6203707235237593E-2</v>
      </c>
      <c r="AM465" s="197">
        <f t="shared" si="348"/>
        <v>4.0790371867740751E-3</v>
      </c>
      <c r="AN465" s="197">
        <f t="shared" si="313"/>
        <v>24.05</v>
      </c>
      <c r="AO465" s="197">
        <f t="shared" si="314"/>
        <v>21.69</v>
      </c>
      <c r="AP465" s="197">
        <f t="shared" si="349"/>
        <v>7.4093290390420161E-2</v>
      </c>
      <c r="AQ465" s="197">
        <f t="shared" si="350"/>
        <v>0.42250439890466829</v>
      </c>
      <c r="AR465" s="197">
        <f t="shared" si="351"/>
        <v>0.30589509873355925</v>
      </c>
      <c r="AS465" s="258">
        <f t="shared" si="352"/>
        <v>0.15228632177729159</v>
      </c>
      <c r="AT465" s="197">
        <f t="shared" si="315"/>
        <v>2.5974058656511614E-4</v>
      </c>
      <c r="AU465" s="194">
        <f t="shared" si="316"/>
        <v>21.19</v>
      </c>
      <c r="AV465" s="197">
        <f t="shared" si="317"/>
        <v>2.7E-2</v>
      </c>
      <c r="AW465" s="197">
        <f t="shared" si="318"/>
        <v>3.4260000000000002E-3</v>
      </c>
      <c r="AX465" s="197">
        <f t="shared" si="353"/>
        <v>6.1668000000000001E-2</v>
      </c>
      <c r="AY465" s="197">
        <f t="shared" si="319"/>
        <v>2.8867476000000005E-3</v>
      </c>
      <c r="AZ465" s="197">
        <f t="shared" si="320"/>
        <v>0</v>
      </c>
      <c r="BA465" s="197">
        <f t="shared" si="354"/>
        <v>7.2596940000000013E-2</v>
      </c>
      <c r="BB465" s="258">
        <f t="shared" si="321"/>
        <v>0.36575210336206115</v>
      </c>
      <c r="BC465" s="197">
        <f t="shared" si="322"/>
        <v>2.2380490766334034E-2</v>
      </c>
      <c r="BD465" s="197">
        <f t="shared" si="355"/>
        <v>4.4760981532668068E-3</v>
      </c>
      <c r="BE465" s="197">
        <f t="shared" si="356"/>
        <v>2.6856588919600841E-2</v>
      </c>
      <c r="BF465" s="197">
        <f t="shared" si="323"/>
        <v>0.20773291256157633</v>
      </c>
      <c r="BG465" s="197">
        <f t="shared" si="324"/>
        <v>5.4608303342508187E-4</v>
      </c>
      <c r="BH465" s="197">
        <f t="shared" si="325"/>
        <v>3.5336687086656722E-2</v>
      </c>
      <c r="BI465" s="197">
        <f t="shared" si="357"/>
        <v>0.44730899017824427</v>
      </c>
      <c r="BJ465" s="197">
        <f t="shared" si="326"/>
        <v>6.769615024661003</v>
      </c>
      <c r="BK465" s="288">
        <f t="shared" si="327"/>
        <v>0.93392401361838984</v>
      </c>
      <c r="BL465" s="197">
        <f t="shared" si="328"/>
        <v>0.37608972359227794</v>
      </c>
      <c r="BM465" s="197">
        <f t="shared" si="329"/>
        <v>7.4353030976985271E-2</v>
      </c>
      <c r="BN465" s="197">
        <f t="shared" si="330"/>
        <v>54.461181858619113</v>
      </c>
      <c r="BO465" s="197">
        <f t="shared" si="358"/>
        <v>0.2082789955950014</v>
      </c>
      <c r="BP465" s="197">
        <f t="shared" si="331"/>
        <v>65.620924669625111</v>
      </c>
      <c r="BQ465" s="197">
        <f t="shared" si="332"/>
        <v>9.9596940000000009E-2</v>
      </c>
      <c r="BR465" s="288">
        <f t="shared" si="333"/>
        <v>0.16008975919012108</v>
      </c>
      <c r="BS465" s="197">
        <f t="shared" si="334"/>
        <v>0.11660930017110901</v>
      </c>
      <c r="BT465" s="197">
        <f t="shared" si="335"/>
        <v>0.36419974881911377</v>
      </c>
      <c r="BU465" s="197">
        <f t="shared" si="336"/>
        <v>0.1713930788771201</v>
      </c>
      <c r="BV465" s="197">
        <f t="shared" si="337"/>
        <v>0.53530306917875781</v>
      </c>
      <c r="BW465" s="194"/>
      <c r="BX465" s="194"/>
      <c r="BY465" s="194"/>
      <c r="BZ465" s="194"/>
      <c r="CA465" s="194"/>
      <c r="CB465" s="194"/>
      <c r="CC465" s="194"/>
      <c r="CD465" s="194"/>
      <c r="CE465" s="194"/>
      <c r="CF465" s="194"/>
      <c r="CG465" s="194"/>
      <c r="CH465" s="194"/>
      <c r="CI465" s="194"/>
      <c r="CJ465" s="194"/>
      <c r="CK465" s="194"/>
      <c r="CL465" s="194"/>
      <c r="CM465" s="194"/>
      <c r="CN465" s="194"/>
      <c r="CO465" s="194"/>
      <c r="CP465" s="194"/>
      <c r="CQ465" s="194"/>
      <c r="CR465" s="194"/>
      <c r="CS465" s="194"/>
      <c r="CT465" s="194"/>
      <c r="CU465" s="194"/>
      <c r="CV465" s="194"/>
      <c r="CW465" s="194"/>
      <c r="CX465" s="194"/>
      <c r="CY465" s="194"/>
      <c r="CZ465" s="194"/>
      <c r="DA465" s="194"/>
      <c r="DB465" s="194"/>
      <c r="DC465" s="194"/>
      <c r="DD465" s="194"/>
      <c r="DE465" s="194"/>
      <c r="DF465" s="194"/>
    </row>
    <row r="466" spans="2:110" s="192" customFormat="1" hidden="1" x14ac:dyDescent="0.35">
      <c r="B466" s="289"/>
      <c r="C466" s="289"/>
      <c r="Q466" s="193"/>
      <c r="R466" s="194">
        <f t="shared" si="338"/>
        <v>18</v>
      </c>
      <c r="S466" s="197">
        <f t="shared" si="304"/>
        <v>0.3888888888888889</v>
      </c>
      <c r="T466" s="194">
        <f t="shared" si="359"/>
        <v>0.69</v>
      </c>
      <c r="U466" s="194">
        <f t="shared" si="360"/>
        <v>1.4999999999999999E-4</v>
      </c>
      <c r="V466" s="197">
        <f t="shared" si="339"/>
        <v>0.3888888888888889</v>
      </c>
      <c r="W466" s="197">
        <f t="shared" si="305"/>
        <v>4.3555555555555561E-3</v>
      </c>
      <c r="X466" s="286">
        <f t="shared" si="306"/>
        <v>1</v>
      </c>
      <c r="Y466" s="286">
        <f t="shared" si="307"/>
        <v>0.17335969315081967</v>
      </c>
      <c r="Z466" s="286">
        <f t="shared" si="308"/>
        <v>0.54964853345132902</v>
      </c>
      <c r="AA466" s="286">
        <f t="shared" si="340"/>
        <v>0.17335969315081967</v>
      </c>
      <c r="AB466" s="197">
        <f t="shared" si="309"/>
        <v>0.36419974881911377</v>
      </c>
      <c r="AC466" s="287">
        <f t="shared" si="310"/>
        <v>4.4451203372005044E-7</v>
      </c>
      <c r="AD466" s="197">
        <f t="shared" si="341"/>
        <v>11.693936048110356</v>
      </c>
      <c r="AE466" s="197">
        <f t="shared" si="342"/>
        <v>35.08180814433107</v>
      </c>
      <c r="AF466" s="197">
        <f t="shared" si="343"/>
        <v>8.5178571428571423E-2</v>
      </c>
      <c r="AG466" s="197">
        <f t="shared" si="344"/>
        <v>0.25553571428571431</v>
      </c>
      <c r="AH466" s="197">
        <f t="shared" si="311"/>
        <v>0.11660930017110901</v>
      </c>
      <c r="AI466" s="197">
        <f t="shared" si="345"/>
        <v>0.11660930017110901</v>
      </c>
      <c r="AJ466" s="218">
        <f t="shared" si="312"/>
        <v>390.00000000000006</v>
      </c>
      <c r="AK466" s="197">
        <f t="shared" si="346"/>
        <v>6.0930617977437734E-2</v>
      </c>
      <c r="AL466" s="197">
        <f t="shared" si="347"/>
        <v>9.6203707235237593E-2</v>
      </c>
      <c r="AM466" s="197">
        <f t="shared" si="348"/>
        <v>4.0790371867740751E-3</v>
      </c>
      <c r="AN466" s="197">
        <f t="shared" si="313"/>
        <v>24.05</v>
      </c>
      <c r="AO466" s="197">
        <f t="shared" si="314"/>
        <v>21.69</v>
      </c>
      <c r="AP466" s="197">
        <f t="shared" si="349"/>
        <v>7.4093290390420161E-2</v>
      </c>
      <c r="AQ466" s="197">
        <f t="shared" si="350"/>
        <v>0.42250439890466829</v>
      </c>
      <c r="AR466" s="197">
        <f t="shared" si="351"/>
        <v>0.30589509873355925</v>
      </c>
      <c r="AS466" s="258">
        <f t="shared" si="352"/>
        <v>0.15228632177729159</v>
      </c>
      <c r="AT466" s="197">
        <f t="shared" si="315"/>
        <v>2.5974058656511614E-4</v>
      </c>
      <c r="AU466" s="194">
        <f t="shared" si="316"/>
        <v>21.19</v>
      </c>
      <c r="AV466" s="197">
        <f t="shared" si="317"/>
        <v>2.7E-2</v>
      </c>
      <c r="AW466" s="197">
        <f t="shared" si="318"/>
        <v>3.4260000000000002E-3</v>
      </c>
      <c r="AX466" s="197">
        <f t="shared" si="353"/>
        <v>6.1668000000000001E-2</v>
      </c>
      <c r="AY466" s="197">
        <f t="shared" si="319"/>
        <v>2.8867476000000005E-3</v>
      </c>
      <c r="AZ466" s="197">
        <f t="shared" si="320"/>
        <v>0</v>
      </c>
      <c r="BA466" s="197">
        <f t="shared" si="354"/>
        <v>7.2596940000000013E-2</v>
      </c>
      <c r="BB466" s="258">
        <f t="shared" si="321"/>
        <v>0.36575210336206115</v>
      </c>
      <c r="BC466" s="197">
        <f t="shared" si="322"/>
        <v>2.2380490766334034E-2</v>
      </c>
      <c r="BD466" s="197">
        <f t="shared" si="355"/>
        <v>4.4760981532668068E-3</v>
      </c>
      <c r="BE466" s="197">
        <f t="shared" si="356"/>
        <v>2.6856588919600841E-2</v>
      </c>
      <c r="BF466" s="197">
        <f t="shared" si="323"/>
        <v>0.20773291256157633</v>
      </c>
      <c r="BG466" s="197">
        <f t="shared" si="324"/>
        <v>5.4608303342508187E-4</v>
      </c>
      <c r="BH466" s="197">
        <f t="shared" si="325"/>
        <v>3.5336687086656722E-2</v>
      </c>
      <c r="BI466" s="197">
        <f t="shared" si="357"/>
        <v>0.44730899017824427</v>
      </c>
      <c r="BJ466" s="197">
        <f t="shared" si="326"/>
        <v>6.769615024661003</v>
      </c>
      <c r="BK466" s="288">
        <f t="shared" si="327"/>
        <v>0.93392401361838984</v>
      </c>
      <c r="BL466" s="197">
        <f t="shared" si="328"/>
        <v>0.37608972359227794</v>
      </c>
      <c r="BM466" s="197">
        <f t="shared" si="329"/>
        <v>7.4353030976985271E-2</v>
      </c>
      <c r="BN466" s="197">
        <f t="shared" si="330"/>
        <v>54.461181858619113</v>
      </c>
      <c r="BO466" s="197">
        <f t="shared" si="358"/>
        <v>0.2082789955950014</v>
      </c>
      <c r="BP466" s="197">
        <f t="shared" si="331"/>
        <v>65.620924669625111</v>
      </c>
      <c r="BQ466" s="197">
        <f t="shared" si="332"/>
        <v>9.9596940000000009E-2</v>
      </c>
      <c r="BR466" s="288">
        <f t="shared" si="333"/>
        <v>0.16008975919012108</v>
      </c>
      <c r="BS466" s="197">
        <f t="shared" si="334"/>
        <v>0.11660930017110901</v>
      </c>
      <c r="BT466" s="197">
        <f t="shared" si="335"/>
        <v>0.36419974881911377</v>
      </c>
      <c r="BU466" s="197">
        <f t="shared" si="336"/>
        <v>0.1713930788771201</v>
      </c>
      <c r="BV466" s="197">
        <f t="shared" si="337"/>
        <v>0.53530306917875781</v>
      </c>
      <c r="BW466" s="194"/>
      <c r="BX466" s="194"/>
      <c r="BY466" s="194"/>
      <c r="BZ466" s="194"/>
      <c r="CA466" s="194"/>
      <c r="CB466" s="194"/>
      <c r="CC466" s="194"/>
      <c r="CD466" s="194"/>
      <c r="CE466" s="194"/>
      <c r="CF466" s="194"/>
      <c r="CG466" s="194"/>
      <c r="CH466" s="194"/>
      <c r="CI466" s="194"/>
      <c r="CJ466" s="194"/>
      <c r="CK466" s="194"/>
      <c r="CL466" s="194"/>
      <c r="CM466" s="194"/>
      <c r="CN466" s="194"/>
      <c r="CO466" s="194"/>
      <c r="CP466" s="194"/>
      <c r="CQ466" s="194"/>
      <c r="CR466" s="194"/>
      <c r="CS466" s="194"/>
      <c r="CT466" s="194"/>
      <c r="CU466" s="194"/>
      <c r="CV466" s="194"/>
      <c r="CW466" s="194"/>
      <c r="CX466" s="194"/>
      <c r="CY466" s="194"/>
      <c r="CZ466" s="194"/>
      <c r="DA466" s="194"/>
      <c r="DB466" s="194"/>
      <c r="DC466" s="194"/>
      <c r="DD466" s="194"/>
      <c r="DE466" s="194"/>
      <c r="DF466" s="194"/>
    </row>
    <row r="467" spans="2:110" s="192" customFormat="1" hidden="1" x14ac:dyDescent="0.35">
      <c r="B467" s="289"/>
      <c r="C467" s="289"/>
      <c r="Q467" s="193"/>
      <c r="R467" s="194">
        <f t="shared" si="338"/>
        <v>18</v>
      </c>
      <c r="S467" s="197">
        <f t="shared" si="304"/>
        <v>0.3888888888888889</v>
      </c>
      <c r="T467" s="194">
        <f t="shared" si="359"/>
        <v>0.69</v>
      </c>
      <c r="U467" s="194">
        <f t="shared" si="360"/>
        <v>1.4999999999999999E-4</v>
      </c>
      <c r="V467" s="197">
        <f t="shared" si="339"/>
        <v>0.3888888888888889</v>
      </c>
      <c r="W467" s="197">
        <f t="shared" si="305"/>
        <v>4.3555555555555561E-3</v>
      </c>
      <c r="X467" s="286">
        <f t="shared" si="306"/>
        <v>1</v>
      </c>
      <c r="Y467" s="286">
        <f t="shared" si="307"/>
        <v>0.17335969315081967</v>
      </c>
      <c r="Z467" s="286">
        <f t="shared" si="308"/>
        <v>0.54964853345132902</v>
      </c>
      <c r="AA467" s="286">
        <f t="shared" si="340"/>
        <v>0.17335969315081967</v>
      </c>
      <c r="AB467" s="197">
        <f t="shared" si="309"/>
        <v>0.36419974881911377</v>
      </c>
      <c r="AC467" s="287">
        <f t="shared" si="310"/>
        <v>4.4451203372005044E-7</v>
      </c>
      <c r="AD467" s="197">
        <f t="shared" si="341"/>
        <v>11.693936048110356</v>
      </c>
      <c r="AE467" s="197">
        <f t="shared" si="342"/>
        <v>35.08180814433107</v>
      </c>
      <c r="AF467" s="197">
        <f t="shared" si="343"/>
        <v>8.5178571428571423E-2</v>
      </c>
      <c r="AG467" s="197">
        <f t="shared" si="344"/>
        <v>0.25553571428571431</v>
      </c>
      <c r="AH467" s="197">
        <f t="shared" si="311"/>
        <v>0.11660930017110901</v>
      </c>
      <c r="AI467" s="197">
        <f t="shared" si="345"/>
        <v>0.11660930017110901</v>
      </c>
      <c r="AJ467" s="218">
        <f t="shared" si="312"/>
        <v>390.00000000000006</v>
      </c>
      <c r="AK467" s="197">
        <f t="shared" si="346"/>
        <v>6.0930617977437734E-2</v>
      </c>
      <c r="AL467" s="197">
        <f t="shared" si="347"/>
        <v>9.6203707235237593E-2</v>
      </c>
      <c r="AM467" s="197">
        <f t="shared" si="348"/>
        <v>4.0790371867740751E-3</v>
      </c>
      <c r="AN467" s="197">
        <f t="shared" si="313"/>
        <v>24.05</v>
      </c>
      <c r="AO467" s="197">
        <f t="shared" si="314"/>
        <v>21.69</v>
      </c>
      <c r="AP467" s="197">
        <f t="shared" si="349"/>
        <v>7.4093290390420161E-2</v>
      </c>
      <c r="AQ467" s="197">
        <f t="shared" si="350"/>
        <v>0.42250439890466829</v>
      </c>
      <c r="AR467" s="197">
        <f t="shared" si="351"/>
        <v>0.30589509873355925</v>
      </c>
      <c r="AS467" s="258">
        <f t="shared" si="352"/>
        <v>0.15228632177729159</v>
      </c>
      <c r="AT467" s="197">
        <f t="shared" si="315"/>
        <v>2.5974058656511614E-4</v>
      </c>
      <c r="AU467" s="194">
        <f t="shared" si="316"/>
        <v>21.19</v>
      </c>
      <c r="AV467" s="197">
        <f t="shared" si="317"/>
        <v>2.7E-2</v>
      </c>
      <c r="AW467" s="197">
        <f t="shared" si="318"/>
        <v>3.4260000000000002E-3</v>
      </c>
      <c r="AX467" s="197">
        <f t="shared" si="353"/>
        <v>6.1668000000000001E-2</v>
      </c>
      <c r="AY467" s="197">
        <f t="shared" si="319"/>
        <v>2.8867476000000005E-3</v>
      </c>
      <c r="AZ467" s="197">
        <f t="shared" si="320"/>
        <v>0</v>
      </c>
      <c r="BA467" s="197">
        <f t="shared" si="354"/>
        <v>7.2596940000000013E-2</v>
      </c>
      <c r="BB467" s="258">
        <f t="shared" si="321"/>
        <v>0.36575210336206115</v>
      </c>
      <c r="BC467" s="197">
        <f t="shared" si="322"/>
        <v>2.2380490766334034E-2</v>
      </c>
      <c r="BD467" s="197">
        <f t="shared" si="355"/>
        <v>4.4760981532668068E-3</v>
      </c>
      <c r="BE467" s="197">
        <f t="shared" si="356"/>
        <v>2.6856588919600841E-2</v>
      </c>
      <c r="BF467" s="197">
        <f t="shared" si="323"/>
        <v>0.20773291256157633</v>
      </c>
      <c r="BG467" s="197">
        <f t="shared" si="324"/>
        <v>5.4608303342508187E-4</v>
      </c>
      <c r="BH467" s="197">
        <f t="shared" si="325"/>
        <v>3.5336687086656722E-2</v>
      </c>
      <c r="BI467" s="197">
        <f t="shared" si="357"/>
        <v>0.44730899017824427</v>
      </c>
      <c r="BJ467" s="197">
        <f t="shared" si="326"/>
        <v>6.769615024661003</v>
      </c>
      <c r="BK467" s="288">
        <f t="shared" si="327"/>
        <v>0.93392401361838984</v>
      </c>
      <c r="BL467" s="197">
        <f t="shared" si="328"/>
        <v>0.37608972359227794</v>
      </c>
      <c r="BM467" s="197">
        <f t="shared" si="329"/>
        <v>7.4353030976985271E-2</v>
      </c>
      <c r="BN467" s="197">
        <f t="shared" si="330"/>
        <v>54.461181858619113</v>
      </c>
      <c r="BO467" s="197">
        <f t="shared" si="358"/>
        <v>0.2082789955950014</v>
      </c>
      <c r="BP467" s="197">
        <f t="shared" si="331"/>
        <v>65.620924669625111</v>
      </c>
      <c r="BQ467" s="197">
        <f t="shared" si="332"/>
        <v>9.9596940000000009E-2</v>
      </c>
      <c r="BR467" s="288">
        <f t="shared" si="333"/>
        <v>0.16008975919012108</v>
      </c>
      <c r="BS467" s="197">
        <f t="shared" si="334"/>
        <v>0.11660930017110901</v>
      </c>
      <c r="BT467" s="197">
        <f t="shared" si="335"/>
        <v>0.36419974881911377</v>
      </c>
      <c r="BU467" s="197">
        <f t="shared" si="336"/>
        <v>0.1713930788771201</v>
      </c>
      <c r="BV467" s="197">
        <f t="shared" si="337"/>
        <v>0.53530306917875781</v>
      </c>
      <c r="BW467" s="194"/>
      <c r="BX467" s="194"/>
      <c r="BY467" s="194"/>
      <c r="BZ467" s="194"/>
      <c r="CA467" s="194"/>
      <c r="CB467" s="194"/>
      <c r="CC467" s="194"/>
      <c r="CD467" s="194"/>
      <c r="CE467" s="194"/>
      <c r="CF467" s="194"/>
      <c r="CG467" s="194"/>
      <c r="CH467" s="194"/>
      <c r="CI467" s="194"/>
      <c r="CJ467" s="194"/>
      <c r="CK467" s="194"/>
      <c r="CL467" s="194"/>
      <c r="CM467" s="194"/>
      <c r="CN467" s="194"/>
      <c r="CO467" s="194"/>
      <c r="CP467" s="194"/>
      <c r="CQ467" s="194"/>
      <c r="CR467" s="194"/>
      <c r="CS467" s="194"/>
      <c r="CT467" s="194"/>
      <c r="CU467" s="194"/>
      <c r="CV467" s="194"/>
      <c r="CW467" s="194"/>
      <c r="CX467" s="194"/>
      <c r="CY467" s="194"/>
      <c r="CZ467" s="194"/>
      <c r="DA467" s="194"/>
      <c r="DB467" s="194"/>
      <c r="DC467" s="194"/>
      <c r="DD467" s="194"/>
      <c r="DE467" s="194"/>
      <c r="DF467" s="194"/>
    </row>
    <row r="468" spans="2:110" s="192" customFormat="1" hidden="1" x14ac:dyDescent="0.35">
      <c r="B468" s="289"/>
      <c r="C468" s="289"/>
      <c r="Q468" s="193"/>
      <c r="R468" s="194">
        <f t="shared" si="338"/>
        <v>18</v>
      </c>
      <c r="S468" s="197">
        <f t="shared" si="304"/>
        <v>0.3888888888888889</v>
      </c>
      <c r="T468" s="194">
        <f t="shared" si="359"/>
        <v>0.69</v>
      </c>
      <c r="U468" s="194">
        <f t="shared" si="360"/>
        <v>1.4999999999999999E-4</v>
      </c>
      <c r="V468" s="197">
        <f t="shared" si="339"/>
        <v>0.3888888888888889</v>
      </c>
      <c r="W468" s="197">
        <f t="shared" si="305"/>
        <v>4.3555555555555561E-3</v>
      </c>
      <c r="X468" s="286">
        <f t="shared" si="306"/>
        <v>1</v>
      </c>
      <c r="Y468" s="286">
        <f t="shared" si="307"/>
        <v>0.17335969315081967</v>
      </c>
      <c r="Z468" s="286">
        <f t="shared" si="308"/>
        <v>0.54964853345132902</v>
      </c>
      <c r="AA468" s="286">
        <f t="shared" si="340"/>
        <v>0.17335969315081967</v>
      </c>
      <c r="AB468" s="197">
        <f t="shared" si="309"/>
        <v>0.36419974881911377</v>
      </c>
      <c r="AC468" s="287">
        <f t="shared" si="310"/>
        <v>4.4451203372005044E-7</v>
      </c>
      <c r="AD468" s="197">
        <f t="shared" si="341"/>
        <v>11.693936048110356</v>
      </c>
      <c r="AE468" s="197">
        <f t="shared" si="342"/>
        <v>35.08180814433107</v>
      </c>
      <c r="AF468" s="197">
        <f t="shared" si="343"/>
        <v>8.5178571428571423E-2</v>
      </c>
      <c r="AG468" s="197">
        <f t="shared" si="344"/>
        <v>0.25553571428571431</v>
      </c>
      <c r="AH468" s="197">
        <f t="shared" si="311"/>
        <v>0.11660930017110901</v>
      </c>
      <c r="AI468" s="197">
        <f t="shared" si="345"/>
        <v>0.11660930017110901</v>
      </c>
      <c r="AJ468" s="218">
        <f t="shared" si="312"/>
        <v>390.00000000000006</v>
      </c>
      <c r="AK468" s="197">
        <f t="shared" si="346"/>
        <v>6.0930617977437734E-2</v>
      </c>
      <c r="AL468" s="197">
        <f t="shared" si="347"/>
        <v>9.6203707235237593E-2</v>
      </c>
      <c r="AM468" s="197">
        <f t="shared" si="348"/>
        <v>4.0790371867740751E-3</v>
      </c>
      <c r="AN468" s="197">
        <f t="shared" si="313"/>
        <v>24.05</v>
      </c>
      <c r="AO468" s="197">
        <f t="shared" si="314"/>
        <v>21.69</v>
      </c>
      <c r="AP468" s="197">
        <f t="shared" si="349"/>
        <v>7.4093290390420161E-2</v>
      </c>
      <c r="AQ468" s="197">
        <f t="shared" si="350"/>
        <v>0.42250439890466829</v>
      </c>
      <c r="AR468" s="197">
        <f t="shared" si="351"/>
        <v>0.30589509873355925</v>
      </c>
      <c r="AS468" s="258">
        <f t="shared" si="352"/>
        <v>0.15228632177729159</v>
      </c>
      <c r="AT468" s="197">
        <f t="shared" si="315"/>
        <v>2.5974058656511614E-4</v>
      </c>
      <c r="AU468" s="194">
        <f t="shared" si="316"/>
        <v>21.19</v>
      </c>
      <c r="AV468" s="197">
        <f t="shared" si="317"/>
        <v>2.7E-2</v>
      </c>
      <c r="AW468" s="197">
        <f t="shared" si="318"/>
        <v>3.4260000000000002E-3</v>
      </c>
      <c r="AX468" s="197">
        <f t="shared" si="353"/>
        <v>6.1668000000000001E-2</v>
      </c>
      <c r="AY468" s="197">
        <f t="shared" si="319"/>
        <v>2.8867476000000005E-3</v>
      </c>
      <c r="AZ468" s="197">
        <f t="shared" si="320"/>
        <v>0</v>
      </c>
      <c r="BA468" s="197">
        <f t="shared" si="354"/>
        <v>7.2596940000000013E-2</v>
      </c>
      <c r="BB468" s="258">
        <f t="shared" si="321"/>
        <v>0.36575210336206115</v>
      </c>
      <c r="BC468" s="197">
        <f t="shared" si="322"/>
        <v>2.2380490766334034E-2</v>
      </c>
      <c r="BD468" s="197">
        <f t="shared" si="355"/>
        <v>4.4760981532668068E-3</v>
      </c>
      <c r="BE468" s="197">
        <f t="shared" si="356"/>
        <v>2.6856588919600841E-2</v>
      </c>
      <c r="BF468" s="197">
        <f t="shared" si="323"/>
        <v>0.20773291256157633</v>
      </c>
      <c r="BG468" s="197">
        <f t="shared" si="324"/>
        <v>5.4608303342508187E-4</v>
      </c>
      <c r="BH468" s="197">
        <f t="shared" si="325"/>
        <v>3.5336687086656722E-2</v>
      </c>
      <c r="BI468" s="197">
        <f t="shared" si="357"/>
        <v>0.44730899017824427</v>
      </c>
      <c r="BJ468" s="197">
        <f t="shared" si="326"/>
        <v>6.769615024661003</v>
      </c>
      <c r="BK468" s="288">
        <f t="shared" si="327"/>
        <v>0.93392401361838984</v>
      </c>
      <c r="BL468" s="197">
        <f t="shared" si="328"/>
        <v>0.37608972359227794</v>
      </c>
      <c r="BM468" s="197">
        <f t="shared" si="329"/>
        <v>7.4353030976985271E-2</v>
      </c>
      <c r="BN468" s="197">
        <f t="shared" si="330"/>
        <v>54.461181858619113</v>
      </c>
      <c r="BO468" s="197">
        <f t="shared" si="358"/>
        <v>0.2082789955950014</v>
      </c>
      <c r="BP468" s="197">
        <f t="shared" si="331"/>
        <v>65.620924669625111</v>
      </c>
      <c r="BQ468" s="197">
        <f t="shared" si="332"/>
        <v>9.9596940000000009E-2</v>
      </c>
      <c r="BR468" s="288">
        <f t="shared" si="333"/>
        <v>0.16008975919012108</v>
      </c>
      <c r="BS468" s="197">
        <f t="shared" si="334"/>
        <v>0.11660930017110901</v>
      </c>
      <c r="BT468" s="197">
        <f t="shared" si="335"/>
        <v>0.36419974881911377</v>
      </c>
      <c r="BU468" s="197">
        <f t="shared" si="336"/>
        <v>0.1713930788771201</v>
      </c>
      <c r="BV468" s="197">
        <f t="shared" si="337"/>
        <v>0.53530306917875781</v>
      </c>
      <c r="BW468" s="194"/>
      <c r="BX468" s="194"/>
      <c r="BY468" s="194"/>
      <c r="BZ468" s="194"/>
      <c r="CA468" s="194"/>
      <c r="CB468" s="194"/>
      <c r="CC468" s="194"/>
      <c r="CD468" s="194"/>
      <c r="CE468" s="194"/>
      <c r="CF468" s="194"/>
      <c r="CG468" s="194"/>
      <c r="CH468" s="194"/>
      <c r="CI468" s="194"/>
      <c r="CJ468" s="194"/>
      <c r="CK468" s="194"/>
      <c r="CL468" s="194"/>
      <c r="CM468" s="194"/>
      <c r="CN468" s="194"/>
      <c r="CO468" s="194"/>
      <c r="CP468" s="194"/>
      <c r="CQ468" s="194"/>
      <c r="CR468" s="194"/>
      <c r="CS468" s="194"/>
      <c r="CT468" s="194"/>
      <c r="CU468" s="194"/>
      <c r="CV468" s="194"/>
      <c r="CW468" s="194"/>
      <c r="CX468" s="194"/>
      <c r="CY468" s="194"/>
      <c r="CZ468" s="194"/>
      <c r="DA468" s="194"/>
      <c r="DB468" s="194"/>
      <c r="DC468" s="194"/>
      <c r="DD468" s="194"/>
      <c r="DE468" s="194"/>
      <c r="DF468" s="194"/>
    </row>
    <row r="469" spans="2:110" s="192" customFormat="1" hidden="1" x14ac:dyDescent="0.35">
      <c r="B469" s="289"/>
      <c r="C469" s="289"/>
      <c r="Q469" s="193"/>
      <c r="R469" s="194">
        <f t="shared" si="338"/>
        <v>18</v>
      </c>
      <c r="S469" s="197">
        <f t="shared" si="304"/>
        <v>0.3888888888888889</v>
      </c>
      <c r="T469" s="194">
        <f t="shared" si="359"/>
        <v>0.69</v>
      </c>
      <c r="U469" s="194">
        <f t="shared" si="360"/>
        <v>1.4999999999999999E-4</v>
      </c>
      <c r="V469" s="197">
        <f t="shared" si="339"/>
        <v>0.3888888888888889</v>
      </c>
      <c r="W469" s="197">
        <f t="shared" si="305"/>
        <v>4.3555555555555561E-3</v>
      </c>
      <c r="X469" s="286">
        <f t="shared" si="306"/>
        <v>1</v>
      </c>
      <c r="Y469" s="286">
        <f t="shared" si="307"/>
        <v>0.17335969315081967</v>
      </c>
      <c r="Z469" s="286">
        <f t="shared" si="308"/>
        <v>0.54964853345132902</v>
      </c>
      <c r="AA469" s="286">
        <f t="shared" si="340"/>
        <v>0.17335969315081967</v>
      </c>
      <c r="AB469" s="197">
        <f t="shared" si="309"/>
        <v>0.36419974881911377</v>
      </c>
      <c r="AC469" s="287">
        <f t="shared" si="310"/>
        <v>4.4451203372005044E-7</v>
      </c>
      <c r="AD469" s="197">
        <f t="shared" si="341"/>
        <v>11.693936048110356</v>
      </c>
      <c r="AE469" s="197">
        <f t="shared" si="342"/>
        <v>35.08180814433107</v>
      </c>
      <c r="AF469" s="197">
        <f t="shared" si="343"/>
        <v>8.5178571428571423E-2</v>
      </c>
      <c r="AG469" s="197">
        <f t="shared" si="344"/>
        <v>0.25553571428571431</v>
      </c>
      <c r="AH469" s="197">
        <f t="shared" si="311"/>
        <v>0.11660930017110901</v>
      </c>
      <c r="AI469" s="197">
        <f t="shared" si="345"/>
        <v>0.11660930017110901</v>
      </c>
      <c r="AJ469" s="218">
        <f t="shared" si="312"/>
        <v>390.00000000000006</v>
      </c>
      <c r="AK469" s="197">
        <f t="shared" si="346"/>
        <v>6.0930617977437734E-2</v>
      </c>
      <c r="AL469" s="197">
        <f t="shared" si="347"/>
        <v>9.6203707235237593E-2</v>
      </c>
      <c r="AM469" s="197">
        <f t="shared" si="348"/>
        <v>4.0790371867740751E-3</v>
      </c>
      <c r="AN469" s="197">
        <f t="shared" si="313"/>
        <v>24.05</v>
      </c>
      <c r="AO469" s="197">
        <f t="shared" si="314"/>
        <v>21.69</v>
      </c>
      <c r="AP469" s="197">
        <f t="shared" si="349"/>
        <v>7.4093290390420161E-2</v>
      </c>
      <c r="AQ469" s="197">
        <f t="shared" si="350"/>
        <v>0.42250439890466829</v>
      </c>
      <c r="AR469" s="197">
        <f t="shared" si="351"/>
        <v>0.30589509873355925</v>
      </c>
      <c r="AS469" s="258">
        <f t="shared" si="352"/>
        <v>0.15228632177729159</v>
      </c>
      <c r="AT469" s="197">
        <f t="shared" si="315"/>
        <v>2.5974058656511614E-4</v>
      </c>
      <c r="AU469" s="194">
        <f t="shared" si="316"/>
        <v>21.19</v>
      </c>
      <c r="AV469" s="197">
        <f t="shared" si="317"/>
        <v>2.7E-2</v>
      </c>
      <c r="AW469" s="197">
        <f t="shared" si="318"/>
        <v>3.4260000000000002E-3</v>
      </c>
      <c r="AX469" s="197">
        <f t="shared" si="353"/>
        <v>6.1668000000000001E-2</v>
      </c>
      <c r="AY469" s="197">
        <f t="shared" si="319"/>
        <v>2.8867476000000005E-3</v>
      </c>
      <c r="AZ469" s="197">
        <f t="shared" si="320"/>
        <v>0</v>
      </c>
      <c r="BA469" s="197">
        <f t="shared" si="354"/>
        <v>7.2596940000000013E-2</v>
      </c>
      <c r="BB469" s="258">
        <f t="shared" si="321"/>
        <v>0.36575210336206115</v>
      </c>
      <c r="BC469" s="197">
        <f t="shared" si="322"/>
        <v>2.2380490766334034E-2</v>
      </c>
      <c r="BD469" s="197">
        <f t="shared" si="355"/>
        <v>4.4760981532668068E-3</v>
      </c>
      <c r="BE469" s="197">
        <f t="shared" si="356"/>
        <v>2.6856588919600841E-2</v>
      </c>
      <c r="BF469" s="197">
        <f t="shared" si="323"/>
        <v>0.20773291256157633</v>
      </c>
      <c r="BG469" s="197">
        <f t="shared" si="324"/>
        <v>5.4608303342508187E-4</v>
      </c>
      <c r="BH469" s="197">
        <f t="shared" si="325"/>
        <v>3.5336687086656722E-2</v>
      </c>
      <c r="BI469" s="197">
        <f t="shared" si="357"/>
        <v>0.44730899017824427</v>
      </c>
      <c r="BJ469" s="197">
        <f t="shared" si="326"/>
        <v>6.769615024661003</v>
      </c>
      <c r="BK469" s="288">
        <f t="shared" si="327"/>
        <v>0.93392401361838984</v>
      </c>
      <c r="BL469" s="197">
        <f t="shared" si="328"/>
        <v>0.37608972359227794</v>
      </c>
      <c r="BM469" s="197">
        <f t="shared" si="329"/>
        <v>7.4353030976985271E-2</v>
      </c>
      <c r="BN469" s="197">
        <f t="shared" si="330"/>
        <v>54.461181858619113</v>
      </c>
      <c r="BO469" s="197">
        <f t="shared" si="358"/>
        <v>0.2082789955950014</v>
      </c>
      <c r="BP469" s="197">
        <f t="shared" si="331"/>
        <v>65.620924669625111</v>
      </c>
      <c r="BQ469" s="197">
        <f t="shared" si="332"/>
        <v>9.9596940000000009E-2</v>
      </c>
      <c r="BR469" s="288">
        <f t="shared" si="333"/>
        <v>0.16008975919012108</v>
      </c>
      <c r="BS469" s="197">
        <f t="shared" si="334"/>
        <v>0.11660930017110901</v>
      </c>
      <c r="BT469" s="197">
        <f t="shared" si="335"/>
        <v>0.36419974881911377</v>
      </c>
      <c r="BU469" s="197">
        <f t="shared" si="336"/>
        <v>0.1713930788771201</v>
      </c>
      <c r="BV469" s="197">
        <f t="shared" si="337"/>
        <v>0.53530306917875781</v>
      </c>
      <c r="BW469" s="194"/>
      <c r="BX469" s="194"/>
      <c r="BY469" s="194"/>
      <c r="BZ469" s="194"/>
      <c r="CA469" s="194"/>
      <c r="CB469" s="194"/>
      <c r="CC469" s="194"/>
      <c r="CD469" s="194"/>
      <c r="CE469" s="194"/>
      <c r="CF469" s="194"/>
      <c r="CG469" s="194"/>
      <c r="CH469" s="194"/>
      <c r="CI469" s="194"/>
      <c r="CJ469" s="194"/>
      <c r="CK469" s="194"/>
      <c r="CL469" s="194"/>
      <c r="CM469" s="194"/>
      <c r="CN469" s="194"/>
      <c r="CO469" s="194"/>
      <c r="CP469" s="194"/>
      <c r="CQ469" s="194"/>
      <c r="CR469" s="194"/>
      <c r="CS469" s="194"/>
      <c r="CT469" s="194"/>
      <c r="CU469" s="194"/>
      <c r="CV469" s="194"/>
      <c r="CW469" s="194"/>
      <c r="CX469" s="194"/>
      <c r="CY469" s="194"/>
      <c r="CZ469" s="194"/>
      <c r="DA469" s="194"/>
      <c r="DB469" s="194"/>
      <c r="DC469" s="194"/>
      <c r="DD469" s="194"/>
      <c r="DE469" s="194"/>
      <c r="DF469" s="194"/>
    </row>
    <row r="470" spans="2:110" s="192" customFormat="1" hidden="1" x14ac:dyDescent="0.35">
      <c r="B470" s="289"/>
      <c r="C470" s="289"/>
      <c r="Q470" s="193"/>
      <c r="R470" s="194">
        <f t="shared" si="338"/>
        <v>18</v>
      </c>
      <c r="S470" s="197">
        <f t="shared" si="304"/>
        <v>0.3888888888888889</v>
      </c>
      <c r="T470" s="194">
        <f t="shared" si="359"/>
        <v>0.69</v>
      </c>
      <c r="U470" s="194">
        <f t="shared" si="360"/>
        <v>1.4999999999999999E-4</v>
      </c>
      <c r="V470" s="197">
        <f t="shared" si="339"/>
        <v>0.3888888888888889</v>
      </c>
      <c r="W470" s="197">
        <f t="shared" si="305"/>
        <v>4.3555555555555561E-3</v>
      </c>
      <c r="X470" s="286">
        <f t="shared" si="306"/>
        <v>1</v>
      </c>
      <c r="Y470" s="286">
        <f t="shared" si="307"/>
        <v>0.17335969315081967</v>
      </c>
      <c r="Z470" s="286">
        <f t="shared" si="308"/>
        <v>0.54964853345132902</v>
      </c>
      <c r="AA470" s="286">
        <f t="shared" si="340"/>
        <v>0.17335969315081967</v>
      </c>
      <c r="AB470" s="197">
        <f t="shared" si="309"/>
        <v>0.36419974881911377</v>
      </c>
      <c r="AC470" s="287">
        <f t="shared" si="310"/>
        <v>4.4451203372005044E-7</v>
      </c>
      <c r="AD470" s="197">
        <f t="shared" si="341"/>
        <v>11.693936048110356</v>
      </c>
      <c r="AE470" s="197">
        <f t="shared" si="342"/>
        <v>35.08180814433107</v>
      </c>
      <c r="AF470" s="197">
        <f t="shared" si="343"/>
        <v>8.5178571428571423E-2</v>
      </c>
      <c r="AG470" s="197">
        <f t="shared" si="344"/>
        <v>0.25553571428571431</v>
      </c>
      <c r="AH470" s="197">
        <f t="shared" si="311"/>
        <v>0.11660930017110901</v>
      </c>
      <c r="AI470" s="197">
        <f t="shared" si="345"/>
        <v>0.11660930017110901</v>
      </c>
      <c r="AJ470" s="218">
        <f t="shared" si="312"/>
        <v>390.00000000000006</v>
      </c>
      <c r="AK470" s="197">
        <f t="shared" si="346"/>
        <v>6.0930617977437734E-2</v>
      </c>
      <c r="AL470" s="197">
        <f t="shared" si="347"/>
        <v>9.6203707235237593E-2</v>
      </c>
      <c r="AM470" s="197">
        <f t="shared" si="348"/>
        <v>4.0790371867740751E-3</v>
      </c>
      <c r="AN470" s="197">
        <f t="shared" si="313"/>
        <v>24.05</v>
      </c>
      <c r="AO470" s="197">
        <f t="shared" si="314"/>
        <v>21.69</v>
      </c>
      <c r="AP470" s="197">
        <f t="shared" si="349"/>
        <v>7.4093290390420161E-2</v>
      </c>
      <c r="AQ470" s="197">
        <f t="shared" si="350"/>
        <v>0.42250439890466829</v>
      </c>
      <c r="AR470" s="197">
        <f t="shared" si="351"/>
        <v>0.30589509873355925</v>
      </c>
      <c r="AS470" s="258">
        <f t="shared" si="352"/>
        <v>0.15228632177729159</v>
      </c>
      <c r="AT470" s="197">
        <f t="shared" si="315"/>
        <v>2.5974058656511614E-4</v>
      </c>
      <c r="AU470" s="194">
        <f t="shared" si="316"/>
        <v>21.19</v>
      </c>
      <c r="AV470" s="197">
        <f t="shared" si="317"/>
        <v>2.7E-2</v>
      </c>
      <c r="AW470" s="197">
        <f t="shared" si="318"/>
        <v>3.4260000000000002E-3</v>
      </c>
      <c r="AX470" s="197">
        <f t="shared" si="353"/>
        <v>6.1668000000000001E-2</v>
      </c>
      <c r="AY470" s="197">
        <f t="shared" si="319"/>
        <v>2.8867476000000005E-3</v>
      </c>
      <c r="AZ470" s="197">
        <f t="shared" si="320"/>
        <v>0</v>
      </c>
      <c r="BA470" s="197">
        <f t="shared" si="354"/>
        <v>7.2596940000000013E-2</v>
      </c>
      <c r="BB470" s="258">
        <f t="shared" si="321"/>
        <v>0.36575210336206115</v>
      </c>
      <c r="BC470" s="197">
        <f t="shared" si="322"/>
        <v>2.2380490766334034E-2</v>
      </c>
      <c r="BD470" s="197">
        <f t="shared" si="355"/>
        <v>4.4760981532668068E-3</v>
      </c>
      <c r="BE470" s="197">
        <f t="shared" si="356"/>
        <v>2.6856588919600841E-2</v>
      </c>
      <c r="BF470" s="197">
        <f t="shared" si="323"/>
        <v>0.20773291256157633</v>
      </c>
      <c r="BG470" s="197">
        <f t="shared" si="324"/>
        <v>5.4608303342508187E-4</v>
      </c>
      <c r="BH470" s="197">
        <f t="shared" si="325"/>
        <v>3.5336687086656722E-2</v>
      </c>
      <c r="BI470" s="197">
        <f t="shared" si="357"/>
        <v>0.44730899017824427</v>
      </c>
      <c r="BJ470" s="197">
        <f t="shared" si="326"/>
        <v>6.769615024661003</v>
      </c>
      <c r="BK470" s="288">
        <f t="shared" si="327"/>
        <v>0.93392401361838984</v>
      </c>
      <c r="BL470" s="197">
        <f t="shared" si="328"/>
        <v>0.37608972359227794</v>
      </c>
      <c r="BM470" s="197">
        <f t="shared" si="329"/>
        <v>7.4353030976985271E-2</v>
      </c>
      <c r="BN470" s="197">
        <f t="shared" si="330"/>
        <v>54.461181858619113</v>
      </c>
      <c r="BO470" s="197">
        <f t="shared" si="358"/>
        <v>0.2082789955950014</v>
      </c>
      <c r="BP470" s="197">
        <f t="shared" si="331"/>
        <v>65.620924669625111</v>
      </c>
      <c r="BQ470" s="197">
        <f t="shared" si="332"/>
        <v>9.9596940000000009E-2</v>
      </c>
      <c r="BR470" s="288">
        <f t="shared" si="333"/>
        <v>0.16008975919012108</v>
      </c>
      <c r="BS470" s="197">
        <f t="shared" si="334"/>
        <v>0.11660930017110901</v>
      </c>
      <c r="BT470" s="197">
        <f t="shared" si="335"/>
        <v>0.36419974881911377</v>
      </c>
      <c r="BU470" s="197">
        <f t="shared" si="336"/>
        <v>0.1713930788771201</v>
      </c>
      <c r="BV470" s="197">
        <f t="shared" si="337"/>
        <v>0.53530306917875781</v>
      </c>
      <c r="BW470" s="194"/>
      <c r="BX470" s="194"/>
      <c r="BY470" s="194"/>
      <c r="BZ470" s="194"/>
      <c r="CA470" s="194"/>
      <c r="CB470" s="194"/>
      <c r="CC470" s="194"/>
      <c r="CD470" s="194"/>
      <c r="CE470" s="194"/>
      <c r="CF470" s="194"/>
      <c r="CG470" s="194"/>
      <c r="CH470" s="194"/>
      <c r="CI470" s="194"/>
      <c r="CJ470" s="194"/>
      <c r="CK470" s="194"/>
      <c r="CL470" s="194"/>
      <c r="CM470" s="194"/>
      <c r="CN470" s="194"/>
      <c r="CO470" s="194"/>
      <c r="CP470" s="194"/>
      <c r="CQ470" s="194"/>
      <c r="CR470" s="194"/>
      <c r="CS470" s="194"/>
      <c r="CT470" s="194"/>
      <c r="CU470" s="194"/>
      <c r="CV470" s="194"/>
      <c r="CW470" s="194"/>
      <c r="CX470" s="194"/>
      <c r="CY470" s="194"/>
      <c r="CZ470" s="194"/>
      <c r="DA470" s="194"/>
      <c r="DB470" s="194"/>
      <c r="DC470" s="194"/>
      <c r="DD470" s="194"/>
      <c r="DE470" s="194"/>
      <c r="DF470" s="194"/>
    </row>
    <row r="471" spans="2:110" s="192" customFormat="1" hidden="1" x14ac:dyDescent="0.35">
      <c r="B471" s="289"/>
      <c r="C471" s="289"/>
      <c r="Q471" s="193"/>
      <c r="R471" s="194">
        <f t="shared" si="338"/>
        <v>18</v>
      </c>
      <c r="S471" s="197">
        <f t="shared" si="304"/>
        <v>0.3888888888888889</v>
      </c>
      <c r="T471" s="194">
        <f t="shared" si="359"/>
        <v>0.69</v>
      </c>
      <c r="U471" s="194">
        <f t="shared" si="360"/>
        <v>1.4999999999999999E-4</v>
      </c>
      <c r="V471" s="197">
        <f t="shared" si="339"/>
        <v>0.3888888888888889</v>
      </c>
      <c r="W471" s="197">
        <f t="shared" si="305"/>
        <v>4.3555555555555561E-3</v>
      </c>
      <c r="X471" s="286">
        <f t="shared" si="306"/>
        <v>1</v>
      </c>
      <c r="Y471" s="286">
        <f t="shared" si="307"/>
        <v>0.17335969315081967</v>
      </c>
      <c r="Z471" s="286">
        <f t="shared" si="308"/>
        <v>0.54964853345132902</v>
      </c>
      <c r="AA471" s="286">
        <f t="shared" si="340"/>
        <v>0.17335969315081967</v>
      </c>
      <c r="AB471" s="197">
        <f t="shared" si="309"/>
        <v>0.36419974881911377</v>
      </c>
      <c r="AC471" s="287">
        <f t="shared" si="310"/>
        <v>4.4451203372005044E-7</v>
      </c>
      <c r="AD471" s="197">
        <f t="shared" si="341"/>
        <v>11.693936048110356</v>
      </c>
      <c r="AE471" s="197">
        <f t="shared" si="342"/>
        <v>35.08180814433107</v>
      </c>
      <c r="AF471" s="197">
        <f t="shared" si="343"/>
        <v>8.5178571428571423E-2</v>
      </c>
      <c r="AG471" s="197">
        <f t="shared" si="344"/>
        <v>0.25553571428571431</v>
      </c>
      <c r="AH471" s="197">
        <f t="shared" si="311"/>
        <v>0.11660930017110901</v>
      </c>
      <c r="AI471" s="197">
        <f t="shared" si="345"/>
        <v>0.11660930017110901</v>
      </c>
      <c r="AJ471" s="218">
        <f t="shared" si="312"/>
        <v>390.00000000000006</v>
      </c>
      <c r="AK471" s="197">
        <f t="shared" si="346"/>
        <v>6.0930617977437734E-2</v>
      </c>
      <c r="AL471" s="197">
        <f t="shared" si="347"/>
        <v>9.6203707235237593E-2</v>
      </c>
      <c r="AM471" s="197">
        <f t="shared" si="348"/>
        <v>4.0790371867740751E-3</v>
      </c>
      <c r="AN471" s="197">
        <f t="shared" si="313"/>
        <v>24.05</v>
      </c>
      <c r="AO471" s="197">
        <f t="shared" si="314"/>
        <v>21.69</v>
      </c>
      <c r="AP471" s="197">
        <f t="shared" si="349"/>
        <v>7.4093290390420161E-2</v>
      </c>
      <c r="AQ471" s="197">
        <f t="shared" si="350"/>
        <v>0.42250439890466829</v>
      </c>
      <c r="AR471" s="197">
        <f t="shared" si="351"/>
        <v>0.30589509873355925</v>
      </c>
      <c r="AS471" s="258">
        <f t="shared" si="352"/>
        <v>0.15228632177729159</v>
      </c>
      <c r="AT471" s="197">
        <f t="shared" si="315"/>
        <v>2.5974058656511614E-4</v>
      </c>
      <c r="AU471" s="194">
        <f t="shared" si="316"/>
        <v>21.19</v>
      </c>
      <c r="AV471" s="197">
        <f t="shared" si="317"/>
        <v>2.7E-2</v>
      </c>
      <c r="AW471" s="197">
        <f t="shared" si="318"/>
        <v>3.4260000000000002E-3</v>
      </c>
      <c r="AX471" s="197">
        <f t="shared" si="353"/>
        <v>6.1668000000000001E-2</v>
      </c>
      <c r="AY471" s="197">
        <f t="shared" si="319"/>
        <v>2.8867476000000005E-3</v>
      </c>
      <c r="AZ471" s="197">
        <f t="shared" si="320"/>
        <v>0</v>
      </c>
      <c r="BA471" s="197">
        <f t="shared" si="354"/>
        <v>7.2596940000000013E-2</v>
      </c>
      <c r="BB471" s="258">
        <f t="shared" si="321"/>
        <v>0.36575210336206115</v>
      </c>
      <c r="BC471" s="197">
        <f t="shared" si="322"/>
        <v>2.2380490766334034E-2</v>
      </c>
      <c r="BD471" s="197">
        <f t="shared" si="355"/>
        <v>4.4760981532668068E-3</v>
      </c>
      <c r="BE471" s="197">
        <f t="shared" si="356"/>
        <v>2.6856588919600841E-2</v>
      </c>
      <c r="BF471" s="197">
        <f t="shared" si="323"/>
        <v>0.20773291256157633</v>
      </c>
      <c r="BG471" s="197">
        <f t="shared" si="324"/>
        <v>5.4608303342508187E-4</v>
      </c>
      <c r="BH471" s="197">
        <f t="shared" si="325"/>
        <v>3.5336687086656722E-2</v>
      </c>
      <c r="BI471" s="197">
        <f t="shared" si="357"/>
        <v>0.44730899017824427</v>
      </c>
      <c r="BJ471" s="197">
        <f t="shared" si="326"/>
        <v>6.769615024661003</v>
      </c>
      <c r="BK471" s="288">
        <f t="shared" si="327"/>
        <v>0.93392401361838984</v>
      </c>
      <c r="BL471" s="197">
        <f t="shared" si="328"/>
        <v>0.37608972359227794</v>
      </c>
      <c r="BM471" s="197">
        <f t="shared" si="329"/>
        <v>7.4353030976985271E-2</v>
      </c>
      <c r="BN471" s="197">
        <f t="shared" si="330"/>
        <v>54.461181858619113</v>
      </c>
      <c r="BO471" s="197">
        <f t="shared" si="358"/>
        <v>0.2082789955950014</v>
      </c>
      <c r="BP471" s="197">
        <f t="shared" si="331"/>
        <v>65.620924669625111</v>
      </c>
      <c r="BQ471" s="197">
        <f t="shared" si="332"/>
        <v>9.9596940000000009E-2</v>
      </c>
      <c r="BR471" s="288">
        <f t="shared" si="333"/>
        <v>0.16008975919012108</v>
      </c>
      <c r="BS471" s="197">
        <f t="shared" si="334"/>
        <v>0.11660930017110901</v>
      </c>
      <c r="BT471" s="197">
        <f t="shared" si="335"/>
        <v>0.36419974881911377</v>
      </c>
      <c r="BU471" s="197">
        <f t="shared" si="336"/>
        <v>0.1713930788771201</v>
      </c>
      <c r="BV471" s="197">
        <f t="shared" si="337"/>
        <v>0.53530306917875781</v>
      </c>
      <c r="BW471" s="194"/>
      <c r="BX471" s="194"/>
      <c r="BY471" s="194"/>
      <c r="BZ471" s="194"/>
      <c r="CA471" s="194"/>
      <c r="CB471" s="194"/>
      <c r="CC471" s="194"/>
      <c r="CD471" s="194"/>
      <c r="CE471" s="194"/>
      <c r="CF471" s="194"/>
      <c r="CG471" s="194"/>
      <c r="CH471" s="194"/>
      <c r="CI471" s="194"/>
      <c r="CJ471" s="194"/>
      <c r="CK471" s="194"/>
      <c r="CL471" s="194"/>
      <c r="CM471" s="194"/>
      <c r="CN471" s="194"/>
      <c r="CO471" s="194"/>
      <c r="CP471" s="194"/>
      <c r="CQ471" s="194"/>
      <c r="CR471" s="194"/>
      <c r="CS471" s="194"/>
      <c r="CT471" s="194"/>
      <c r="CU471" s="194"/>
      <c r="CV471" s="194"/>
      <c r="CW471" s="194"/>
      <c r="CX471" s="194"/>
      <c r="CY471" s="194"/>
      <c r="CZ471" s="194"/>
      <c r="DA471" s="194"/>
      <c r="DB471" s="194"/>
      <c r="DC471" s="194"/>
      <c r="DD471" s="194"/>
      <c r="DE471" s="194"/>
      <c r="DF471" s="194"/>
    </row>
    <row r="472" spans="2:110" s="192" customFormat="1" hidden="1" x14ac:dyDescent="0.35">
      <c r="B472" s="289"/>
      <c r="C472" s="289"/>
      <c r="Q472" s="193"/>
      <c r="R472" s="194">
        <f t="shared" si="338"/>
        <v>18</v>
      </c>
      <c r="S472" s="197">
        <f t="shared" si="304"/>
        <v>0.3888888888888889</v>
      </c>
      <c r="T472" s="194">
        <f t="shared" si="359"/>
        <v>0.69</v>
      </c>
      <c r="U472" s="194">
        <f t="shared" si="360"/>
        <v>1.4999999999999999E-4</v>
      </c>
      <c r="V472" s="197">
        <f t="shared" si="339"/>
        <v>0.3888888888888889</v>
      </c>
      <c r="W472" s="197">
        <f t="shared" si="305"/>
        <v>4.3555555555555561E-3</v>
      </c>
      <c r="X472" s="286">
        <f t="shared" si="306"/>
        <v>1</v>
      </c>
      <c r="Y472" s="286">
        <f t="shared" si="307"/>
        <v>0.17335969315081967</v>
      </c>
      <c r="Z472" s="286">
        <f t="shared" si="308"/>
        <v>0.54964853345132902</v>
      </c>
      <c r="AA472" s="286">
        <f t="shared" si="340"/>
        <v>0.17335969315081967</v>
      </c>
      <c r="AB472" s="197">
        <f t="shared" si="309"/>
        <v>0.36419974881911377</v>
      </c>
      <c r="AC472" s="287">
        <f t="shared" si="310"/>
        <v>4.4451203372005044E-7</v>
      </c>
      <c r="AD472" s="197">
        <f t="shared" si="341"/>
        <v>11.693936048110356</v>
      </c>
      <c r="AE472" s="197">
        <f t="shared" si="342"/>
        <v>35.08180814433107</v>
      </c>
      <c r="AF472" s="197">
        <f t="shared" si="343"/>
        <v>8.5178571428571423E-2</v>
      </c>
      <c r="AG472" s="197">
        <f t="shared" si="344"/>
        <v>0.25553571428571431</v>
      </c>
      <c r="AH472" s="197">
        <f t="shared" si="311"/>
        <v>0.11660930017110901</v>
      </c>
      <c r="AI472" s="197">
        <f t="shared" si="345"/>
        <v>0.11660930017110901</v>
      </c>
      <c r="AJ472" s="218">
        <f t="shared" si="312"/>
        <v>390.00000000000006</v>
      </c>
      <c r="AK472" s="197">
        <f t="shared" si="346"/>
        <v>6.0930617977437734E-2</v>
      </c>
      <c r="AL472" s="197">
        <f t="shared" si="347"/>
        <v>9.6203707235237593E-2</v>
      </c>
      <c r="AM472" s="197">
        <f t="shared" si="348"/>
        <v>4.0790371867740751E-3</v>
      </c>
      <c r="AN472" s="197">
        <f t="shared" si="313"/>
        <v>24.05</v>
      </c>
      <c r="AO472" s="197">
        <f t="shared" si="314"/>
        <v>21.69</v>
      </c>
      <c r="AP472" s="197">
        <f t="shared" si="349"/>
        <v>7.4093290390420161E-2</v>
      </c>
      <c r="AQ472" s="197">
        <f t="shared" si="350"/>
        <v>0.42250439890466829</v>
      </c>
      <c r="AR472" s="197">
        <f t="shared" si="351"/>
        <v>0.30589509873355925</v>
      </c>
      <c r="AS472" s="258">
        <f t="shared" si="352"/>
        <v>0.15228632177729159</v>
      </c>
      <c r="AT472" s="197">
        <f t="shared" si="315"/>
        <v>2.5974058656511614E-4</v>
      </c>
      <c r="AU472" s="194">
        <f t="shared" si="316"/>
        <v>21.19</v>
      </c>
      <c r="AV472" s="197">
        <f t="shared" si="317"/>
        <v>2.7E-2</v>
      </c>
      <c r="AW472" s="197">
        <f t="shared" si="318"/>
        <v>3.4260000000000002E-3</v>
      </c>
      <c r="AX472" s="197">
        <f t="shared" si="353"/>
        <v>6.1668000000000001E-2</v>
      </c>
      <c r="AY472" s="197">
        <f t="shared" si="319"/>
        <v>2.8867476000000005E-3</v>
      </c>
      <c r="AZ472" s="197">
        <f t="shared" si="320"/>
        <v>0</v>
      </c>
      <c r="BA472" s="197">
        <f t="shared" si="354"/>
        <v>7.2596940000000013E-2</v>
      </c>
      <c r="BB472" s="258">
        <f t="shared" si="321"/>
        <v>0.36575210336206115</v>
      </c>
      <c r="BC472" s="197">
        <f t="shared" si="322"/>
        <v>2.2380490766334034E-2</v>
      </c>
      <c r="BD472" s="197">
        <f t="shared" si="355"/>
        <v>4.4760981532668068E-3</v>
      </c>
      <c r="BE472" s="197">
        <f t="shared" si="356"/>
        <v>2.6856588919600841E-2</v>
      </c>
      <c r="BF472" s="197">
        <f t="shared" si="323"/>
        <v>0.20773291256157633</v>
      </c>
      <c r="BG472" s="197">
        <f t="shared" si="324"/>
        <v>5.4608303342508187E-4</v>
      </c>
      <c r="BH472" s="197">
        <f t="shared" si="325"/>
        <v>3.5336687086656722E-2</v>
      </c>
      <c r="BI472" s="197">
        <f t="shared" si="357"/>
        <v>0.44730899017824427</v>
      </c>
      <c r="BJ472" s="197">
        <f t="shared" si="326"/>
        <v>6.769615024661003</v>
      </c>
      <c r="BK472" s="288">
        <f t="shared" si="327"/>
        <v>0.93392401361838984</v>
      </c>
      <c r="BL472" s="197">
        <f t="shared" si="328"/>
        <v>0.37608972359227794</v>
      </c>
      <c r="BM472" s="197">
        <f t="shared" si="329"/>
        <v>7.4353030976985271E-2</v>
      </c>
      <c r="BN472" s="197">
        <f t="shared" si="330"/>
        <v>54.461181858619113</v>
      </c>
      <c r="BO472" s="197">
        <f t="shared" si="358"/>
        <v>0.2082789955950014</v>
      </c>
      <c r="BP472" s="197">
        <f t="shared" si="331"/>
        <v>65.620924669625111</v>
      </c>
      <c r="BQ472" s="197">
        <f t="shared" si="332"/>
        <v>9.9596940000000009E-2</v>
      </c>
      <c r="BR472" s="288">
        <f t="shared" si="333"/>
        <v>0.16008975919012108</v>
      </c>
      <c r="BS472" s="197">
        <f t="shared" si="334"/>
        <v>0.11660930017110901</v>
      </c>
      <c r="BT472" s="197">
        <f t="shared" si="335"/>
        <v>0.36419974881911377</v>
      </c>
      <c r="BU472" s="197">
        <f t="shared" si="336"/>
        <v>0.1713930788771201</v>
      </c>
      <c r="BV472" s="197">
        <f t="shared" si="337"/>
        <v>0.53530306917875781</v>
      </c>
      <c r="BW472" s="194"/>
      <c r="BX472" s="194"/>
      <c r="BY472" s="194"/>
      <c r="BZ472" s="194"/>
      <c r="CA472" s="194"/>
      <c r="CB472" s="194"/>
      <c r="CC472" s="194"/>
      <c r="CD472" s="194"/>
      <c r="CE472" s="194"/>
      <c r="CF472" s="194"/>
      <c r="CG472" s="194"/>
      <c r="CH472" s="194"/>
      <c r="CI472" s="194"/>
      <c r="CJ472" s="194"/>
      <c r="CK472" s="194"/>
      <c r="CL472" s="194"/>
      <c r="CM472" s="194"/>
      <c r="CN472" s="194"/>
      <c r="CO472" s="194"/>
      <c r="CP472" s="194"/>
      <c r="CQ472" s="194"/>
      <c r="CR472" s="194"/>
      <c r="CS472" s="194"/>
      <c r="CT472" s="194"/>
      <c r="CU472" s="194"/>
      <c r="CV472" s="194"/>
      <c r="CW472" s="194"/>
      <c r="CX472" s="194"/>
      <c r="CY472" s="194"/>
      <c r="CZ472" s="194"/>
      <c r="DA472" s="194"/>
      <c r="DB472" s="194"/>
      <c r="DC472" s="194"/>
      <c r="DD472" s="194"/>
      <c r="DE472" s="194"/>
      <c r="DF472" s="194"/>
    </row>
    <row r="473" spans="2:110" s="192" customFormat="1" hidden="1" x14ac:dyDescent="0.35">
      <c r="B473" s="289"/>
      <c r="C473" s="289"/>
      <c r="Q473" s="193"/>
      <c r="R473" s="194">
        <f t="shared" si="338"/>
        <v>18</v>
      </c>
      <c r="S473" s="197">
        <f t="shared" si="304"/>
        <v>0.3888888888888889</v>
      </c>
      <c r="T473" s="194">
        <f t="shared" si="359"/>
        <v>0.69</v>
      </c>
      <c r="U473" s="194">
        <f t="shared" si="360"/>
        <v>1.4999999999999999E-4</v>
      </c>
      <c r="V473" s="197">
        <f t="shared" si="339"/>
        <v>0.3888888888888889</v>
      </c>
      <c r="W473" s="197">
        <f t="shared" si="305"/>
        <v>4.3555555555555561E-3</v>
      </c>
      <c r="X473" s="286">
        <f t="shared" si="306"/>
        <v>1</v>
      </c>
      <c r="Y473" s="286">
        <f t="shared" si="307"/>
        <v>0.17335969315081967</v>
      </c>
      <c r="Z473" s="286">
        <f t="shared" si="308"/>
        <v>0.54964853345132902</v>
      </c>
      <c r="AA473" s="286">
        <f t="shared" si="340"/>
        <v>0.17335969315081967</v>
      </c>
      <c r="AB473" s="197">
        <f t="shared" si="309"/>
        <v>0.36419974881911377</v>
      </c>
      <c r="AC473" s="287">
        <f t="shared" si="310"/>
        <v>4.4451203372005044E-7</v>
      </c>
      <c r="AD473" s="197">
        <f t="shared" si="341"/>
        <v>11.693936048110356</v>
      </c>
      <c r="AE473" s="197">
        <f t="shared" si="342"/>
        <v>35.08180814433107</v>
      </c>
      <c r="AF473" s="197">
        <f t="shared" si="343"/>
        <v>8.5178571428571423E-2</v>
      </c>
      <c r="AG473" s="197">
        <f t="shared" si="344"/>
        <v>0.25553571428571431</v>
      </c>
      <c r="AH473" s="197">
        <f t="shared" si="311"/>
        <v>0.11660930017110901</v>
      </c>
      <c r="AI473" s="197">
        <f t="shared" si="345"/>
        <v>0.11660930017110901</v>
      </c>
      <c r="AJ473" s="218">
        <f t="shared" si="312"/>
        <v>390.00000000000006</v>
      </c>
      <c r="AK473" s="197">
        <f t="shared" si="346"/>
        <v>6.0930617977437734E-2</v>
      </c>
      <c r="AL473" s="197">
        <f t="shared" si="347"/>
        <v>9.6203707235237593E-2</v>
      </c>
      <c r="AM473" s="197">
        <f t="shared" si="348"/>
        <v>4.0790371867740751E-3</v>
      </c>
      <c r="AN473" s="197">
        <f t="shared" si="313"/>
        <v>24.05</v>
      </c>
      <c r="AO473" s="197">
        <f t="shared" si="314"/>
        <v>21.69</v>
      </c>
      <c r="AP473" s="197">
        <f t="shared" si="349"/>
        <v>7.4093290390420161E-2</v>
      </c>
      <c r="AQ473" s="197">
        <f t="shared" si="350"/>
        <v>0.42250439890466829</v>
      </c>
      <c r="AR473" s="197">
        <f t="shared" si="351"/>
        <v>0.30589509873355925</v>
      </c>
      <c r="AS473" s="258">
        <f t="shared" si="352"/>
        <v>0.15228632177729159</v>
      </c>
      <c r="AT473" s="197">
        <f t="shared" si="315"/>
        <v>2.5974058656511614E-4</v>
      </c>
      <c r="AU473" s="194">
        <f t="shared" si="316"/>
        <v>21.19</v>
      </c>
      <c r="AV473" s="197">
        <f t="shared" si="317"/>
        <v>2.7E-2</v>
      </c>
      <c r="AW473" s="197">
        <f t="shared" si="318"/>
        <v>3.4260000000000002E-3</v>
      </c>
      <c r="AX473" s="197">
        <f t="shared" si="353"/>
        <v>6.1668000000000001E-2</v>
      </c>
      <c r="AY473" s="197">
        <f t="shared" si="319"/>
        <v>2.8867476000000005E-3</v>
      </c>
      <c r="AZ473" s="197">
        <f t="shared" si="320"/>
        <v>0</v>
      </c>
      <c r="BA473" s="197">
        <f t="shared" si="354"/>
        <v>7.2596940000000013E-2</v>
      </c>
      <c r="BB473" s="258">
        <f t="shared" si="321"/>
        <v>0.36575210336206115</v>
      </c>
      <c r="BC473" s="197">
        <f t="shared" si="322"/>
        <v>2.2380490766334034E-2</v>
      </c>
      <c r="BD473" s="197">
        <f t="shared" si="355"/>
        <v>4.4760981532668068E-3</v>
      </c>
      <c r="BE473" s="197">
        <f t="shared" si="356"/>
        <v>2.6856588919600841E-2</v>
      </c>
      <c r="BF473" s="197">
        <f t="shared" si="323"/>
        <v>0.20773291256157633</v>
      </c>
      <c r="BG473" s="197">
        <f t="shared" si="324"/>
        <v>5.4608303342508187E-4</v>
      </c>
      <c r="BH473" s="197">
        <f t="shared" si="325"/>
        <v>3.5336687086656722E-2</v>
      </c>
      <c r="BI473" s="197">
        <f t="shared" si="357"/>
        <v>0.44730899017824427</v>
      </c>
      <c r="BJ473" s="197">
        <f t="shared" si="326"/>
        <v>6.769615024661003</v>
      </c>
      <c r="BK473" s="288">
        <f t="shared" si="327"/>
        <v>0.93392401361838984</v>
      </c>
      <c r="BL473" s="197">
        <f t="shared" si="328"/>
        <v>0.37608972359227794</v>
      </c>
      <c r="BM473" s="197">
        <f t="shared" si="329"/>
        <v>7.4353030976985271E-2</v>
      </c>
      <c r="BN473" s="197">
        <f t="shared" si="330"/>
        <v>54.461181858619113</v>
      </c>
      <c r="BO473" s="197">
        <f t="shared" si="358"/>
        <v>0.2082789955950014</v>
      </c>
      <c r="BP473" s="197">
        <f t="shared" si="331"/>
        <v>65.620924669625111</v>
      </c>
      <c r="BQ473" s="197">
        <f t="shared" si="332"/>
        <v>9.9596940000000009E-2</v>
      </c>
      <c r="BR473" s="288">
        <f t="shared" si="333"/>
        <v>0.16008975919012108</v>
      </c>
      <c r="BS473" s="197">
        <f t="shared" si="334"/>
        <v>0.11660930017110901</v>
      </c>
      <c r="BT473" s="197">
        <f t="shared" si="335"/>
        <v>0.36419974881911377</v>
      </c>
      <c r="BU473" s="197">
        <f t="shared" si="336"/>
        <v>0.1713930788771201</v>
      </c>
      <c r="BV473" s="197">
        <f t="shared" si="337"/>
        <v>0.53530306917875781</v>
      </c>
      <c r="BW473" s="194"/>
      <c r="BX473" s="194"/>
      <c r="BY473" s="194"/>
      <c r="BZ473" s="194"/>
      <c r="CA473" s="194"/>
      <c r="CB473" s="194"/>
      <c r="CC473" s="194"/>
      <c r="CD473" s="194"/>
      <c r="CE473" s="194"/>
      <c r="CF473" s="194"/>
      <c r="CG473" s="194"/>
      <c r="CH473" s="194"/>
      <c r="CI473" s="194"/>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row>
    <row r="474" spans="2:110" s="192" customFormat="1" hidden="1" x14ac:dyDescent="0.35">
      <c r="B474" s="289"/>
      <c r="C474" s="289"/>
      <c r="Q474" s="193"/>
      <c r="R474" s="194">
        <f t="shared" si="338"/>
        <v>18</v>
      </c>
      <c r="S474" s="197">
        <f t="shared" si="304"/>
        <v>0.3888888888888889</v>
      </c>
      <c r="T474" s="194">
        <f t="shared" si="359"/>
        <v>0.69</v>
      </c>
      <c r="U474" s="194">
        <f t="shared" si="360"/>
        <v>1.4999999999999999E-4</v>
      </c>
      <c r="V474" s="197">
        <f t="shared" si="339"/>
        <v>0.3888888888888889</v>
      </c>
      <c r="W474" s="197">
        <f t="shared" si="305"/>
        <v>4.3555555555555561E-3</v>
      </c>
      <c r="X474" s="286">
        <f t="shared" si="306"/>
        <v>1</v>
      </c>
      <c r="Y474" s="286">
        <f t="shared" si="307"/>
        <v>0.17335969315081967</v>
      </c>
      <c r="Z474" s="286">
        <f t="shared" si="308"/>
        <v>0.54964853345132902</v>
      </c>
      <c r="AA474" s="286">
        <f t="shared" si="340"/>
        <v>0.17335969315081967</v>
      </c>
      <c r="AB474" s="197">
        <f t="shared" si="309"/>
        <v>0.36419974881911377</v>
      </c>
      <c r="AC474" s="287">
        <f t="shared" si="310"/>
        <v>4.4451203372005044E-7</v>
      </c>
      <c r="AD474" s="197">
        <f t="shared" si="341"/>
        <v>11.693936048110356</v>
      </c>
      <c r="AE474" s="197">
        <f t="shared" si="342"/>
        <v>35.08180814433107</v>
      </c>
      <c r="AF474" s="197">
        <f t="shared" si="343"/>
        <v>8.5178571428571423E-2</v>
      </c>
      <c r="AG474" s="197">
        <f t="shared" si="344"/>
        <v>0.25553571428571431</v>
      </c>
      <c r="AH474" s="197">
        <f t="shared" si="311"/>
        <v>0.11660930017110901</v>
      </c>
      <c r="AI474" s="197">
        <f t="shared" si="345"/>
        <v>0.11660930017110901</v>
      </c>
      <c r="AJ474" s="218">
        <f t="shared" si="312"/>
        <v>390.00000000000006</v>
      </c>
      <c r="AK474" s="197">
        <f t="shared" si="346"/>
        <v>6.0930617977437734E-2</v>
      </c>
      <c r="AL474" s="197">
        <f t="shared" si="347"/>
        <v>9.6203707235237593E-2</v>
      </c>
      <c r="AM474" s="197">
        <f t="shared" si="348"/>
        <v>4.0790371867740751E-3</v>
      </c>
      <c r="AN474" s="197">
        <f t="shared" si="313"/>
        <v>24.05</v>
      </c>
      <c r="AO474" s="197">
        <f t="shared" si="314"/>
        <v>21.69</v>
      </c>
      <c r="AP474" s="197">
        <f t="shared" si="349"/>
        <v>7.4093290390420161E-2</v>
      </c>
      <c r="AQ474" s="197">
        <f t="shared" si="350"/>
        <v>0.42250439890466829</v>
      </c>
      <c r="AR474" s="197">
        <f t="shared" si="351"/>
        <v>0.30589509873355925</v>
      </c>
      <c r="AS474" s="258">
        <f t="shared" si="352"/>
        <v>0.15228632177729159</v>
      </c>
      <c r="AT474" s="197">
        <f t="shared" si="315"/>
        <v>2.5974058656511614E-4</v>
      </c>
      <c r="AU474" s="194">
        <f t="shared" si="316"/>
        <v>21.19</v>
      </c>
      <c r="AV474" s="197">
        <f t="shared" si="317"/>
        <v>2.7E-2</v>
      </c>
      <c r="AW474" s="197">
        <f t="shared" si="318"/>
        <v>3.4260000000000002E-3</v>
      </c>
      <c r="AX474" s="197">
        <f t="shared" si="353"/>
        <v>6.1668000000000001E-2</v>
      </c>
      <c r="AY474" s="197">
        <f t="shared" si="319"/>
        <v>2.8867476000000005E-3</v>
      </c>
      <c r="AZ474" s="197">
        <f t="shared" si="320"/>
        <v>0</v>
      </c>
      <c r="BA474" s="197">
        <f t="shared" si="354"/>
        <v>7.2596940000000013E-2</v>
      </c>
      <c r="BB474" s="258">
        <f t="shared" si="321"/>
        <v>0.36575210336206115</v>
      </c>
      <c r="BC474" s="197">
        <f t="shared" si="322"/>
        <v>2.2380490766334034E-2</v>
      </c>
      <c r="BD474" s="197">
        <f t="shared" si="355"/>
        <v>4.4760981532668068E-3</v>
      </c>
      <c r="BE474" s="197">
        <f t="shared" si="356"/>
        <v>2.6856588919600841E-2</v>
      </c>
      <c r="BF474" s="197">
        <f t="shared" si="323"/>
        <v>0.20773291256157633</v>
      </c>
      <c r="BG474" s="197">
        <f t="shared" si="324"/>
        <v>5.4608303342508187E-4</v>
      </c>
      <c r="BH474" s="197">
        <f t="shared" si="325"/>
        <v>3.5336687086656722E-2</v>
      </c>
      <c r="BI474" s="197">
        <f t="shared" si="357"/>
        <v>0.44730899017824427</v>
      </c>
      <c r="BJ474" s="197">
        <f t="shared" si="326"/>
        <v>6.769615024661003</v>
      </c>
      <c r="BK474" s="288">
        <f t="shared" si="327"/>
        <v>0.93392401361838984</v>
      </c>
      <c r="BL474" s="197">
        <f t="shared" si="328"/>
        <v>0.37608972359227794</v>
      </c>
      <c r="BM474" s="197">
        <f t="shared" si="329"/>
        <v>7.4353030976985271E-2</v>
      </c>
      <c r="BN474" s="197">
        <f t="shared" si="330"/>
        <v>54.461181858619113</v>
      </c>
      <c r="BO474" s="197">
        <f t="shared" si="358"/>
        <v>0.2082789955950014</v>
      </c>
      <c r="BP474" s="197">
        <f t="shared" si="331"/>
        <v>65.620924669625111</v>
      </c>
      <c r="BQ474" s="197">
        <f t="shared" si="332"/>
        <v>9.9596940000000009E-2</v>
      </c>
      <c r="BR474" s="288">
        <f t="shared" si="333"/>
        <v>0.16008975919012108</v>
      </c>
      <c r="BS474" s="197">
        <f t="shared" si="334"/>
        <v>0.11660930017110901</v>
      </c>
      <c r="BT474" s="197">
        <f t="shared" si="335"/>
        <v>0.36419974881911377</v>
      </c>
      <c r="BU474" s="197">
        <f t="shared" si="336"/>
        <v>0.1713930788771201</v>
      </c>
      <c r="BV474" s="197">
        <f t="shared" si="337"/>
        <v>0.53530306917875781</v>
      </c>
      <c r="BW474" s="194"/>
      <c r="BX474" s="194"/>
      <c r="BY474" s="194"/>
      <c r="BZ474" s="194"/>
      <c r="CA474" s="194"/>
      <c r="CB474" s="194"/>
      <c r="CC474" s="194"/>
      <c r="CD474" s="194"/>
      <c r="CE474" s="194"/>
      <c r="CF474" s="194"/>
      <c r="CG474" s="194"/>
      <c r="CH474" s="194"/>
      <c r="CI474" s="194"/>
      <c r="CJ474" s="194"/>
      <c r="CK474" s="194"/>
      <c r="CL474" s="194"/>
      <c r="CM474" s="194"/>
      <c r="CN474" s="194"/>
      <c r="CO474" s="194"/>
      <c r="CP474" s="194"/>
      <c r="CQ474" s="194"/>
      <c r="CR474" s="194"/>
      <c r="CS474" s="194"/>
      <c r="CT474" s="194"/>
      <c r="CU474" s="194"/>
      <c r="CV474" s="194"/>
      <c r="CW474" s="194"/>
      <c r="CX474" s="194"/>
      <c r="CY474" s="194"/>
      <c r="CZ474" s="194"/>
      <c r="DA474" s="194"/>
      <c r="DB474" s="194"/>
      <c r="DC474" s="194"/>
      <c r="DD474" s="194"/>
      <c r="DE474" s="194"/>
      <c r="DF474" s="194"/>
    </row>
    <row r="475" spans="2:110" s="192" customFormat="1" hidden="1" x14ac:dyDescent="0.35">
      <c r="B475" s="289"/>
      <c r="C475" s="289"/>
      <c r="Q475" s="193"/>
      <c r="R475" s="194">
        <f t="shared" si="338"/>
        <v>18</v>
      </c>
      <c r="S475" s="197">
        <f t="shared" si="304"/>
        <v>0.3888888888888889</v>
      </c>
      <c r="T475" s="194">
        <f t="shared" si="359"/>
        <v>0.69</v>
      </c>
      <c r="U475" s="194">
        <f t="shared" si="360"/>
        <v>1.4999999999999999E-4</v>
      </c>
      <c r="V475" s="197">
        <f t="shared" si="339"/>
        <v>0.3888888888888889</v>
      </c>
      <c r="W475" s="197">
        <f t="shared" si="305"/>
        <v>4.3555555555555561E-3</v>
      </c>
      <c r="X475" s="286">
        <f t="shared" si="306"/>
        <v>1</v>
      </c>
      <c r="Y475" s="286">
        <f t="shared" si="307"/>
        <v>0.17335969315081967</v>
      </c>
      <c r="Z475" s="286">
        <f t="shared" si="308"/>
        <v>0.54964853345132902</v>
      </c>
      <c r="AA475" s="286">
        <f t="shared" si="340"/>
        <v>0.17335969315081967</v>
      </c>
      <c r="AB475" s="197">
        <f t="shared" si="309"/>
        <v>0.36419974881911377</v>
      </c>
      <c r="AC475" s="287">
        <f t="shared" si="310"/>
        <v>4.4451203372005044E-7</v>
      </c>
      <c r="AD475" s="197">
        <f t="shared" si="341"/>
        <v>11.693936048110356</v>
      </c>
      <c r="AE475" s="197">
        <f t="shared" si="342"/>
        <v>35.08180814433107</v>
      </c>
      <c r="AF475" s="197">
        <f t="shared" si="343"/>
        <v>8.5178571428571423E-2</v>
      </c>
      <c r="AG475" s="197">
        <f t="shared" si="344"/>
        <v>0.25553571428571431</v>
      </c>
      <c r="AH475" s="197">
        <f t="shared" si="311"/>
        <v>0.11660930017110901</v>
      </c>
      <c r="AI475" s="197">
        <f t="shared" si="345"/>
        <v>0.11660930017110901</v>
      </c>
      <c r="AJ475" s="218">
        <f t="shared" si="312"/>
        <v>390.00000000000006</v>
      </c>
      <c r="AK475" s="197">
        <f t="shared" si="346"/>
        <v>6.0930617977437734E-2</v>
      </c>
      <c r="AL475" s="197">
        <f t="shared" si="347"/>
        <v>9.6203707235237593E-2</v>
      </c>
      <c r="AM475" s="197">
        <f t="shared" si="348"/>
        <v>4.0790371867740751E-3</v>
      </c>
      <c r="AN475" s="197">
        <f t="shared" si="313"/>
        <v>24.05</v>
      </c>
      <c r="AO475" s="197">
        <f t="shared" si="314"/>
        <v>21.69</v>
      </c>
      <c r="AP475" s="197">
        <f t="shared" si="349"/>
        <v>7.4093290390420161E-2</v>
      </c>
      <c r="AQ475" s="197">
        <f t="shared" si="350"/>
        <v>0.42250439890466829</v>
      </c>
      <c r="AR475" s="197">
        <f t="shared" si="351"/>
        <v>0.30589509873355925</v>
      </c>
      <c r="AS475" s="258">
        <f t="shared" si="352"/>
        <v>0.15228632177729159</v>
      </c>
      <c r="AT475" s="197">
        <f t="shared" si="315"/>
        <v>2.5974058656511614E-4</v>
      </c>
      <c r="AU475" s="194">
        <f t="shared" si="316"/>
        <v>21.19</v>
      </c>
      <c r="AV475" s="197">
        <f t="shared" si="317"/>
        <v>2.7E-2</v>
      </c>
      <c r="AW475" s="197">
        <f t="shared" si="318"/>
        <v>3.4260000000000002E-3</v>
      </c>
      <c r="AX475" s="197">
        <f t="shared" si="353"/>
        <v>6.1668000000000001E-2</v>
      </c>
      <c r="AY475" s="197">
        <f t="shared" si="319"/>
        <v>2.8867476000000005E-3</v>
      </c>
      <c r="AZ475" s="197">
        <f t="shared" si="320"/>
        <v>0</v>
      </c>
      <c r="BA475" s="197">
        <f t="shared" si="354"/>
        <v>7.2596940000000013E-2</v>
      </c>
      <c r="BB475" s="258">
        <f t="shared" si="321"/>
        <v>0.36575210336206115</v>
      </c>
      <c r="BC475" s="197">
        <f t="shared" si="322"/>
        <v>2.2380490766334034E-2</v>
      </c>
      <c r="BD475" s="197">
        <f t="shared" si="355"/>
        <v>4.4760981532668068E-3</v>
      </c>
      <c r="BE475" s="197">
        <f t="shared" si="356"/>
        <v>2.6856588919600841E-2</v>
      </c>
      <c r="BF475" s="197">
        <f t="shared" si="323"/>
        <v>0.20773291256157633</v>
      </c>
      <c r="BG475" s="197">
        <f t="shared" si="324"/>
        <v>5.4608303342508187E-4</v>
      </c>
      <c r="BH475" s="197">
        <f t="shared" si="325"/>
        <v>3.5336687086656722E-2</v>
      </c>
      <c r="BI475" s="197">
        <f t="shared" si="357"/>
        <v>0.44730899017824427</v>
      </c>
      <c r="BJ475" s="197">
        <f t="shared" si="326"/>
        <v>6.769615024661003</v>
      </c>
      <c r="BK475" s="288">
        <f t="shared" si="327"/>
        <v>0.93392401361838984</v>
      </c>
      <c r="BL475" s="197">
        <f t="shared" si="328"/>
        <v>0.37608972359227794</v>
      </c>
      <c r="BM475" s="197">
        <f t="shared" si="329"/>
        <v>7.4353030976985271E-2</v>
      </c>
      <c r="BN475" s="197">
        <f t="shared" si="330"/>
        <v>54.461181858619113</v>
      </c>
      <c r="BO475" s="197">
        <f t="shared" si="358"/>
        <v>0.2082789955950014</v>
      </c>
      <c r="BP475" s="197">
        <f t="shared" si="331"/>
        <v>65.620924669625111</v>
      </c>
      <c r="BQ475" s="197">
        <f t="shared" si="332"/>
        <v>9.9596940000000009E-2</v>
      </c>
      <c r="BR475" s="288">
        <f t="shared" si="333"/>
        <v>0.16008975919012108</v>
      </c>
      <c r="BS475" s="197">
        <f t="shared" si="334"/>
        <v>0.11660930017110901</v>
      </c>
      <c r="BT475" s="197">
        <f t="shared" si="335"/>
        <v>0.36419974881911377</v>
      </c>
      <c r="BU475" s="197">
        <f t="shared" si="336"/>
        <v>0.1713930788771201</v>
      </c>
      <c r="BV475" s="197">
        <f t="shared" si="337"/>
        <v>0.53530306917875781</v>
      </c>
      <c r="BW475" s="194"/>
      <c r="BX475" s="194"/>
      <c r="BY475" s="194"/>
      <c r="BZ475" s="194"/>
      <c r="CA475" s="194"/>
      <c r="CB475" s="194"/>
      <c r="CC475" s="194"/>
      <c r="CD475" s="194"/>
      <c r="CE475" s="194"/>
      <c r="CF475" s="194"/>
      <c r="CG475" s="194"/>
      <c r="CH475" s="194"/>
      <c r="CI475" s="194"/>
      <c r="CJ475" s="194"/>
      <c r="CK475" s="194"/>
      <c r="CL475" s="194"/>
      <c r="CM475" s="194"/>
      <c r="CN475" s="194"/>
      <c r="CO475" s="194"/>
      <c r="CP475" s="194"/>
      <c r="CQ475" s="194"/>
      <c r="CR475" s="194"/>
      <c r="CS475" s="194"/>
      <c r="CT475" s="194"/>
      <c r="CU475" s="194"/>
      <c r="CV475" s="194"/>
      <c r="CW475" s="194"/>
      <c r="CX475" s="194"/>
      <c r="CY475" s="194"/>
      <c r="CZ475" s="194"/>
      <c r="DA475" s="194"/>
      <c r="DB475" s="194"/>
      <c r="DC475" s="194"/>
      <c r="DD475" s="194"/>
      <c r="DE475" s="194"/>
      <c r="DF475" s="194"/>
    </row>
    <row r="476" spans="2:110" s="192" customFormat="1" hidden="1" x14ac:dyDescent="0.35">
      <c r="B476" s="289"/>
      <c r="C476" s="289"/>
      <c r="Q476" s="193"/>
      <c r="R476" s="194">
        <f t="shared" si="338"/>
        <v>18</v>
      </c>
      <c r="S476" s="197">
        <f t="shared" si="304"/>
        <v>0.3888888888888889</v>
      </c>
      <c r="T476" s="194">
        <f t="shared" si="359"/>
        <v>0.69</v>
      </c>
      <c r="U476" s="194">
        <f t="shared" si="360"/>
        <v>1.4999999999999999E-4</v>
      </c>
      <c r="V476" s="197">
        <f t="shared" si="339"/>
        <v>0.3888888888888889</v>
      </c>
      <c r="W476" s="197">
        <f t="shared" si="305"/>
        <v>4.3555555555555561E-3</v>
      </c>
      <c r="X476" s="286">
        <f t="shared" si="306"/>
        <v>1</v>
      </c>
      <c r="Y476" s="286">
        <f t="shared" si="307"/>
        <v>0.17335969315081967</v>
      </c>
      <c r="Z476" s="286">
        <f t="shared" si="308"/>
        <v>0.54964853345132902</v>
      </c>
      <c r="AA476" s="286">
        <f t="shared" si="340"/>
        <v>0.17335969315081967</v>
      </c>
      <c r="AB476" s="197">
        <f t="shared" si="309"/>
        <v>0.36419974881911377</v>
      </c>
      <c r="AC476" s="287">
        <f t="shared" si="310"/>
        <v>4.4451203372005044E-7</v>
      </c>
      <c r="AD476" s="197">
        <f t="shared" si="341"/>
        <v>11.693936048110356</v>
      </c>
      <c r="AE476" s="197">
        <f t="shared" si="342"/>
        <v>35.08180814433107</v>
      </c>
      <c r="AF476" s="197">
        <f t="shared" si="343"/>
        <v>8.5178571428571423E-2</v>
      </c>
      <c r="AG476" s="197">
        <f t="shared" si="344"/>
        <v>0.25553571428571431</v>
      </c>
      <c r="AH476" s="197">
        <f t="shared" si="311"/>
        <v>0.11660930017110901</v>
      </c>
      <c r="AI476" s="197">
        <f t="shared" si="345"/>
        <v>0.11660930017110901</v>
      </c>
      <c r="AJ476" s="218">
        <f t="shared" si="312"/>
        <v>390.00000000000006</v>
      </c>
      <c r="AK476" s="197">
        <f t="shared" si="346"/>
        <v>6.0930617977437734E-2</v>
      </c>
      <c r="AL476" s="197">
        <f t="shared" si="347"/>
        <v>9.6203707235237593E-2</v>
      </c>
      <c r="AM476" s="197">
        <f t="shared" si="348"/>
        <v>4.0790371867740751E-3</v>
      </c>
      <c r="AN476" s="197">
        <f t="shared" si="313"/>
        <v>24.05</v>
      </c>
      <c r="AO476" s="197">
        <f t="shared" si="314"/>
        <v>21.69</v>
      </c>
      <c r="AP476" s="197">
        <f t="shared" si="349"/>
        <v>7.4093290390420161E-2</v>
      </c>
      <c r="AQ476" s="197">
        <f t="shared" si="350"/>
        <v>0.42250439890466829</v>
      </c>
      <c r="AR476" s="197">
        <f t="shared" si="351"/>
        <v>0.30589509873355925</v>
      </c>
      <c r="AS476" s="258">
        <f t="shared" si="352"/>
        <v>0.15228632177729159</v>
      </c>
      <c r="AT476" s="197">
        <f t="shared" si="315"/>
        <v>2.5974058656511614E-4</v>
      </c>
      <c r="AU476" s="194">
        <f t="shared" si="316"/>
        <v>21.19</v>
      </c>
      <c r="AV476" s="197">
        <f t="shared" si="317"/>
        <v>2.7E-2</v>
      </c>
      <c r="AW476" s="197">
        <f t="shared" si="318"/>
        <v>3.4260000000000002E-3</v>
      </c>
      <c r="AX476" s="197">
        <f t="shared" si="353"/>
        <v>6.1668000000000001E-2</v>
      </c>
      <c r="AY476" s="197">
        <f t="shared" si="319"/>
        <v>2.8867476000000005E-3</v>
      </c>
      <c r="AZ476" s="197">
        <f t="shared" si="320"/>
        <v>0</v>
      </c>
      <c r="BA476" s="197">
        <f t="shared" si="354"/>
        <v>7.2596940000000013E-2</v>
      </c>
      <c r="BB476" s="258">
        <f t="shared" si="321"/>
        <v>0.36575210336206115</v>
      </c>
      <c r="BC476" s="197">
        <f t="shared" si="322"/>
        <v>2.2380490766334034E-2</v>
      </c>
      <c r="BD476" s="197">
        <f t="shared" si="355"/>
        <v>4.4760981532668068E-3</v>
      </c>
      <c r="BE476" s="197">
        <f t="shared" si="356"/>
        <v>2.6856588919600841E-2</v>
      </c>
      <c r="BF476" s="197">
        <f t="shared" si="323"/>
        <v>0.20773291256157633</v>
      </c>
      <c r="BG476" s="197">
        <f t="shared" si="324"/>
        <v>5.4608303342508187E-4</v>
      </c>
      <c r="BH476" s="197">
        <f t="shared" si="325"/>
        <v>3.5336687086656722E-2</v>
      </c>
      <c r="BI476" s="197">
        <f t="shared" si="357"/>
        <v>0.44730899017824427</v>
      </c>
      <c r="BJ476" s="197">
        <f t="shared" si="326"/>
        <v>6.769615024661003</v>
      </c>
      <c r="BK476" s="288">
        <f t="shared" si="327"/>
        <v>0.93392401361838984</v>
      </c>
      <c r="BL476" s="197">
        <f t="shared" si="328"/>
        <v>0.37608972359227794</v>
      </c>
      <c r="BM476" s="197">
        <f t="shared" si="329"/>
        <v>7.4353030976985271E-2</v>
      </c>
      <c r="BN476" s="197">
        <f t="shared" si="330"/>
        <v>54.461181858619113</v>
      </c>
      <c r="BO476" s="197">
        <f t="shared" si="358"/>
        <v>0.2082789955950014</v>
      </c>
      <c r="BP476" s="197">
        <f t="shared" si="331"/>
        <v>65.620924669625111</v>
      </c>
      <c r="BQ476" s="197">
        <f t="shared" si="332"/>
        <v>9.9596940000000009E-2</v>
      </c>
      <c r="BR476" s="288">
        <f t="shared" si="333"/>
        <v>0.16008975919012108</v>
      </c>
      <c r="BS476" s="197">
        <f t="shared" si="334"/>
        <v>0.11660930017110901</v>
      </c>
      <c r="BT476" s="197">
        <f t="shared" si="335"/>
        <v>0.36419974881911377</v>
      </c>
      <c r="BU476" s="197">
        <f t="shared" si="336"/>
        <v>0.1713930788771201</v>
      </c>
      <c r="BV476" s="197">
        <f t="shared" si="337"/>
        <v>0.53530306917875781</v>
      </c>
      <c r="BW476" s="194"/>
      <c r="BX476" s="194"/>
      <c r="BY476" s="194"/>
      <c r="BZ476" s="194"/>
      <c r="CA476" s="194"/>
      <c r="CB476" s="194"/>
      <c r="CC476" s="194"/>
      <c r="CD476" s="194"/>
      <c r="CE476" s="194"/>
      <c r="CF476" s="194"/>
      <c r="CG476" s="194"/>
      <c r="CH476" s="194"/>
      <c r="CI476" s="194"/>
      <c r="CJ476" s="194"/>
      <c r="CK476" s="194"/>
      <c r="CL476" s="194"/>
      <c r="CM476" s="194"/>
      <c r="CN476" s="194"/>
      <c r="CO476" s="194"/>
      <c r="CP476" s="194"/>
      <c r="CQ476" s="194"/>
      <c r="CR476" s="194"/>
      <c r="CS476" s="194"/>
      <c r="CT476" s="194"/>
      <c r="CU476" s="194"/>
      <c r="CV476" s="194"/>
      <c r="CW476" s="194"/>
      <c r="CX476" s="194"/>
      <c r="CY476" s="194"/>
      <c r="CZ476" s="194"/>
      <c r="DA476" s="194"/>
      <c r="DB476" s="194"/>
      <c r="DC476" s="194"/>
      <c r="DD476" s="194"/>
      <c r="DE476" s="194"/>
      <c r="DF476" s="194"/>
    </row>
    <row r="477" spans="2:110" s="192" customFormat="1" hidden="1" x14ac:dyDescent="0.35">
      <c r="B477" s="289"/>
      <c r="C477" s="289"/>
      <c r="Q477" s="193"/>
      <c r="R477" s="194">
        <f t="shared" si="338"/>
        <v>18</v>
      </c>
      <c r="S477" s="197">
        <f t="shared" si="304"/>
        <v>0.3888888888888889</v>
      </c>
      <c r="T477" s="194">
        <f t="shared" si="359"/>
        <v>0.69</v>
      </c>
      <c r="U477" s="194">
        <f t="shared" si="360"/>
        <v>1.4999999999999999E-4</v>
      </c>
      <c r="V477" s="197">
        <f t="shared" si="339"/>
        <v>0.3888888888888889</v>
      </c>
      <c r="W477" s="197">
        <f t="shared" si="305"/>
        <v>4.3555555555555561E-3</v>
      </c>
      <c r="X477" s="286">
        <f t="shared" si="306"/>
        <v>1</v>
      </c>
      <c r="Y477" s="286">
        <f t="shared" si="307"/>
        <v>0.17335969315081967</v>
      </c>
      <c r="Z477" s="286">
        <f t="shared" si="308"/>
        <v>0.54964853345132902</v>
      </c>
      <c r="AA477" s="286">
        <f t="shared" si="340"/>
        <v>0.17335969315081967</v>
      </c>
      <c r="AB477" s="197">
        <f t="shared" si="309"/>
        <v>0.36419974881911377</v>
      </c>
      <c r="AC477" s="287">
        <f t="shared" si="310"/>
        <v>4.4451203372005044E-7</v>
      </c>
      <c r="AD477" s="197">
        <f t="shared" si="341"/>
        <v>11.693936048110356</v>
      </c>
      <c r="AE477" s="197">
        <f t="shared" si="342"/>
        <v>35.08180814433107</v>
      </c>
      <c r="AF477" s="197">
        <f t="shared" si="343"/>
        <v>8.5178571428571423E-2</v>
      </c>
      <c r="AG477" s="197">
        <f t="shared" si="344"/>
        <v>0.25553571428571431</v>
      </c>
      <c r="AH477" s="197">
        <f t="shared" si="311"/>
        <v>0.11660930017110901</v>
      </c>
      <c r="AI477" s="197">
        <f t="shared" si="345"/>
        <v>0.11660930017110901</v>
      </c>
      <c r="AJ477" s="218">
        <f t="shared" si="312"/>
        <v>390.00000000000006</v>
      </c>
      <c r="AK477" s="197">
        <f t="shared" si="346"/>
        <v>6.0930617977437734E-2</v>
      </c>
      <c r="AL477" s="197">
        <f t="shared" si="347"/>
        <v>9.6203707235237593E-2</v>
      </c>
      <c r="AM477" s="197">
        <f t="shared" si="348"/>
        <v>4.0790371867740751E-3</v>
      </c>
      <c r="AN477" s="197">
        <f t="shared" si="313"/>
        <v>24.05</v>
      </c>
      <c r="AO477" s="197">
        <f t="shared" si="314"/>
        <v>21.69</v>
      </c>
      <c r="AP477" s="197">
        <f t="shared" si="349"/>
        <v>7.4093290390420161E-2</v>
      </c>
      <c r="AQ477" s="197">
        <f t="shared" si="350"/>
        <v>0.42250439890466829</v>
      </c>
      <c r="AR477" s="197">
        <f t="shared" si="351"/>
        <v>0.30589509873355925</v>
      </c>
      <c r="AS477" s="258">
        <f t="shared" si="352"/>
        <v>0.15228632177729159</v>
      </c>
      <c r="AT477" s="197">
        <f t="shared" si="315"/>
        <v>2.5974058656511614E-4</v>
      </c>
      <c r="AU477" s="194">
        <f t="shared" si="316"/>
        <v>21.19</v>
      </c>
      <c r="AV477" s="197">
        <f t="shared" si="317"/>
        <v>2.7E-2</v>
      </c>
      <c r="AW477" s="197">
        <f t="shared" si="318"/>
        <v>3.4260000000000002E-3</v>
      </c>
      <c r="AX477" s="197">
        <f t="shared" si="353"/>
        <v>6.1668000000000001E-2</v>
      </c>
      <c r="AY477" s="197">
        <f t="shared" si="319"/>
        <v>2.8867476000000005E-3</v>
      </c>
      <c r="AZ477" s="197">
        <f t="shared" si="320"/>
        <v>0</v>
      </c>
      <c r="BA477" s="197">
        <f t="shared" si="354"/>
        <v>7.2596940000000013E-2</v>
      </c>
      <c r="BB477" s="258">
        <f t="shared" si="321"/>
        <v>0.36575210336206115</v>
      </c>
      <c r="BC477" s="197">
        <f t="shared" si="322"/>
        <v>2.2380490766334034E-2</v>
      </c>
      <c r="BD477" s="197">
        <f t="shared" si="355"/>
        <v>4.4760981532668068E-3</v>
      </c>
      <c r="BE477" s="197">
        <f t="shared" si="356"/>
        <v>2.6856588919600841E-2</v>
      </c>
      <c r="BF477" s="197">
        <f t="shared" si="323"/>
        <v>0.20773291256157633</v>
      </c>
      <c r="BG477" s="197">
        <f t="shared" si="324"/>
        <v>5.4608303342508187E-4</v>
      </c>
      <c r="BH477" s="197">
        <f t="shared" si="325"/>
        <v>3.5336687086656722E-2</v>
      </c>
      <c r="BI477" s="197">
        <f t="shared" si="357"/>
        <v>0.44730899017824427</v>
      </c>
      <c r="BJ477" s="197">
        <f t="shared" si="326"/>
        <v>6.769615024661003</v>
      </c>
      <c r="BK477" s="288">
        <f t="shared" si="327"/>
        <v>0.93392401361838984</v>
      </c>
      <c r="BL477" s="197">
        <f t="shared" si="328"/>
        <v>0.37608972359227794</v>
      </c>
      <c r="BM477" s="197">
        <f t="shared" si="329"/>
        <v>7.4353030976985271E-2</v>
      </c>
      <c r="BN477" s="197">
        <f t="shared" si="330"/>
        <v>54.461181858619113</v>
      </c>
      <c r="BO477" s="197">
        <f t="shared" si="358"/>
        <v>0.2082789955950014</v>
      </c>
      <c r="BP477" s="197">
        <f t="shared" si="331"/>
        <v>65.620924669625111</v>
      </c>
      <c r="BQ477" s="197">
        <f t="shared" si="332"/>
        <v>9.9596940000000009E-2</v>
      </c>
      <c r="BR477" s="288">
        <f t="shared" si="333"/>
        <v>0.16008975919012108</v>
      </c>
      <c r="BS477" s="197">
        <f t="shared" si="334"/>
        <v>0.11660930017110901</v>
      </c>
      <c r="BT477" s="197">
        <f t="shared" si="335"/>
        <v>0.36419974881911377</v>
      </c>
      <c r="BU477" s="197">
        <f t="shared" si="336"/>
        <v>0.1713930788771201</v>
      </c>
      <c r="BV477" s="197">
        <f t="shared" si="337"/>
        <v>0.53530306917875781</v>
      </c>
      <c r="BW477" s="194"/>
      <c r="BX477" s="194"/>
      <c r="BY477" s="194"/>
      <c r="BZ477" s="194"/>
      <c r="CA477" s="194"/>
      <c r="CB477" s="194"/>
      <c r="CC477" s="194"/>
      <c r="CD477" s="194"/>
      <c r="CE477" s="194"/>
      <c r="CF477" s="194"/>
      <c r="CG477" s="194"/>
      <c r="CH477" s="194"/>
      <c r="CI477" s="194"/>
      <c r="CJ477" s="194"/>
      <c r="CK477" s="194"/>
      <c r="CL477" s="194"/>
      <c r="CM477" s="194"/>
      <c r="CN477" s="194"/>
      <c r="CO477" s="194"/>
      <c r="CP477" s="194"/>
      <c r="CQ477" s="194"/>
      <c r="CR477" s="194"/>
      <c r="CS477" s="194"/>
      <c r="CT477" s="194"/>
      <c r="CU477" s="194"/>
      <c r="CV477" s="194"/>
      <c r="CW477" s="194"/>
      <c r="CX477" s="194"/>
      <c r="CY477" s="194"/>
      <c r="CZ477" s="194"/>
      <c r="DA477" s="194"/>
      <c r="DB477" s="194"/>
      <c r="DC477" s="194"/>
      <c r="DD477" s="194"/>
      <c r="DE477" s="194"/>
      <c r="DF477" s="194"/>
    </row>
    <row r="478" spans="2:110" s="192" customFormat="1" hidden="1" x14ac:dyDescent="0.35">
      <c r="B478" s="289"/>
      <c r="C478" s="289"/>
      <c r="Q478" s="193"/>
      <c r="R478" s="194">
        <f t="shared" si="338"/>
        <v>18</v>
      </c>
      <c r="S478" s="197">
        <f t="shared" si="304"/>
        <v>0.3888888888888889</v>
      </c>
      <c r="T478" s="194">
        <f t="shared" si="359"/>
        <v>0.69</v>
      </c>
      <c r="U478" s="194">
        <f t="shared" si="360"/>
        <v>1.4999999999999999E-4</v>
      </c>
      <c r="V478" s="197">
        <f t="shared" si="339"/>
        <v>0.3888888888888889</v>
      </c>
      <c r="W478" s="197">
        <f t="shared" si="305"/>
        <v>4.3555555555555561E-3</v>
      </c>
      <c r="X478" s="286">
        <f t="shared" si="306"/>
        <v>1</v>
      </c>
      <c r="Y478" s="286">
        <f t="shared" si="307"/>
        <v>0.17335969315081967</v>
      </c>
      <c r="Z478" s="286">
        <f t="shared" si="308"/>
        <v>0.54964853345132902</v>
      </c>
      <c r="AA478" s="286">
        <f t="shared" si="340"/>
        <v>0.17335969315081967</v>
      </c>
      <c r="AB478" s="197">
        <f t="shared" si="309"/>
        <v>0.36419974881911377</v>
      </c>
      <c r="AC478" s="287">
        <f t="shared" si="310"/>
        <v>4.4451203372005044E-7</v>
      </c>
      <c r="AD478" s="197">
        <f t="shared" si="341"/>
        <v>11.693936048110356</v>
      </c>
      <c r="AE478" s="197">
        <f t="shared" si="342"/>
        <v>35.08180814433107</v>
      </c>
      <c r="AF478" s="197">
        <f t="shared" si="343"/>
        <v>8.5178571428571423E-2</v>
      </c>
      <c r="AG478" s="197">
        <f t="shared" si="344"/>
        <v>0.25553571428571431</v>
      </c>
      <c r="AH478" s="197">
        <f t="shared" si="311"/>
        <v>0.11660930017110901</v>
      </c>
      <c r="AI478" s="197">
        <f t="shared" si="345"/>
        <v>0.11660930017110901</v>
      </c>
      <c r="AJ478" s="218">
        <f t="shared" si="312"/>
        <v>390.00000000000006</v>
      </c>
      <c r="AK478" s="197">
        <f t="shared" si="346"/>
        <v>6.0930617977437734E-2</v>
      </c>
      <c r="AL478" s="197">
        <f t="shared" si="347"/>
        <v>9.6203707235237593E-2</v>
      </c>
      <c r="AM478" s="197">
        <f t="shared" si="348"/>
        <v>4.0790371867740751E-3</v>
      </c>
      <c r="AN478" s="197">
        <f t="shared" si="313"/>
        <v>24.05</v>
      </c>
      <c r="AO478" s="197">
        <f t="shared" si="314"/>
        <v>21.69</v>
      </c>
      <c r="AP478" s="197">
        <f t="shared" si="349"/>
        <v>7.4093290390420161E-2</v>
      </c>
      <c r="AQ478" s="197">
        <f t="shared" si="350"/>
        <v>0.42250439890466829</v>
      </c>
      <c r="AR478" s="197">
        <f t="shared" si="351"/>
        <v>0.30589509873355925</v>
      </c>
      <c r="AS478" s="258">
        <f t="shared" si="352"/>
        <v>0.15228632177729159</v>
      </c>
      <c r="AT478" s="197">
        <f t="shared" si="315"/>
        <v>2.5974058656511614E-4</v>
      </c>
      <c r="AU478" s="194">
        <f t="shared" si="316"/>
        <v>21.19</v>
      </c>
      <c r="AV478" s="197">
        <f t="shared" si="317"/>
        <v>2.7E-2</v>
      </c>
      <c r="AW478" s="197">
        <f t="shared" si="318"/>
        <v>3.4260000000000002E-3</v>
      </c>
      <c r="AX478" s="197">
        <f t="shared" si="353"/>
        <v>6.1668000000000001E-2</v>
      </c>
      <c r="AY478" s="197">
        <f t="shared" si="319"/>
        <v>2.8867476000000005E-3</v>
      </c>
      <c r="AZ478" s="197">
        <f t="shared" si="320"/>
        <v>0</v>
      </c>
      <c r="BA478" s="197">
        <f t="shared" si="354"/>
        <v>7.2596940000000013E-2</v>
      </c>
      <c r="BB478" s="258">
        <f t="shared" si="321"/>
        <v>0.36575210336206115</v>
      </c>
      <c r="BC478" s="197">
        <f t="shared" si="322"/>
        <v>2.2380490766334034E-2</v>
      </c>
      <c r="BD478" s="197">
        <f t="shared" si="355"/>
        <v>4.4760981532668068E-3</v>
      </c>
      <c r="BE478" s="197">
        <f t="shared" si="356"/>
        <v>2.6856588919600841E-2</v>
      </c>
      <c r="BF478" s="197">
        <f t="shared" si="323"/>
        <v>0.20773291256157633</v>
      </c>
      <c r="BG478" s="197">
        <f t="shared" si="324"/>
        <v>5.4608303342508187E-4</v>
      </c>
      <c r="BH478" s="197">
        <f t="shared" si="325"/>
        <v>3.5336687086656722E-2</v>
      </c>
      <c r="BI478" s="197">
        <f t="shared" si="357"/>
        <v>0.44730899017824427</v>
      </c>
      <c r="BJ478" s="197">
        <f t="shared" si="326"/>
        <v>6.769615024661003</v>
      </c>
      <c r="BK478" s="288">
        <f t="shared" si="327"/>
        <v>0.93392401361838984</v>
      </c>
      <c r="BL478" s="197">
        <f t="shared" si="328"/>
        <v>0.37608972359227794</v>
      </c>
      <c r="BM478" s="197">
        <f t="shared" si="329"/>
        <v>7.4353030976985271E-2</v>
      </c>
      <c r="BN478" s="197">
        <f t="shared" si="330"/>
        <v>54.461181858619113</v>
      </c>
      <c r="BO478" s="197">
        <f t="shared" si="358"/>
        <v>0.2082789955950014</v>
      </c>
      <c r="BP478" s="197">
        <f t="shared" si="331"/>
        <v>65.620924669625111</v>
      </c>
      <c r="BQ478" s="197">
        <f t="shared" si="332"/>
        <v>9.9596940000000009E-2</v>
      </c>
      <c r="BR478" s="288">
        <f t="shared" si="333"/>
        <v>0.16008975919012108</v>
      </c>
      <c r="BS478" s="197">
        <f t="shared" si="334"/>
        <v>0.11660930017110901</v>
      </c>
      <c r="BT478" s="197">
        <f t="shared" si="335"/>
        <v>0.36419974881911377</v>
      </c>
      <c r="BU478" s="197">
        <f t="shared" si="336"/>
        <v>0.1713930788771201</v>
      </c>
      <c r="BV478" s="197">
        <f t="shared" si="337"/>
        <v>0.53530306917875781</v>
      </c>
      <c r="BW478" s="194"/>
      <c r="BX478" s="194"/>
      <c r="BY478" s="194"/>
      <c r="BZ478" s="194"/>
      <c r="CA478" s="194"/>
      <c r="CB478" s="194"/>
      <c r="CC478" s="194"/>
      <c r="CD478" s="194"/>
      <c r="CE478" s="194"/>
      <c r="CF478" s="194"/>
      <c r="CG478" s="194"/>
      <c r="CH478" s="194"/>
      <c r="CI478" s="194"/>
      <c r="CJ478" s="194"/>
      <c r="CK478" s="194"/>
      <c r="CL478" s="194"/>
      <c r="CM478" s="194"/>
      <c r="CN478" s="194"/>
      <c r="CO478" s="194"/>
      <c r="CP478" s="194"/>
      <c r="CQ478" s="194"/>
      <c r="CR478" s="194"/>
      <c r="CS478" s="194"/>
      <c r="CT478" s="194"/>
      <c r="CU478" s="194"/>
      <c r="CV478" s="194"/>
      <c r="CW478" s="194"/>
      <c r="CX478" s="194"/>
      <c r="CY478" s="194"/>
      <c r="CZ478" s="194"/>
      <c r="DA478" s="194"/>
      <c r="DB478" s="194"/>
      <c r="DC478" s="194"/>
      <c r="DD478" s="194"/>
      <c r="DE478" s="194"/>
      <c r="DF478" s="194"/>
    </row>
    <row r="479" spans="2:110" s="192" customFormat="1" hidden="1" x14ac:dyDescent="0.35">
      <c r="B479" s="289"/>
      <c r="C479" s="289"/>
      <c r="Q479" s="193"/>
      <c r="R479" s="194">
        <f t="shared" si="338"/>
        <v>18</v>
      </c>
      <c r="S479" s="197">
        <f t="shared" si="304"/>
        <v>0.3888888888888889</v>
      </c>
      <c r="T479" s="194">
        <f t="shared" si="359"/>
        <v>0.69</v>
      </c>
      <c r="U479" s="194">
        <f t="shared" si="360"/>
        <v>1.4999999999999999E-4</v>
      </c>
      <c r="V479" s="197">
        <f t="shared" si="339"/>
        <v>0.3888888888888889</v>
      </c>
      <c r="W479" s="197">
        <f t="shared" si="305"/>
        <v>4.3555555555555561E-3</v>
      </c>
      <c r="X479" s="286">
        <f t="shared" si="306"/>
        <v>1</v>
      </c>
      <c r="Y479" s="286">
        <f t="shared" si="307"/>
        <v>0.17335969315081967</v>
      </c>
      <c r="Z479" s="286">
        <f t="shared" si="308"/>
        <v>0.54964853345132902</v>
      </c>
      <c r="AA479" s="286">
        <f t="shared" si="340"/>
        <v>0.17335969315081967</v>
      </c>
      <c r="AB479" s="197">
        <f t="shared" si="309"/>
        <v>0.36419974881911377</v>
      </c>
      <c r="AC479" s="287">
        <f t="shared" si="310"/>
        <v>4.4451203372005044E-7</v>
      </c>
      <c r="AD479" s="197">
        <f t="shared" si="341"/>
        <v>11.693936048110356</v>
      </c>
      <c r="AE479" s="197">
        <f t="shared" si="342"/>
        <v>35.08180814433107</v>
      </c>
      <c r="AF479" s="197">
        <f t="shared" si="343"/>
        <v>8.5178571428571423E-2</v>
      </c>
      <c r="AG479" s="197">
        <f t="shared" si="344"/>
        <v>0.25553571428571431</v>
      </c>
      <c r="AH479" s="197">
        <f t="shared" si="311"/>
        <v>0.11660930017110901</v>
      </c>
      <c r="AI479" s="197">
        <f t="shared" si="345"/>
        <v>0.11660930017110901</v>
      </c>
      <c r="AJ479" s="218">
        <f t="shared" si="312"/>
        <v>390.00000000000006</v>
      </c>
      <c r="AK479" s="197">
        <f t="shared" si="346"/>
        <v>6.0930617977437734E-2</v>
      </c>
      <c r="AL479" s="197">
        <f t="shared" si="347"/>
        <v>9.6203707235237593E-2</v>
      </c>
      <c r="AM479" s="197">
        <f t="shared" si="348"/>
        <v>4.0790371867740751E-3</v>
      </c>
      <c r="AN479" s="197">
        <f t="shared" si="313"/>
        <v>24.05</v>
      </c>
      <c r="AO479" s="197">
        <f t="shared" si="314"/>
        <v>21.69</v>
      </c>
      <c r="AP479" s="197">
        <f t="shared" si="349"/>
        <v>7.4093290390420161E-2</v>
      </c>
      <c r="AQ479" s="197">
        <f t="shared" si="350"/>
        <v>0.42250439890466829</v>
      </c>
      <c r="AR479" s="197">
        <f t="shared" si="351"/>
        <v>0.30589509873355925</v>
      </c>
      <c r="AS479" s="258">
        <f t="shared" si="352"/>
        <v>0.15228632177729159</v>
      </c>
      <c r="AT479" s="197">
        <f t="shared" si="315"/>
        <v>2.5974058656511614E-4</v>
      </c>
      <c r="AU479" s="194">
        <f t="shared" si="316"/>
        <v>21.19</v>
      </c>
      <c r="AV479" s="197">
        <f t="shared" si="317"/>
        <v>2.7E-2</v>
      </c>
      <c r="AW479" s="197">
        <f t="shared" si="318"/>
        <v>3.4260000000000002E-3</v>
      </c>
      <c r="AX479" s="197">
        <f t="shared" si="353"/>
        <v>6.1668000000000001E-2</v>
      </c>
      <c r="AY479" s="197">
        <f t="shared" si="319"/>
        <v>2.8867476000000005E-3</v>
      </c>
      <c r="AZ479" s="197">
        <f t="shared" si="320"/>
        <v>0</v>
      </c>
      <c r="BA479" s="197">
        <f t="shared" si="354"/>
        <v>7.2596940000000013E-2</v>
      </c>
      <c r="BB479" s="258">
        <f t="shared" si="321"/>
        <v>0.36575210336206115</v>
      </c>
      <c r="BC479" s="197">
        <f t="shared" si="322"/>
        <v>2.2380490766334034E-2</v>
      </c>
      <c r="BD479" s="197">
        <f t="shared" si="355"/>
        <v>4.4760981532668068E-3</v>
      </c>
      <c r="BE479" s="197">
        <f t="shared" si="356"/>
        <v>2.6856588919600841E-2</v>
      </c>
      <c r="BF479" s="197">
        <f t="shared" si="323"/>
        <v>0.20773291256157633</v>
      </c>
      <c r="BG479" s="197">
        <f t="shared" si="324"/>
        <v>5.4608303342508187E-4</v>
      </c>
      <c r="BH479" s="197">
        <f t="shared" si="325"/>
        <v>3.5336687086656722E-2</v>
      </c>
      <c r="BI479" s="197">
        <f t="shared" si="357"/>
        <v>0.44730899017824427</v>
      </c>
      <c r="BJ479" s="197">
        <f t="shared" si="326"/>
        <v>6.769615024661003</v>
      </c>
      <c r="BK479" s="288">
        <f t="shared" si="327"/>
        <v>0.93392401361838984</v>
      </c>
      <c r="BL479" s="197">
        <f t="shared" si="328"/>
        <v>0.37608972359227794</v>
      </c>
      <c r="BM479" s="197">
        <f t="shared" si="329"/>
        <v>7.4353030976985271E-2</v>
      </c>
      <c r="BN479" s="197">
        <f t="shared" si="330"/>
        <v>54.461181858619113</v>
      </c>
      <c r="BO479" s="197">
        <f t="shared" si="358"/>
        <v>0.2082789955950014</v>
      </c>
      <c r="BP479" s="197">
        <f t="shared" si="331"/>
        <v>65.620924669625111</v>
      </c>
      <c r="BQ479" s="197">
        <f t="shared" si="332"/>
        <v>9.9596940000000009E-2</v>
      </c>
      <c r="BR479" s="288">
        <f t="shared" si="333"/>
        <v>0.16008975919012108</v>
      </c>
      <c r="BS479" s="197">
        <f t="shared" si="334"/>
        <v>0.11660930017110901</v>
      </c>
      <c r="BT479" s="197">
        <f t="shared" si="335"/>
        <v>0.36419974881911377</v>
      </c>
      <c r="BU479" s="197">
        <f t="shared" si="336"/>
        <v>0.1713930788771201</v>
      </c>
      <c r="BV479" s="197">
        <f t="shared" si="337"/>
        <v>0.53530306917875781</v>
      </c>
      <c r="BW479" s="194"/>
      <c r="BX479" s="194"/>
      <c r="BY479" s="194"/>
      <c r="BZ479" s="194"/>
      <c r="CA479" s="194"/>
      <c r="CB479" s="194"/>
      <c r="CC479" s="194"/>
      <c r="CD479" s="194"/>
      <c r="CE479" s="194"/>
      <c r="CF479" s="194"/>
      <c r="CG479" s="194"/>
      <c r="CH479" s="194"/>
      <c r="CI479" s="194"/>
      <c r="CJ479" s="194"/>
      <c r="CK479" s="194"/>
      <c r="CL479" s="194"/>
      <c r="CM479" s="194"/>
      <c r="CN479" s="194"/>
      <c r="CO479" s="194"/>
      <c r="CP479" s="194"/>
      <c r="CQ479" s="194"/>
      <c r="CR479" s="194"/>
      <c r="CS479" s="194"/>
      <c r="CT479" s="194"/>
      <c r="CU479" s="194"/>
      <c r="CV479" s="194"/>
      <c r="CW479" s="194"/>
      <c r="CX479" s="194"/>
      <c r="CY479" s="194"/>
      <c r="CZ479" s="194"/>
      <c r="DA479" s="194"/>
      <c r="DB479" s="194"/>
      <c r="DC479" s="194"/>
      <c r="DD479" s="194"/>
      <c r="DE479" s="194"/>
      <c r="DF479" s="194"/>
    </row>
    <row r="480" spans="2:110" s="192" customFormat="1" hidden="1" x14ac:dyDescent="0.35">
      <c r="B480" s="289"/>
      <c r="C480" s="289"/>
      <c r="Q480" s="193"/>
      <c r="R480" s="194">
        <f t="shared" si="338"/>
        <v>18</v>
      </c>
      <c r="S480" s="197">
        <f t="shared" si="304"/>
        <v>0.3888888888888889</v>
      </c>
      <c r="T480" s="194">
        <f t="shared" si="359"/>
        <v>0.69</v>
      </c>
      <c r="U480" s="194">
        <f t="shared" si="360"/>
        <v>1.4999999999999999E-4</v>
      </c>
      <c r="V480" s="197">
        <f t="shared" si="339"/>
        <v>0.3888888888888889</v>
      </c>
      <c r="W480" s="197">
        <f t="shared" si="305"/>
        <v>4.3555555555555561E-3</v>
      </c>
      <c r="X480" s="286">
        <f t="shared" si="306"/>
        <v>1</v>
      </c>
      <c r="Y480" s="286">
        <f t="shared" si="307"/>
        <v>0.17335969315081967</v>
      </c>
      <c r="Z480" s="286">
        <f t="shared" si="308"/>
        <v>0.54964853345132902</v>
      </c>
      <c r="AA480" s="286">
        <f t="shared" si="340"/>
        <v>0.17335969315081967</v>
      </c>
      <c r="AB480" s="197">
        <f t="shared" si="309"/>
        <v>0.36419974881911377</v>
      </c>
      <c r="AC480" s="287">
        <f t="shared" si="310"/>
        <v>4.4451203372005044E-7</v>
      </c>
      <c r="AD480" s="197">
        <f t="shared" si="341"/>
        <v>11.693936048110356</v>
      </c>
      <c r="AE480" s="197">
        <f t="shared" si="342"/>
        <v>35.08180814433107</v>
      </c>
      <c r="AF480" s="197">
        <f t="shared" si="343"/>
        <v>8.5178571428571423E-2</v>
      </c>
      <c r="AG480" s="197">
        <f t="shared" si="344"/>
        <v>0.25553571428571431</v>
      </c>
      <c r="AH480" s="197">
        <f t="shared" si="311"/>
        <v>0.11660930017110901</v>
      </c>
      <c r="AI480" s="197">
        <f t="shared" si="345"/>
        <v>0.11660930017110901</v>
      </c>
      <c r="AJ480" s="218">
        <f t="shared" si="312"/>
        <v>390.00000000000006</v>
      </c>
      <c r="AK480" s="197">
        <f t="shared" si="346"/>
        <v>6.0930617977437734E-2</v>
      </c>
      <c r="AL480" s="197">
        <f t="shared" si="347"/>
        <v>9.6203707235237593E-2</v>
      </c>
      <c r="AM480" s="197">
        <f t="shared" si="348"/>
        <v>4.0790371867740751E-3</v>
      </c>
      <c r="AN480" s="197">
        <f t="shared" si="313"/>
        <v>24.05</v>
      </c>
      <c r="AO480" s="197">
        <f t="shared" si="314"/>
        <v>21.69</v>
      </c>
      <c r="AP480" s="197">
        <f t="shared" si="349"/>
        <v>7.4093290390420161E-2</v>
      </c>
      <c r="AQ480" s="197">
        <f t="shared" si="350"/>
        <v>0.42250439890466829</v>
      </c>
      <c r="AR480" s="197">
        <f t="shared" si="351"/>
        <v>0.30589509873355925</v>
      </c>
      <c r="AS480" s="258">
        <f t="shared" si="352"/>
        <v>0.15228632177729159</v>
      </c>
      <c r="AT480" s="197">
        <f t="shared" si="315"/>
        <v>2.5974058656511614E-4</v>
      </c>
      <c r="AU480" s="194">
        <f t="shared" si="316"/>
        <v>21.19</v>
      </c>
      <c r="AV480" s="197">
        <f t="shared" si="317"/>
        <v>2.7E-2</v>
      </c>
      <c r="AW480" s="197">
        <f t="shared" si="318"/>
        <v>3.4260000000000002E-3</v>
      </c>
      <c r="AX480" s="197">
        <f t="shared" si="353"/>
        <v>6.1668000000000001E-2</v>
      </c>
      <c r="AY480" s="197">
        <f t="shared" si="319"/>
        <v>2.8867476000000005E-3</v>
      </c>
      <c r="AZ480" s="197">
        <f t="shared" si="320"/>
        <v>0</v>
      </c>
      <c r="BA480" s="197">
        <f t="shared" si="354"/>
        <v>7.2596940000000013E-2</v>
      </c>
      <c r="BB480" s="258">
        <f t="shared" si="321"/>
        <v>0.36575210336206115</v>
      </c>
      <c r="BC480" s="197">
        <f t="shared" si="322"/>
        <v>2.2380490766334034E-2</v>
      </c>
      <c r="BD480" s="197">
        <f t="shared" si="355"/>
        <v>4.4760981532668068E-3</v>
      </c>
      <c r="BE480" s="197">
        <f t="shared" si="356"/>
        <v>2.6856588919600841E-2</v>
      </c>
      <c r="BF480" s="197">
        <f t="shared" si="323"/>
        <v>0.20773291256157633</v>
      </c>
      <c r="BG480" s="197">
        <f t="shared" si="324"/>
        <v>5.4608303342508187E-4</v>
      </c>
      <c r="BH480" s="197">
        <f t="shared" si="325"/>
        <v>3.5336687086656722E-2</v>
      </c>
      <c r="BI480" s="197">
        <f t="shared" si="357"/>
        <v>0.44730899017824427</v>
      </c>
      <c r="BJ480" s="197">
        <f t="shared" si="326"/>
        <v>6.769615024661003</v>
      </c>
      <c r="BK480" s="288">
        <f t="shared" si="327"/>
        <v>0.93392401361838984</v>
      </c>
      <c r="BL480" s="197">
        <f t="shared" si="328"/>
        <v>0.37608972359227794</v>
      </c>
      <c r="BM480" s="197">
        <f t="shared" si="329"/>
        <v>7.4353030976985271E-2</v>
      </c>
      <c r="BN480" s="197">
        <f t="shared" si="330"/>
        <v>54.461181858619113</v>
      </c>
      <c r="BO480" s="197">
        <f t="shared" si="358"/>
        <v>0.2082789955950014</v>
      </c>
      <c r="BP480" s="197">
        <f t="shared" si="331"/>
        <v>65.620924669625111</v>
      </c>
      <c r="BQ480" s="197">
        <f t="shared" si="332"/>
        <v>9.9596940000000009E-2</v>
      </c>
      <c r="BR480" s="288">
        <f t="shared" si="333"/>
        <v>0.16008975919012108</v>
      </c>
      <c r="BS480" s="197">
        <f t="shared" si="334"/>
        <v>0.11660930017110901</v>
      </c>
      <c r="BT480" s="197">
        <f t="shared" si="335"/>
        <v>0.36419974881911377</v>
      </c>
      <c r="BU480" s="197">
        <f t="shared" si="336"/>
        <v>0.1713930788771201</v>
      </c>
      <c r="BV480" s="197">
        <f t="shared" si="337"/>
        <v>0.53530306917875781</v>
      </c>
      <c r="BW480" s="194"/>
      <c r="BX480" s="194"/>
      <c r="BY480" s="194"/>
      <c r="BZ480" s="194"/>
      <c r="CA480" s="194"/>
      <c r="CB480" s="194"/>
      <c r="CC480" s="194"/>
      <c r="CD480" s="194"/>
      <c r="CE480" s="194"/>
      <c r="CF480" s="194"/>
      <c r="CG480" s="194"/>
      <c r="CH480" s="194"/>
      <c r="CI480" s="194"/>
      <c r="CJ480" s="194"/>
      <c r="CK480" s="194"/>
      <c r="CL480" s="194"/>
      <c r="CM480" s="194"/>
      <c r="CN480" s="194"/>
      <c r="CO480" s="194"/>
      <c r="CP480" s="194"/>
      <c r="CQ480" s="194"/>
      <c r="CR480" s="194"/>
      <c r="CS480" s="194"/>
      <c r="CT480" s="194"/>
      <c r="CU480" s="194"/>
      <c r="CV480" s="194"/>
      <c r="CW480" s="194"/>
      <c r="CX480" s="194"/>
      <c r="CY480" s="194"/>
      <c r="CZ480" s="194"/>
      <c r="DA480" s="194"/>
      <c r="DB480" s="194"/>
      <c r="DC480" s="194"/>
      <c r="DD480" s="194"/>
      <c r="DE480" s="194"/>
      <c r="DF480" s="194"/>
    </row>
    <row r="481" spans="2:110" s="192" customFormat="1" hidden="1" x14ac:dyDescent="0.35">
      <c r="B481" s="289"/>
      <c r="C481" s="289"/>
      <c r="Q481" s="193"/>
      <c r="R481" s="194">
        <f t="shared" si="338"/>
        <v>18</v>
      </c>
      <c r="S481" s="197">
        <f t="shared" si="304"/>
        <v>0.3888888888888889</v>
      </c>
      <c r="T481" s="194">
        <f t="shared" si="359"/>
        <v>0.69</v>
      </c>
      <c r="U481" s="194">
        <f t="shared" si="360"/>
        <v>1.4999999999999999E-4</v>
      </c>
      <c r="V481" s="197">
        <f t="shared" si="339"/>
        <v>0.3888888888888889</v>
      </c>
      <c r="W481" s="197">
        <f t="shared" si="305"/>
        <v>4.3555555555555561E-3</v>
      </c>
      <c r="X481" s="286">
        <f t="shared" si="306"/>
        <v>1</v>
      </c>
      <c r="Y481" s="286">
        <f t="shared" si="307"/>
        <v>0.17335969315081967</v>
      </c>
      <c r="Z481" s="286">
        <f t="shared" si="308"/>
        <v>0.54964853345132902</v>
      </c>
      <c r="AA481" s="286">
        <f t="shared" si="340"/>
        <v>0.17335969315081967</v>
      </c>
      <c r="AB481" s="197">
        <f t="shared" si="309"/>
        <v>0.36419974881911377</v>
      </c>
      <c r="AC481" s="287">
        <f t="shared" si="310"/>
        <v>4.4451203372005044E-7</v>
      </c>
      <c r="AD481" s="197">
        <f t="shared" si="341"/>
        <v>11.693936048110356</v>
      </c>
      <c r="AE481" s="197">
        <f t="shared" si="342"/>
        <v>35.08180814433107</v>
      </c>
      <c r="AF481" s="197">
        <f t="shared" si="343"/>
        <v>8.5178571428571423E-2</v>
      </c>
      <c r="AG481" s="197">
        <f t="shared" si="344"/>
        <v>0.25553571428571431</v>
      </c>
      <c r="AH481" s="197">
        <f t="shared" si="311"/>
        <v>0.11660930017110901</v>
      </c>
      <c r="AI481" s="197">
        <f t="shared" si="345"/>
        <v>0.11660930017110901</v>
      </c>
      <c r="AJ481" s="218">
        <f t="shared" si="312"/>
        <v>390.00000000000006</v>
      </c>
      <c r="AK481" s="197">
        <f t="shared" si="346"/>
        <v>6.0930617977437734E-2</v>
      </c>
      <c r="AL481" s="197">
        <f t="shared" si="347"/>
        <v>9.6203707235237593E-2</v>
      </c>
      <c r="AM481" s="197">
        <f t="shared" si="348"/>
        <v>4.0790371867740751E-3</v>
      </c>
      <c r="AN481" s="197">
        <f t="shared" si="313"/>
        <v>24.05</v>
      </c>
      <c r="AO481" s="197">
        <f t="shared" si="314"/>
        <v>21.69</v>
      </c>
      <c r="AP481" s="197">
        <f t="shared" si="349"/>
        <v>7.4093290390420161E-2</v>
      </c>
      <c r="AQ481" s="197">
        <f t="shared" si="350"/>
        <v>0.42250439890466829</v>
      </c>
      <c r="AR481" s="197">
        <f t="shared" si="351"/>
        <v>0.30589509873355925</v>
      </c>
      <c r="AS481" s="258">
        <f t="shared" si="352"/>
        <v>0.15228632177729159</v>
      </c>
      <c r="AT481" s="197">
        <f t="shared" si="315"/>
        <v>2.5974058656511614E-4</v>
      </c>
      <c r="AU481" s="194">
        <f t="shared" si="316"/>
        <v>21.19</v>
      </c>
      <c r="AV481" s="197">
        <f t="shared" si="317"/>
        <v>2.7E-2</v>
      </c>
      <c r="AW481" s="197">
        <f t="shared" si="318"/>
        <v>3.4260000000000002E-3</v>
      </c>
      <c r="AX481" s="197">
        <f t="shared" si="353"/>
        <v>6.1668000000000001E-2</v>
      </c>
      <c r="AY481" s="197">
        <f t="shared" si="319"/>
        <v>2.8867476000000005E-3</v>
      </c>
      <c r="AZ481" s="197">
        <f t="shared" si="320"/>
        <v>0</v>
      </c>
      <c r="BA481" s="197">
        <f t="shared" si="354"/>
        <v>7.2596940000000013E-2</v>
      </c>
      <c r="BB481" s="258">
        <f t="shared" si="321"/>
        <v>0.36575210336206115</v>
      </c>
      <c r="BC481" s="197">
        <f t="shared" si="322"/>
        <v>2.2380490766334034E-2</v>
      </c>
      <c r="BD481" s="197">
        <f t="shared" si="355"/>
        <v>4.4760981532668068E-3</v>
      </c>
      <c r="BE481" s="197">
        <f t="shared" si="356"/>
        <v>2.6856588919600841E-2</v>
      </c>
      <c r="BF481" s="197">
        <f t="shared" si="323"/>
        <v>0.20773291256157633</v>
      </c>
      <c r="BG481" s="197">
        <f t="shared" si="324"/>
        <v>5.4608303342508187E-4</v>
      </c>
      <c r="BH481" s="197">
        <f t="shared" si="325"/>
        <v>3.5336687086656722E-2</v>
      </c>
      <c r="BI481" s="197">
        <f t="shared" si="357"/>
        <v>0.44730899017824427</v>
      </c>
      <c r="BJ481" s="197">
        <f t="shared" si="326"/>
        <v>6.769615024661003</v>
      </c>
      <c r="BK481" s="288">
        <f t="shared" si="327"/>
        <v>0.93392401361838984</v>
      </c>
      <c r="BL481" s="197">
        <f t="shared" si="328"/>
        <v>0.37608972359227794</v>
      </c>
      <c r="BM481" s="197">
        <f t="shared" si="329"/>
        <v>7.4353030976985271E-2</v>
      </c>
      <c r="BN481" s="197">
        <f t="shared" si="330"/>
        <v>54.461181858619113</v>
      </c>
      <c r="BO481" s="197">
        <f t="shared" si="358"/>
        <v>0.2082789955950014</v>
      </c>
      <c r="BP481" s="197">
        <f t="shared" si="331"/>
        <v>65.620924669625111</v>
      </c>
      <c r="BQ481" s="197">
        <f t="shared" si="332"/>
        <v>9.9596940000000009E-2</v>
      </c>
      <c r="BR481" s="288">
        <f t="shared" si="333"/>
        <v>0.16008975919012108</v>
      </c>
      <c r="BS481" s="197">
        <f t="shared" si="334"/>
        <v>0.11660930017110901</v>
      </c>
      <c r="BT481" s="197">
        <f t="shared" si="335"/>
        <v>0.36419974881911377</v>
      </c>
      <c r="BU481" s="197">
        <f t="shared" si="336"/>
        <v>0.1713930788771201</v>
      </c>
      <c r="BV481" s="197">
        <f t="shared" si="337"/>
        <v>0.53530306917875781</v>
      </c>
      <c r="BW481" s="194"/>
      <c r="BX481" s="194"/>
      <c r="BY481" s="194"/>
      <c r="BZ481" s="194"/>
      <c r="CA481" s="194"/>
      <c r="CB481" s="194"/>
      <c r="CC481" s="194"/>
      <c r="CD481" s="194"/>
      <c r="CE481" s="194"/>
      <c r="CF481" s="194"/>
      <c r="CG481" s="194"/>
      <c r="CH481" s="194"/>
      <c r="CI481" s="194"/>
      <c r="CJ481" s="194"/>
      <c r="CK481" s="194"/>
      <c r="CL481" s="194"/>
      <c r="CM481" s="194"/>
      <c r="CN481" s="194"/>
      <c r="CO481" s="194"/>
      <c r="CP481" s="194"/>
      <c r="CQ481" s="194"/>
      <c r="CR481" s="194"/>
      <c r="CS481" s="194"/>
      <c r="CT481" s="194"/>
      <c r="CU481" s="194"/>
      <c r="CV481" s="194"/>
      <c r="CW481" s="194"/>
      <c r="CX481" s="194"/>
      <c r="CY481" s="194"/>
      <c r="CZ481" s="194"/>
      <c r="DA481" s="194"/>
      <c r="DB481" s="194"/>
      <c r="DC481" s="194"/>
      <c r="DD481" s="194"/>
      <c r="DE481" s="194"/>
      <c r="DF481" s="194"/>
    </row>
    <row r="482" spans="2:110" s="192" customFormat="1" hidden="1" x14ac:dyDescent="0.35">
      <c r="B482" s="289"/>
      <c r="C482" s="289"/>
      <c r="Q482" s="193"/>
      <c r="R482" s="194">
        <f t="shared" si="338"/>
        <v>18</v>
      </c>
      <c r="S482" s="197">
        <f t="shared" si="304"/>
        <v>0.3888888888888889</v>
      </c>
      <c r="T482" s="194">
        <f t="shared" si="359"/>
        <v>0.69</v>
      </c>
      <c r="U482" s="194">
        <f t="shared" si="360"/>
        <v>1.4999999999999999E-4</v>
      </c>
      <c r="V482" s="197">
        <f t="shared" si="339"/>
        <v>0.3888888888888889</v>
      </c>
      <c r="W482" s="197">
        <f t="shared" si="305"/>
        <v>4.3555555555555561E-3</v>
      </c>
      <c r="X482" s="286">
        <f t="shared" si="306"/>
        <v>1</v>
      </c>
      <c r="Y482" s="286">
        <f t="shared" si="307"/>
        <v>0.17335969315081967</v>
      </c>
      <c r="Z482" s="286">
        <f t="shared" si="308"/>
        <v>0.54964853345132902</v>
      </c>
      <c r="AA482" s="286">
        <f t="shared" si="340"/>
        <v>0.17335969315081967</v>
      </c>
      <c r="AB482" s="197">
        <f t="shared" si="309"/>
        <v>0.36419974881911377</v>
      </c>
      <c r="AC482" s="287">
        <f t="shared" si="310"/>
        <v>4.4451203372005044E-7</v>
      </c>
      <c r="AD482" s="197">
        <f t="shared" si="341"/>
        <v>11.693936048110356</v>
      </c>
      <c r="AE482" s="197">
        <f t="shared" si="342"/>
        <v>35.08180814433107</v>
      </c>
      <c r="AF482" s="197">
        <f t="shared" si="343"/>
        <v>8.5178571428571423E-2</v>
      </c>
      <c r="AG482" s="197">
        <f t="shared" si="344"/>
        <v>0.25553571428571431</v>
      </c>
      <c r="AH482" s="197">
        <f t="shared" si="311"/>
        <v>0.11660930017110901</v>
      </c>
      <c r="AI482" s="197">
        <f t="shared" si="345"/>
        <v>0.11660930017110901</v>
      </c>
      <c r="AJ482" s="218">
        <f t="shared" si="312"/>
        <v>390.00000000000006</v>
      </c>
      <c r="AK482" s="197">
        <f t="shared" si="346"/>
        <v>6.0930617977437734E-2</v>
      </c>
      <c r="AL482" s="197">
        <f t="shared" si="347"/>
        <v>9.6203707235237593E-2</v>
      </c>
      <c r="AM482" s="197">
        <f t="shared" si="348"/>
        <v>4.0790371867740751E-3</v>
      </c>
      <c r="AN482" s="197">
        <f t="shared" si="313"/>
        <v>24.05</v>
      </c>
      <c r="AO482" s="197">
        <f t="shared" si="314"/>
        <v>21.69</v>
      </c>
      <c r="AP482" s="197">
        <f t="shared" si="349"/>
        <v>7.4093290390420161E-2</v>
      </c>
      <c r="AQ482" s="197">
        <f t="shared" si="350"/>
        <v>0.42250439890466829</v>
      </c>
      <c r="AR482" s="197">
        <f t="shared" si="351"/>
        <v>0.30589509873355925</v>
      </c>
      <c r="AS482" s="258">
        <f t="shared" si="352"/>
        <v>0.15228632177729159</v>
      </c>
      <c r="AT482" s="197">
        <f t="shared" si="315"/>
        <v>2.5974058656511614E-4</v>
      </c>
      <c r="AU482" s="194">
        <f t="shared" si="316"/>
        <v>21.19</v>
      </c>
      <c r="AV482" s="197">
        <f t="shared" si="317"/>
        <v>2.7E-2</v>
      </c>
      <c r="AW482" s="197">
        <f t="shared" si="318"/>
        <v>3.4260000000000002E-3</v>
      </c>
      <c r="AX482" s="197">
        <f t="shared" si="353"/>
        <v>6.1668000000000001E-2</v>
      </c>
      <c r="AY482" s="197">
        <f t="shared" si="319"/>
        <v>2.8867476000000005E-3</v>
      </c>
      <c r="AZ482" s="197">
        <f t="shared" si="320"/>
        <v>0</v>
      </c>
      <c r="BA482" s="197">
        <f t="shared" si="354"/>
        <v>7.2596940000000013E-2</v>
      </c>
      <c r="BB482" s="258">
        <f t="shared" si="321"/>
        <v>0.36575210336206115</v>
      </c>
      <c r="BC482" s="197">
        <f t="shared" si="322"/>
        <v>2.2380490766334034E-2</v>
      </c>
      <c r="BD482" s="197">
        <f t="shared" si="355"/>
        <v>4.4760981532668068E-3</v>
      </c>
      <c r="BE482" s="197">
        <f t="shared" si="356"/>
        <v>2.6856588919600841E-2</v>
      </c>
      <c r="BF482" s="197">
        <f t="shared" si="323"/>
        <v>0.20773291256157633</v>
      </c>
      <c r="BG482" s="197">
        <f t="shared" si="324"/>
        <v>5.4608303342508187E-4</v>
      </c>
      <c r="BH482" s="197">
        <f t="shared" si="325"/>
        <v>3.5336687086656722E-2</v>
      </c>
      <c r="BI482" s="197">
        <f t="shared" si="357"/>
        <v>0.44730899017824427</v>
      </c>
      <c r="BJ482" s="197">
        <f t="shared" si="326"/>
        <v>6.769615024661003</v>
      </c>
      <c r="BK482" s="288">
        <f t="shared" si="327"/>
        <v>0.93392401361838984</v>
      </c>
      <c r="BL482" s="197">
        <f t="shared" si="328"/>
        <v>0.37608972359227794</v>
      </c>
      <c r="BM482" s="197">
        <f t="shared" si="329"/>
        <v>7.4353030976985271E-2</v>
      </c>
      <c r="BN482" s="197">
        <f t="shared" si="330"/>
        <v>54.461181858619113</v>
      </c>
      <c r="BO482" s="197">
        <f t="shared" si="358"/>
        <v>0.2082789955950014</v>
      </c>
      <c r="BP482" s="197">
        <f t="shared" si="331"/>
        <v>65.620924669625111</v>
      </c>
      <c r="BQ482" s="197">
        <f t="shared" si="332"/>
        <v>9.9596940000000009E-2</v>
      </c>
      <c r="BR482" s="288">
        <f t="shared" si="333"/>
        <v>0.16008975919012108</v>
      </c>
      <c r="BS482" s="197">
        <f t="shared" si="334"/>
        <v>0.11660930017110901</v>
      </c>
      <c r="BT482" s="197">
        <f t="shared" si="335"/>
        <v>0.36419974881911377</v>
      </c>
      <c r="BU482" s="197">
        <f t="shared" si="336"/>
        <v>0.1713930788771201</v>
      </c>
      <c r="BV482" s="197">
        <f t="shared" si="337"/>
        <v>0.53530306917875781</v>
      </c>
      <c r="BW482" s="194"/>
      <c r="BX482" s="194"/>
      <c r="BY482" s="194"/>
      <c r="BZ482" s="194"/>
      <c r="CA482" s="194"/>
      <c r="CB482" s="194"/>
      <c r="CC482" s="194"/>
      <c r="CD482" s="194"/>
      <c r="CE482" s="194"/>
      <c r="CF482" s="194"/>
      <c r="CG482" s="194"/>
      <c r="CH482" s="194"/>
      <c r="CI482" s="194"/>
      <c r="CJ482" s="194"/>
      <c r="CK482" s="194"/>
      <c r="CL482" s="194"/>
      <c r="CM482" s="194"/>
      <c r="CN482" s="194"/>
      <c r="CO482" s="194"/>
      <c r="CP482" s="194"/>
      <c r="CQ482" s="194"/>
      <c r="CR482" s="194"/>
      <c r="CS482" s="194"/>
      <c r="CT482" s="194"/>
      <c r="CU482" s="194"/>
      <c r="CV482" s="194"/>
      <c r="CW482" s="194"/>
      <c r="CX482" s="194"/>
      <c r="CY482" s="194"/>
      <c r="CZ482" s="194"/>
      <c r="DA482" s="194"/>
      <c r="DB482" s="194"/>
      <c r="DC482" s="194"/>
      <c r="DD482" s="194"/>
      <c r="DE482" s="194"/>
      <c r="DF482" s="194"/>
    </row>
    <row r="483" spans="2:110" s="192" customFormat="1" hidden="1" x14ac:dyDescent="0.35">
      <c r="B483" s="289"/>
      <c r="C483" s="289"/>
      <c r="Q483" s="193"/>
      <c r="R483" s="194">
        <f t="shared" si="338"/>
        <v>18</v>
      </c>
      <c r="S483" s="197">
        <f t="shared" si="304"/>
        <v>0.3888888888888889</v>
      </c>
      <c r="T483" s="194">
        <f t="shared" si="359"/>
        <v>0.69</v>
      </c>
      <c r="U483" s="194">
        <f t="shared" si="360"/>
        <v>1.4999999999999999E-4</v>
      </c>
      <c r="V483" s="197">
        <f t="shared" si="339"/>
        <v>0.3888888888888889</v>
      </c>
      <c r="W483" s="197">
        <f t="shared" si="305"/>
        <v>4.3555555555555561E-3</v>
      </c>
      <c r="X483" s="286">
        <f t="shared" si="306"/>
        <v>1</v>
      </c>
      <c r="Y483" s="286">
        <f t="shared" si="307"/>
        <v>0.17335969315081967</v>
      </c>
      <c r="Z483" s="286">
        <f t="shared" si="308"/>
        <v>0.54964853345132902</v>
      </c>
      <c r="AA483" s="286">
        <f t="shared" si="340"/>
        <v>0.17335969315081967</v>
      </c>
      <c r="AB483" s="197">
        <f t="shared" si="309"/>
        <v>0.36419974881911377</v>
      </c>
      <c r="AC483" s="287">
        <f t="shared" si="310"/>
        <v>4.4451203372005044E-7</v>
      </c>
      <c r="AD483" s="197">
        <f t="shared" si="341"/>
        <v>11.693936048110356</v>
      </c>
      <c r="AE483" s="197">
        <f t="shared" si="342"/>
        <v>35.08180814433107</v>
      </c>
      <c r="AF483" s="197">
        <f t="shared" si="343"/>
        <v>8.5178571428571423E-2</v>
      </c>
      <c r="AG483" s="197">
        <f t="shared" si="344"/>
        <v>0.25553571428571431</v>
      </c>
      <c r="AH483" s="197">
        <f t="shared" si="311"/>
        <v>0.11660930017110901</v>
      </c>
      <c r="AI483" s="197">
        <f t="shared" si="345"/>
        <v>0.11660930017110901</v>
      </c>
      <c r="AJ483" s="218">
        <f t="shared" si="312"/>
        <v>390.00000000000006</v>
      </c>
      <c r="AK483" s="197">
        <f t="shared" si="346"/>
        <v>6.0930617977437734E-2</v>
      </c>
      <c r="AL483" s="197">
        <f t="shared" si="347"/>
        <v>9.6203707235237593E-2</v>
      </c>
      <c r="AM483" s="197">
        <f t="shared" si="348"/>
        <v>4.0790371867740751E-3</v>
      </c>
      <c r="AN483" s="197">
        <f t="shared" si="313"/>
        <v>24.05</v>
      </c>
      <c r="AO483" s="197">
        <f t="shared" si="314"/>
        <v>21.69</v>
      </c>
      <c r="AP483" s="197">
        <f t="shared" si="349"/>
        <v>7.4093290390420161E-2</v>
      </c>
      <c r="AQ483" s="197">
        <f t="shared" si="350"/>
        <v>0.42250439890466829</v>
      </c>
      <c r="AR483" s="197">
        <f t="shared" si="351"/>
        <v>0.30589509873355925</v>
      </c>
      <c r="AS483" s="258">
        <f t="shared" si="352"/>
        <v>0.15228632177729159</v>
      </c>
      <c r="AT483" s="197">
        <f t="shared" si="315"/>
        <v>2.5974058656511614E-4</v>
      </c>
      <c r="AU483" s="194">
        <f t="shared" si="316"/>
        <v>21.19</v>
      </c>
      <c r="AV483" s="197">
        <f t="shared" si="317"/>
        <v>2.7E-2</v>
      </c>
      <c r="AW483" s="197">
        <f t="shared" si="318"/>
        <v>3.4260000000000002E-3</v>
      </c>
      <c r="AX483" s="197">
        <f t="shared" si="353"/>
        <v>6.1668000000000001E-2</v>
      </c>
      <c r="AY483" s="197">
        <f t="shared" si="319"/>
        <v>2.8867476000000005E-3</v>
      </c>
      <c r="AZ483" s="197">
        <f t="shared" si="320"/>
        <v>0</v>
      </c>
      <c r="BA483" s="197">
        <f t="shared" si="354"/>
        <v>7.2596940000000013E-2</v>
      </c>
      <c r="BB483" s="258">
        <f t="shared" si="321"/>
        <v>0.36575210336206115</v>
      </c>
      <c r="BC483" s="197">
        <f t="shared" si="322"/>
        <v>2.2380490766334034E-2</v>
      </c>
      <c r="BD483" s="197">
        <f t="shared" si="355"/>
        <v>4.4760981532668068E-3</v>
      </c>
      <c r="BE483" s="197">
        <f t="shared" si="356"/>
        <v>2.6856588919600841E-2</v>
      </c>
      <c r="BF483" s="197">
        <f t="shared" si="323"/>
        <v>0.20773291256157633</v>
      </c>
      <c r="BG483" s="197">
        <f t="shared" si="324"/>
        <v>5.4608303342508187E-4</v>
      </c>
      <c r="BH483" s="197">
        <f t="shared" si="325"/>
        <v>3.5336687086656722E-2</v>
      </c>
      <c r="BI483" s="197">
        <f t="shared" si="357"/>
        <v>0.44730899017824427</v>
      </c>
      <c r="BJ483" s="197">
        <f t="shared" si="326"/>
        <v>6.769615024661003</v>
      </c>
      <c r="BK483" s="288">
        <f t="shared" si="327"/>
        <v>0.93392401361838984</v>
      </c>
      <c r="BL483" s="197">
        <f t="shared" si="328"/>
        <v>0.37608972359227794</v>
      </c>
      <c r="BM483" s="197">
        <f t="shared" si="329"/>
        <v>7.4353030976985271E-2</v>
      </c>
      <c r="BN483" s="197">
        <f t="shared" si="330"/>
        <v>54.461181858619113</v>
      </c>
      <c r="BO483" s="197">
        <f t="shared" si="358"/>
        <v>0.2082789955950014</v>
      </c>
      <c r="BP483" s="197">
        <f t="shared" si="331"/>
        <v>65.620924669625111</v>
      </c>
      <c r="BQ483" s="197">
        <f t="shared" si="332"/>
        <v>9.9596940000000009E-2</v>
      </c>
      <c r="BR483" s="288">
        <f t="shared" si="333"/>
        <v>0.16008975919012108</v>
      </c>
      <c r="BS483" s="197">
        <f t="shared" si="334"/>
        <v>0.11660930017110901</v>
      </c>
      <c r="BT483" s="197">
        <f t="shared" si="335"/>
        <v>0.36419974881911377</v>
      </c>
      <c r="BU483" s="197">
        <f t="shared" si="336"/>
        <v>0.1713930788771201</v>
      </c>
      <c r="BV483" s="197">
        <f t="shared" si="337"/>
        <v>0.53530306917875781</v>
      </c>
      <c r="BW483" s="194"/>
      <c r="BX483" s="194"/>
      <c r="BY483" s="194"/>
      <c r="BZ483" s="194"/>
      <c r="CA483" s="194"/>
      <c r="CB483" s="194"/>
      <c r="CC483" s="194"/>
      <c r="CD483" s="194"/>
      <c r="CE483" s="194"/>
      <c r="CF483" s="194"/>
      <c r="CG483" s="194"/>
      <c r="CH483" s="194"/>
      <c r="CI483" s="194"/>
      <c r="CJ483" s="194"/>
      <c r="CK483" s="194"/>
      <c r="CL483" s="194"/>
      <c r="CM483" s="194"/>
      <c r="CN483" s="194"/>
      <c r="CO483" s="194"/>
      <c r="CP483" s="194"/>
      <c r="CQ483" s="194"/>
      <c r="CR483" s="194"/>
      <c r="CS483" s="194"/>
      <c r="CT483" s="194"/>
      <c r="CU483" s="194"/>
      <c r="CV483" s="194"/>
      <c r="CW483" s="194"/>
      <c r="CX483" s="194"/>
      <c r="CY483" s="194"/>
      <c r="CZ483" s="194"/>
      <c r="DA483" s="194"/>
      <c r="DB483" s="194"/>
      <c r="DC483" s="194"/>
      <c r="DD483" s="194"/>
      <c r="DE483" s="194"/>
      <c r="DF483" s="194"/>
    </row>
    <row r="484" spans="2:110" s="192" customFormat="1" hidden="1" x14ac:dyDescent="0.35">
      <c r="B484" s="289"/>
      <c r="C484" s="289"/>
      <c r="Q484" s="193"/>
      <c r="R484" s="194">
        <f t="shared" si="338"/>
        <v>18</v>
      </c>
      <c r="S484" s="197">
        <f t="shared" si="304"/>
        <v>0.3888888888888889</v>
      </c>
      <c r="T484" s="194">
        <f t="shared" si="359"/>
        <v>0.69</v>
      </c>
      <c r="U484" s="194">
        <f t="shared" si="360"/>
        <v>1.4999999999999999E-4</v>
      </c>
      <c r="V484" s="197">
        <f t="shared" si="339"/>
        <v>0.3888888888888889</v>
      </c>
      <c r="W484" s="197">
        <f t="shared" si="305"/>
        <v>4.3555555555555561E-3</v>
      </c>
      <c r="X484" s="286">
        <f t="shared" si="306"/>
        <v>1</v>
      </c>
      <c r="Y484" s="286">
        <f t="shared" si="307"/>
        <v>0.17335969315081967</v>
      </c>
      <c r="Z484" s="286">
        <f t="shared" si="308"/>
        <v>0.54964853345132902</v>
      </c>
      <c r="AA484" s="286">
        <f t="shared" si="340"/>
        <v>0.17335969315081967</v>
      </c>
      <c r="AB484" s="197">
        <f t="shared" si="309"/>
        <v>0.36419974881911377</v>
      </c>
      <c r="AC484" s="287">
        <f t="shared" si="310"/>
        <v>4.4451203372005044E-7</v>
      </c>
      <c r="AD484" s="197">
        <f t="shared" si="341"/>
        <v>11.693936048110356</v>
      </c>
      <c r="AE484" s="197">
        <f t="shared" si="342"/>
        <v>35.08180814433107</v>
      </c>
      <c r="AF484" s="197">
        <f t="shared" si="343"/>
        <v>8.5178571428571423E-2</v>
      </c>
      <c r="AG484" s="197">
        <f t="shared" si="344"/>
        <v>0.25553571428571431</v>
      </c>
      <c r="AH484" s="197">
        <f t="shared" si="311"/>
        <v>0.11660930017110901</v>
      </c>
      <c r="AI484" s="197">
        <f t="shared" si="345"/>
        <v>0.11660930017110901</v>
      </c>
      <c r="AJ484" s="218">
        <f t="shared" si="312"/>
        <v>390.00000000000006</v>
      </c>
      <c r="AK484" s="197">
        <f t="shared" si="346"/>
        <v>6.0930617977437734E-2</v>
      </c>
      <c r="AL484" s="197">
        <f t="shared" si="347"/>
        <v>9.6203707235237593E-2</v>
      </c>
      <c r="AM484" s="197">
        <f t="shared" si="348"/>
        <v>4.0790371867740751E-3</v>
      </c>
      <c r="AN484" s="197">
        <f t="shared" si="313"/>
        <v>24.05</v>
      </c>
      <c r="AO484" s="197">
        <f t="shared" si="314"/>
        <v>21.69</v>
      </c>
      <c r="AP484" s="197">
        <f t="shared" si="349"/>
        <v>7.4093290390420161E-2</v>
      </c>
      <c r="AQ484" s="197">
        <f t="shared" si="350"/>
        <v>0.42250439890466829</v>
      </c>
      <c r="AR484" s="197">
        <f t="shared" si="351"/>
        <v>0.30589509873355925</v>
      </c>
      <c r="AS484" s="258">
        <f t="shared" si="352"/>
        <v>0.15228632177729159</v>
      </c>
      <c r="AT484" s="197">
        <f t="shared" si="315"/>
        <v>2.5974058656511614E-4</v>
      </c>
      <c r="AU484" s="194">
        <f t="shared" si="316"/>
        <v>21.19</v>
      </c>
      <c r="AV484" s="197">
        <f t="shared" si="317"/>
        <v>2.7E-2</v>
      </c>
      <c r="AW484" s="197">
        <f t="shared" si="318"/>
        <v>3.4260000000000002E-3</v>
      </c>
      <c r="AX484" s="197">
        <f t="shared" si="353"/>
        <v>6.1668000000000001E-2</v>
      </c>
      <c r="AY484" s="197">
        <f t="shared" si="319"/>
        <v>2.8867476000000005E-3</v>
      </c>
      <c r="AZ484" s="197">
        <f t="shared" si="320"/>
        <v>0</v>
      </c>
      <c r="BA484" s="197">
        <f t="shared" si="354"/>
        <v>7.2596940000000013E-2</v>
      </c>
      <c r="BB484" s="258">
        <f t="shared" si="321"/>
        <v>0.36575210336206115</v>
      </c>
      <c r="BC484" s="197">
        <f t="shared" si="322"/>
        <v>2.2380490766334034E-2</v>
      </c>
      <c r="BD484" s="197">
        <f t="shared" si="355"/>
        <v>4.4760981532668068E-3</v>
      </c>
      <c r="BE484" s="197">
        <f t="shared" si="356"/>
        <v>2.6856588919600841E-2</v>
      </c>
      <c r="BF484" s="197">
        <f t="shared" si="323"/>
        <v>0.20773291256157633</v>
      </c>
      <c r="BG484" s="197">
        <f t="shared" si="324"/>
        <v>5.4608303342508187E-4</v>
      </c>
      <c r="BH484" s="197">
        <f t="shared" si="325"/>
        <v>3.5336687086656722E-2</v>
      </c>
      <c r="BI484" s="197">
        <f t="shared" si="357"/>
        <v>0.44730899017824427</v>
      </c>
      <c r="BJ484" s="197">
        <f t="shared" si="326"/>
        <v>6.769615024661003</v>
      </c>
      <c r="BK484" s="288">
        <f t="shared" si="327"/>
        <v>0.93392401361838984</v>
      </c>
      <c r="BL484" s="197">
        <f t="shared" si="328"/>
        <v>0.37608972359227794</v>
      </c>
      <c r="BM484" s="197">
        <f t="shared" si="329"/>
        <v>7.4353030976985271E-2</v>
      </c>
      <c r="BN484" s="197">
        <f t="shared" si="330"/>
        <v>54.461181858619113</v>
      </c>
      <c r="BO484" s="197">
        <f t="shared" si="358"/>
        <v>0.2082789955950014</v>
      </c>
      <c r="BP484" s="197">
        <f t="shared" si="331"/>
        <v>65.620924669625111</v>
      </c>
      <c r="BQ484" s="197">
        <f t="shared" si="332"/>
        <v>9.9596940000000009E-2</v>
      </c>
      <c r="BR484" s="288">
        <f t="shared" si="333"/>
        <v>0.16008975919012108</v>
      </c>
      <c r="BS484" s="197">
        <f t="shared" si="334"/>
        <v>0.11660930017110901</v>
      </c>
      <c r="BT484" s="197">
        <f t="shared" si="335"/>
        <v>0.36419974881911377</v>
      </c>
      <c r="BU484" s="197">
        <f t="shared" si="336"/>
        <v>0.1713930788771201</v>
      </c>
      <c r="BV484" s="197">
        <f t="shared" si="337"/>
        <v>0.53530306917875781</v>
      </c>
      <c r="BW484" s="194"/>
      <c r="BX484" s="194"/>
      <c r="BY484" s="194"/>
      <c r="BZ484" s="194"/>
      <c r="CA484" s="194"/>
      <c r="CB484" s="194"/>
      <c r="CC484" s="194"/>
      <c r="CD484" s="194"/>
      <c r="CE484" s="194"/>
      <c r="CF484" s="194"/>
      <c r="CG484" s="194"/>
      <c r="CH484" s="194"/>
      <c r="CI484" s="194"/>
      <c r="CJ484" s="194"/>
      <c r="CK484" s="194"/>
      <c r="CL484" s="194"/>
      <c r="CM484" s="194"/>
      <c r="CN484" s="194"/>
      <c r="CO484" s="194"/>
      <c r="CP484" s="194"/>
      <c r="CQ484" s="194"/>
      <c r="CR484" s="194"/>
      <c r="CS484" s="194"/>
      <c r="CT484" s="194"/>
      <c r="CU484" s="194"/>
      <c r="CV484" s="194"/>
      <c r="CW484" s="194"/>
      <c r="CX484" s="194"/>
      <c r="CY484" s="194"/>
      <c r="CZ484" s="194"/>
      <c r="DA484" s="194"/>
      <c r="DB484" s="194"/>
      <c r="DC484" s="194"/>
      <c r="DD484" s="194"/>
      <c r="DE484" s="194"/>
      <c r="DF484" s="194"/>
    </row>
    <row r="485" spans="2:110" s="192" customFormat="1" hidden="1" x14ac:dyDescent="0.35">
      <c r="B485" s="289"/>
      <c r="C485" s="289"/>
      <c r="Q485" s="193"/>
      <c r="R485" s="194">
        <f t="shared" si="338"/>
        <v>18</v>
      </c>
      <c r="S485" s="197">
        <f t="shared" si="304"/>
        <v>0.3888888888888889</v>
      </c>
      <c r="T485" s="194">
        <f t="shared" si="359"/>
        <v>0.69</v>
      </c>
      <c r="U485" s="194">
        <f t="shared" si="360"/>
        <v>1.4999999999999999E-4</v>
      </c>
      <c r="V485" s="197">
        <f t="shared" si="339"/>
        <v>0.3888888888888889</v>
      </c>
      <c r="W485" s="197">
        <f t="shared" si="305"/>
        <v>4.3555555555555561E-3</v>
      </c>
      <c r="X485" s="286">
        <f t="shared" si="306"/>
        <v>1</v>
      </c>
      <c r="Y485" s="286">
        <f t="shared" si="307"/>
        <v>0.17335969315081967</v>
      </c>
      <c r="Z485" s="286">
        <f t="shared" si="308"/>
        <v>0.54964853345132902</v>
      </c>
      <c r="AA485" s="286">
        <f t="shared" si="340"/>
        <v>0.17335969315081967</v>
      </c>
      <c r="AB485" s="197">
        <f t="shared" si="309"/>
        <v>0.36419974881911377</v>
      </c>
      <c r="AC485" s="287">
        <f t="shared" si="310"/>
        <v>4.4451203372005044E-7</v>
      </c>
      <c r="AD485" s="197">
        <f t="shared" si="341"/>
        <v>11.693936048110356</v>
      </c>
      <c r="AE485" s="197">
        <f t="shared" si="342"/>
        <v>35.08180814433107</v>
      </c>
      <c r="AF485" s="197">
        <f t="shared" si="343"/>
        <v>8.5178571428571423E-2</v>
      </c>
      <c r="AG485" s="197">
        <f t="shared" si="344"/>
        <v>0.25553571428571431</v>
      </c>
      <c r="AH485" s="197">
        <f t="shared" si="311"/>
        <v>0.11660930017110901</v>
      </c>
      <c r="AI485" s="197">
        <f t="shared" si="345"/>
        <v>0.11660930017110901</v>
      </c>
      <c r="AJ485" s="218">
        <f t="shared" si="312"/>
        <v>390.00000000000006</v>
      </c>
      <c r="AK485" s="197">
        <f t="shared" si="346"/>
        <v>6.0930617977437734E-2</v>
      </c>
      <c r="AL485" s="197">
        <f t="shared" si="347"/>
        <v>9.6203707235237593E-2</v>
      </c>
      <c r="AM485" s="197">
        <f t="shared" si="348"/>
        <v>4.0790371867740751E-3</v>
      </c>
      <c r="AN485" s="197">
        <f t="shared" si="313"/>
        <v>24.05</v>
      </c>
      <c r="AO485" s="197">
        <f t="shared" si="314"/>
        <v>21.69</v>
      </c>
      <c r="AP485" s="197">
        <f t="shared" si="349"/>
        <v>7.4093290390420161E-2</v>
      </c>
      <c r="AQ485" s="197">
        <f t="shared" si="350"/>
        <v>0.42250439890466829</v>
      </c>
      <c r="AR485" s="197">
        <f t="shared" si="351"/>
        <v>0.30589509873355925</v>
      </c>
      <c r="AS485" s="258">
        <f t="shared" si="352"/>
        <v>0.15228632177729159</v>
      </c>
      <c r="AT485" s="197">
        <f t="shared" si="315"/>
        <v>2.5974058656511614E-4</v>
      </c>
      <c r="AU485" s="194">
        <f t="shared" si="316"/>
        <v>21.19</v>
      </c>
      <c r="AV485" s="197">
        <f t="shared" si="317"/>
        <v>2.7E-2</v>
      </c>
      <c r="AW485" s="197">
        <f t="shared" si="318"/>
        <v>3.4260000000000002E-3</v>
      </c>
      <c r="AX485" s="197">
        <f t="shared" si="353"/>
        <v>6.1668000000000001E-2</v>
      </c>
      <c r="AY485" s="197">
        <f t="shared" si="319"/>
        <v>2.8867476000000005E-3</v>
      </c>
      <c r="AZ485" s="197">
        <f t="shared" si="320"/>
        <v>0</v>
      </c>
      <c r="BA485" s="197">
        <f t="shared" si="354"/>
        <v>7.2596940000000013E-2</v>
      </c>
      <c r="BB485" s="258">
        <f t="shared" si="321"/>
        <v>0.36575210336206115</v>
      </c>
      <c r="BC485" s="197">
        <f t="shared" si="322"/>
        <v>2.2380490766334034E-2</v>
      </c>
      <c r="BD485" s="197">
        <f t="shared" si="355"/>
        <v>4.4760981532668068E-3</v>
      </c>
      <c r="BE485" s="197">
        <f t="shared" si="356"/>
        <v>2.6856588919600841E-2</v>
      </c>
      <c r="BF485" s="197">
        <f t="shared" si="323"/>
        <v>0.20773291256157633</v>
      </c>
      <c r="BG485" s="197">
        <f t="shared" si="324"/>
        <v>5.4608303342508187E-4</v>
      </c>
      <c r="BH485" s="197">
        <f t="shared" si="325"/>
        <v>3.5336687086656722E-2</v>
      </c>
      <c r="BI485" s="197">
        <f t="shared" si="357"/>
        <v>0.44730899017824427</v>
      </c>
      <c r="BJ485" s="197">
        <f t="shared" si="326"/>
        <v>6.769615024661003</v>
      </c>
      <c r="BK485" s="288">
        <f t="shared" si="327"/>
        <v>0.93392401361838984</v>
      </c>
      <c r="BL485" s="197">
        <f t="shared" si="328"/>
        <v>0.37608972359227794</v>
      </c>
      <c r="BM485" s="197">
        <f t="shared" si="329"/>
        <v>7.4353030976985271E-2</v>
      </c>
      <c r="BN485" s="197">
        <f t="shared" si="330"/>
        <v>54.461181858619113</v>
      </c>
      <c r="BO485" s="197">
        <f t="shared" si="358"/>
        <v>0.2082789955950014</v>
      </c>
      <c r="BP485" s="197">
        <f t="shared" si="331"/>
        <v>65.620924669625111</v>
      </c>
      <c r="BQ485" s="197">
        <f t="shared" si="332"/>
        <v>9.9596940000000009E-2</v>
      </c>
      <c r="BR485" s="288">
        <f t="shared" si="333"/>
        <v>0.16008975919012108</v>
      </c>
      <c r="BS485" s="197">
        <f t="shared" si="334"/>
        <v>0.11660930017110901</v>
      </c>
      <c r="BT485" s="197">
        <f t="shared" si="335"/>
        <v>0.36419974881911377</v>
      </c>
      <c r="BU485" s="197">
        <f t="shared" si="336"/>
        <v>0.1713930788771201</v>
      </c>
      <c r="BV485" s="197">
        <f t="shared" si="337"/>
        <v>0.53530306917875781</v>
      </c>
      <c r="BW485" s="194"/>
      <c r="BX485" s="194"/>
      <c r="BY485" s="194"/>
      <c r="BZ485" s="194"/>
      <c r="CA485" s="194"/>
      <c r="CB485" s="194"/>
      <c r="CC485" s="194"/>
      <c r="CD485" s="194"/>
      <c r="CE485" s="194"/>
      <c r="CF485" s="194"/>
      <c r="CG485" s="194"/>
      <c r="CH485" s="194"/>
      <c r="CI485" s="194"/>
      <c r="CJ485" s="194"/>
      <c r="CK485" s="194"/>
      <c r="CL485" s="194"/>
      <c r="CM485" s="194"/>
      <c r="CN485" s="194"/>
      <c r="CO485" s="194"/>
      <c r="CP485" s="194"/>
      <c r="CQ485" s="194"/>
      <c r="CR485" s="194"/>
      <c r="CS485" s="194"/>
      <c r="CT485" s="194"/>
      <c r="CU485" s="194"/>
      <c r="CV485" s="194"/>
      <c r="CW485" s="194"/>
      <c r="CX485" s="194"/>
      <c r="CY485" s="194"/>
      <c r="CZ485" s="194"/>
      <c r="DA485" s="194"/>
      <c r="DB485" s="194"/>
      <c r="DC485" s="194"/>
      <c r="DD485" s="194"/>
      <c r="DE485" s="194"/>
      <c r="DF485" s="194"/>
    </row>
    <row r="486" spans="2:110" s="192" customFormat="1" hidden="1" x14ac:dyDescent="0.35">
      <c r="B486" s="289"/>
      <c r="C486" s="289"/>
      <c r="Q486" s="193"/>
      <c r="R486" s="194">
        <f t="shared" si="338"/>
        <v>18</v>
      </c>
      <c r="S486" s="197">
        <f t="shared" si="304"/>
        <v>0.3888888888888889</v>
      </c>
      <c r="T486" s="194">
        <f t="shared" si="359"/>
        <v>0.69</v>
      </c>
      <c r="U486" s="194">
        <f t="shared" si="360"/>
        <v>1.4999999999999999E-4</v>
      </c>
      <c r="V486" s="197">
        <f t="shared" si="339"/>
        <v>0.3888888888888889</v>
      </c>
      <c r="W486" s="197">
        <f t="shared" si="305"/>
        <v>4.3555555555555561E-3</v>
      </c>
      <c r="X486" s="286">
        <f t="shared" si="306"/>
        <v>1</v>
      </c>
      <c r="Y486" s="286">
        <f t="shared" si="307"/>
        <v>0.17335969315081967</v>
      </c>
      <c r="Z486" s="286">
        <f t="shared" si="308"/>
        <v>0.54964853345132902</v>
      </c>
      <c r="AA486" s="286">
        <f t="shared" si="340"/>
        <v>0.17335969315081967</v>
      </c>
      <c r="AB486" s="197">
        <f t="shared" si="309"/>
        <v>0.36419974881911377</v>
      </c>
      <c r="AC486" s="287">
        <f t="shared" si="310"/>
        <v>4.4451203372005044E-7</v>
      </c>
      <c r="AD486" s="197">
        <f t="shared" si="341"/>
        <v>11.693936048110356</v>
      </c>
      <c r="AE486" s="197">
        <f t="shared" si="342"/>
        <v>35.08180814433107</v>
      </c>
      <c r="AF486" s="197">
        <f t="shared" si="343"/>
        <v>8.5178571428571423E-2</v>
      </c>
      <c r="AG486" s="197">
        <f t="shared" si="344"/>
        <v>0.25553571428571431</v>
      </c>
      <c r="AH486" s="197">
        <f t="shared" si="311"/>
        <v>0.11660930017110901</v>
      </c>
      <c r="AI486" s="197">
        <f t="shared" si="345"/>
        <v>0.11660930017110901</v>
      </c>
      <c r="AJ486" s="218">
        <f t="shared" si="312"/>
        <v>390.00000000000006</v>
      </c>
      <c r="AK486" s="197">
        <f t="shared" si="346"/>
        <v>6.0930617977437734E-2</v>
      </c>
      <c r="AL486" s="197">
        <f t="shared" si="347"/>
        <v>9.6203707235237593E-2</v>
      </c>
      <c r="AM486" s="197">
        <f t="shared" si="348"/>
        <v>4.0790371867740751E-3</v>
      </c>
      <c r="AN486" s="197">
        <f t="shared" si="313"/>
        <v>24.05</v>
      </c>
      <c r="AO486" s="197">
        <f t="shared" si="314"/>
        <v>21.69</v>
      </c>
      <c r="AP486" s="197">
        <f t="shared" si="349"/>
        <v>7.4093290390420161E-2</v>
      </c>
      <c r="AQ486" s="197">
        <f t="shared" si="350"/>
        <v>0.42250439890466829</v>
      </c>
      <c r="AR486" s="197">
        <f t="shared" si="351"/>
        <v>0.30589509873355925</v>
      </c>
      <c r="AS486" s="258">
        <f t="shared" si="352"/>
        <v>0.15228632177729159</v>
      </c>
      <c r="AT486" s="197">
        <f t="shared" si="315"/>
        <v>2.5974058656511614E-4</v>
      </c>
      <c r="AU486" s="194">
        <f t="shared" si="316"/>
        <v>21.19</v>
      </c>
      <c r="AV486" s="197">
        <f t="shared" si="317"/>
        <v>2.7E-2</v>
      </c>
      <c r="AW486" s="197">
        <f t="shared" si="318"/>
        <v>3.4260000000000002E-3</v>
      </c>
      <c r="AX486" s="197">
        <f t="shared" si="353"/>
        <v>6.1668000000000001E-2</v>
      </c>
      <c r="AY486" s="197">
        <f t="shared" si="319"/>
        <v>2.8867476000000005E-3</v>
      </c>
      <c r="AZ486" s="197">
        <f t="shared" si="320"/>
        <v>0</v>
      </c>
      <c r="BA486" s="197">
        <f t="shared" si="354"/>
        <v>7.2596940000000013E-2</v>
      </c>
      <c r="BB486" s="258">
        <f t="shared" si="321"/>
        <v>0.36575210336206115</v>
      </c>
      <c r="BC486" s="197">
        <f t="shared" si="322"/>
        <v>2.2380490766334034E-2</v>
      </c>
      <c r="BD486" s="197">
        <f t="shared" si="355"/>
        <v>4.4760981532668068E-3</v>
      </c>
      <c r="BE486" s="197">
        <f t="shared" si="356"/>
        <v>2.6856588919600841E-2</v>
      </c>
      <c r="BF486" s="197">
        <f t="shared" si="323"/>
        <v>0.20773291256157633</v>
      </c>
      <c r="BG486" s="197">
        <f t="shared" si="324"/>
        <v>5.4608303342508187E-4</v>
      </c>
      <c r="BH486" s="197">
        <f t="shared" si="325"/>
        <v>3.5336687086656722E-2</v>
      </c>
      <c r="BI486" s="197">
        <f t="shared" si="357"/>
        <v>0.44730899017824427</v>
      </c>
      <c r="BJ486" s="197">
        <f t="shared" si="326"/>
        <v>6.769615024661003</v>
      </c>
      <c r="BK486" s="288">
        <f t="shared" si="327"/>
        <v>0.93392401361838984</v>
      </c>
      <c r="BL486" s="197">
        <f t="shared" si="328"/>
        <v>0.37608972359227794</v>
      </c>
      <c r="BM486" s="197">
        <f t="shared" si="329"/>
        <v>7.4353030976985271E-2</v>
      </c>
      <c r="BN486" s="197">
        <f t="shared" si="330"/>
        <v>54.461181858619113</v>
      </c>
      <c r="BO486" s="197">
        <f t="shared" si="358"/>
        <v>0.2082789955950014</v>
      </c>
      <c r="BP486" s="197">
        <f t="shared" si="331"/>
        <v>65.620924669625111</v>
      </c>
      <c r="BQ486" s="197">
        <f t="shared" si="332"/>
        <v>9.9596940000000009E-2</v>
      </c>
      <c r="BR486" s="288">
        <f t="shared" si="333"/>
        <v>0.16008975919012108</v>
      </c>
      <c r="BS486" s="197">
        <f t="shared" si="334"/>
        <v>0.11660930017110901</v>
      </c>
      <c r="BT486" s="197">
        <f t="shared" si="335"/>
        <v>0.36419974881911377</v>
      </c>
      <c r="BU486" s="197">
        <f t="shared" si="336"/>
        <v>0.1713930788771201</v>
      </c>
      <c r="BV486" s="197">
        <f t="shared" si="337"/>
        <v>0.53530306917875781</v>
      </c>
      <c r="BW486" s="194"/>
      <c r="BX486" s="194"/>
      <c r="BY486" s="194"/>
      <c r="BZ486" s="194"/>
      <c r="CA486" s="194"/>
      <c r="CB486" s="194"/>
      <c r="CC486" s="194"/>
      <c r="CD486" s="194"/>
      <c r="CE486" s="194"/>
      <c r="CF486" s="194"/>
      <c r="CG486" s="194"/>
      <c r="CH486" s="194"/>
      <c r="CI486" s="194"/>
      <c r="CJ486" s="194"/>
      <c r="CK486" s="194"/>
      <c r="CL486" s="194"/>
      <c r="CM486" s="194"/>
      <c r="CN486" s="194"/>
      <c r="CO486" s="194"/>
      <c r="CP486" s="194"/>
      <c r="CQ486" s="194"/>
      <c r="CR486" s="194"/>
      <c r="CS486" s="194"/>
      <c r="CT486" s="194"/>
      <c r="CU486" s="194"/>
      <c r="CV486" s="194"/>
      <c r="CW486" s="194"/>
      <c r="CX486" s="194"/>
      <c r="CY486" s="194"/>
      <c r="CZ486" s="194"/>
      <c r="DA486" s="194"/>
      <c r="DB486" s="194"/>
      <c r="DC486" s="194"/>
      <c r="DD486" s="194"/>
      <c r="DE486" s="194"/>
      <c r="DF486" s="194"/>
    </row>
    <row r="487" spans="2:110" s="192" customFormat="1" hidden="1" x14ac:dyDescent="0.35">
      <c r="B487" s="289"/>
      <c r="C487" s="289"/>
      <c r="Q487" s="193"/>
      <c r="R487" s="194">
        <f t="shared" si="338"/>
        <v>18</v>
      </c>
      <c r="S487" s="197">
        <f t="shared" si="304"/>
        <v>0.3888888888888889</v>
      </c>
      <c r="T487" s="194">
        <f t="shared" si="359"/>
        <v>0.69</v>
      </c>
      <c r="U487" s="194">
        <f t="shared" si="360"/>
        <v>1.4999999999999999E-4</v>
      </c>
      <c r="V487" s="197">
        <f t="shared" si="339"/>
        <v>0.3888888888888889</v>
      </c>
      <c r="W487" s="197">
        <f t="shared" si="305"/>
        <v>4.3555555555555561E-3</v>
      </c>
      <c r="X487" s="286">
        <f t="shared" si="306"/>
        <v>1</v>
      </c>
      <c r="Y487" s="286">
        <f t="shared" si="307"/>
        <v>0.17335969315081967</v>
      </c>
      <c r="Z487" s="286">
        <f t="shared" si="308"/>
        <v>0.54964853345132902</v>
      </c>
      <c r="AA487" s="286">
        <f t="shared" si="340"/>
        <v>0.17335969315081967</v>
      </c>
      <c r="AB487" s="197">
        <f t="shared" si="309"/>
        <v>0.36419974881911377</v>
      </c>
      <c r="AC487" s="287">
        <f t="shared" si="310"/>
        <v>4.4451203372005044E-7</v>
      </c>
      <c r="AD487" s="197">
        <f t="shared" si="341"/>
        <v>11.693936048110356</v>
      </c>
      <c r="AE487" s="197">
        <f t="shared" si="342"/>
        <v>35.08180814433107</v>
      </c>
      <c r="AF487" s="197">
        <f t="shared" si="343"/>
        <v>8.5178571428571423E-2</v>
      </c>
      <c r="AG487" s="197">
        <f t="shared" si="344"/>
        <v>0.25553571428571431</v>
      </c>
      <c r="AH487" s="197">
        <f t="shared" si="311"/>
        <v>0.11660930017110901</v>
      </c>
      <c r="AI487" s="197">
        <f t="shared" si="345"/>
        <v>0.11660930017110901</v>
      </c>
      <c r="AJ487" s="218">
        <f t="shared" si="312"/>
        <v>390.00000000000006</v>
      </c>
      <c r="AK487" s="197">
        <f t="shared" si="346"/>
        <v>6.0930617977437734E-2</v>
      </c>
      <c r="AL487" s="197">
        <f t="shared" si="347"/>
        <v>9.6203707235237593E-2</v>
      </c>
      <c r="AM487" s="197">
        <f t="shared" si="348"/>
        <v>4.0790371867740751E-3</v>
      </c>
      <c r="AN487" s="197">
        <f t="shared" si="313"/>
        <v>24.05</v>
      </c>
      <c r="AO487" s="197">
        <f t="shared" si="314"/>
        <v>21.69</v>
      </c>
      <c r="AP487" s="197">
        <f t="shared" si="349"/>
        <v>7.4093290390420161E-2</v>
      </c>
      <c r="AQ487" s="197">
        <f t="shared" si="350"/>
        <v>0.42250439890466829</v>
      </c>
      <c r="AR487" s="197">
        <f t="shared" si="351"/>
        <v>0.30589509873355925</v>
      </c>
      <c r="AS487" s="258">
        <f t="shared" si="352"/>
        <v>0.15228632177729159</v>
      </c>
      <c r="AT487" s="197">
        <f t="shared" si="315"/>
        <v>2.5974058656511614E-4</v>
      </c>
      <c r="AU487" s="194">
        <f t="shared" si="316"/>
        <v>21.19</v>
      </c>
      <c r="AV487" s="197">
        <f t="shared" si="317"/>
        <v>2.7E-2</v>
      </c>
      <c r="AW487" s="197">
        <f t="shared" si="318"/>
        <v>3.4260000000000002E-3</v>
      </c>
      <c r="AX487" s="197">
        <f t="shared" si="353"/>
        <v>6.1668000000000001E-2</v>
      </c>
      <c r="AY487" s="197">
        <f t="shared" si="319"/>
        <v>2.8867476000000005E-3</v>
      </c>
      <c r="AZ487" s="197">
        <f t="shared" si="320"/>
        <v>0</v>
      </c>
      <c r="BA487" s="197">
        <f t="shared" si="354"/>
        <v>7.2596940000000013E-2</v>
      </c>
      <c r="BB487" s="258">
        <f t="shared" si="321"/>
        <v>0.36575210336206115</v>
      </c>
      <c r="BC487" s="197">
        <f t="shared" si="322"/>
        <v>2.2380490766334034E-2</v>
      </c>
      <c r="BD487" s="197">
        <f t="shared" si="355"/>
        <v>4.4760981532668068E-3</v>
      </c>
      <c r="BE487" s="197">
        <f t="shared" si="356"/>
        <v>2.6856588919600841E-2</v>
      </c>
      <c r="BF487" s="197">
        <f t="shared" si="323"/>
        <v>0.20773291256157633</v>
      </c>
      <c r="BG487" s="197">
        <f t="shared" si="324"/>
        <v>5.4608303342508187E-4</v>
      </c>
      <c r="BH487" s="197">
        <f t="shared" si="325"/>
        <v>3.5336687086656722E-2</v>
      </c>
      <c r="BI487" s="197">
        <f t="shared" si="357"/>
        <v>0.44730899017824427</v>
      </c>
      <c r="BJ487" s="197">
        <f t="shared" si="326"/>
        <v>6.769615024661003</v>
      </c>
      <c r="BK487" s="288">
        <f t="shared" si="327"/>
        <v>0.93392401361838984</v>
      </c>
      <c r="BL487" s="197">
        <f t="shared" si="328"/>
        <v>0.37608972359227794</v>
      </c>
      <c r="BM487" s="197">
        <f t="shared" si="329"/>
        <v>7.4353030976985271E-2</v>
      </c>
      <c r="BN487" s="197">
        <f t="shared" si="330"/>
        <v>54.461181858619113</v>
      </c>
      <c r="BO487" s="197">
        <f t="shared" si="358"/>
        <v>0.2082789955950014</v>
      </c>
      <c r="BP487" s="197">
        <f t="shared" si="331"/>
        <v>65.620924669625111</v>
      </c>
      <c r="BQ487" s="197">
        <f t="shared" si="332"/>
        <v>9.9596940000000009E-2</v>
      </c>
      <c r="BR487" s="288">
        <f t="shared" si="333"/>
        <v>0.16008975919012108</v>
      </c>
      <c r="BS487" s="197">
        <f t="shared" si="334"/>
        <v>0.11660930017110901</v>
      </c>
      <c r="BT487" s="197">
        <f t="shared" si="335"/>
        <v>0.36419974881911377</v>
      </c>
      <c r="BU487" s="197">
        <f t="shared" si="336"/>
        <v>0.1713930788771201</v>
      </c>
      <c r="BV487" s="197">
        <f t="shared" si="337"/>
        <v>0.53530306917875781</v>
      </c>
      <c r="BW487" s="194"/>
      <c r="BX487" s="194"/>
      <c r="BY487" s="194"/>
      <c r="BZ487" s="194"/>
      <c r="CA487" s="194"/>
      <c r="CB487" s="194"/>
      <c r="CC487" s="194"/>
      <c r="CD487" s="194"/>
      <c r="CE487" s="194"/>
      <c r="CF487" s="194"/>
      <c r="CG487" s="194"/>
      <c r="CH487" s="194"/>
      <c r="CI487" s="194"/>
      <c r="CJ487" s="194"/>
      <c r="CK487" s="194"/>
      <c r="CL487" s="194"/>
      <c r="CM487" s="194"/>
      <c r="CN487" s="194"/>
      <c r="CO487" s="194"/>
      <c r="CP487" s="194"/>
      <c r="CQ487" s="194"/>
      <c r="CR487" s="194"/>
      <c r="CS487" s="194"/>
      <c r="CT487" s="194"/>
      <c r="CU487" s="194"/>
      <c r="CV487" s="194"/>
      <c r="CW487" s="194"/>
      <c r="CX487" s="194"/>
      <c r="CY487" s="194"/>
      <c r="CZ487" s="194"/>
      <c r="DA487" s="194"/>
      <c r="DB487" s="194"/>
      <c r="DC487" s="194"/>
      <c r="DD487" s="194"/>
      <c r="DE487" s="194"/>
      <c r="DF487" s="194"/>
    </row>
    <row r="488" spans="2:110" s="192" customFormat="1" hidden="1" x14ac:dyDescent="0.35">
      <c r="B488" s="289"/>
      <c r="C488" s="289"/>
      <c r="Q488" s="193"/>
      <c r="R488" s="194">
        <f t="shared" si="338"/>
        <v>18</v>
      </c>
      <c r="S488" s="197">
        <f t="shared" si="304"/>
        <v>0.3888888888888889</v>
      </c>
      <c r="T488" s="194">
        <f t="shared" si="359"/>
        <v>0.69</v>
      </c>
      <c r="U488" s="194">
        <f t="shared" si="360"/>
        <v>1.4999999999999999E-4</v>
      </c>
      <c r="V488" s="197">
        <f t="shared" si="339"/>
        <v>0.3888888888888889</v>
      </c>
      <c r="W488" s="197">
        <f t="shared" si="305"/>
        <v>4.3555555555555561E-3</v>
      </c>
      <c r="X488" s="286">
        <f t="shared" si="306"/>
        <v>1</v>
      </c>
      <c r="Y488" s="286">
        <f t="shared" si="307"/>
        <v>0.17335969315081967</v>
      </c>
      <c r="Z488" s="286">
        <f t="shared" si="308"/>
        <v>0.54964853345132902</v>
      </c>
      <c r="AA488" s="286">
        <f t="shared" si="340"/>
        <v>0.17335969315081967</v>
      </c>
      <c r="AB488" s="197">
        <f t="shared" si="309"/>
        <v>0.36419974881911377</v>
      </c>
      <c r="AC488" s="287">
        <f t="shared" si="310"/>
        <v>4.4451203372005044E-7</v>
      </c>
      <c r="AD488" s="197">
        <f t="shared" si="341"/>
        <v>11.693936048110356</v>
      </c>
      <c r="AE488" s="197">
        <f t="shared" si="342"/>
        <v>35.08180814433107</v>
      </c>
      <c r="AF488" s="197">
        <f t="shared" si="343"/>
        <v>8.5178571428571423E-2</v>
      </c>
      <c r="AG488" s="197">
        <f t="shared" si="344"/>
        <v>0.25553571428571431</v>
      </c>
      <c r="AH488" s="197">
        <f t="shared" si="311"/>
        <v>0.11660930017110901</v>
      </c>
      <c r="AI488" s="197">
        <f t="shared" si="345"/>
        <v>0.11660930017110901</v>
      </c>
      <c r="AJ488" s="218">
        <f t="shared" si="312"/>
        <v>390.00000000000006</v>
      </c>
      <c r="AK488" s="197">
        <f t="shared" si="346"/>
        <v>6.0930617977437734E-2</v>
      </c>
      <c r="AL488" s="197">
        <f t="shared" si="347"/>
        <v>9.6203707235237593E-2</v>
      </c>
      <c r="AM488" s="197">
        <f t="shared" si="348"/>
        <v>4.0790371867740751E-3</v>
      </c>
      <c r="AN488" s="197">
        <f t="shared" si="313"/>
        <v>24.05</v>
      </c>
      <c r="AO488" s="197">
        <f t="shared" si="314"/>
        <v>21.69</v>
      </c>
      <c r="AP488" s="197">
        <f t="shared" si="349"/>
        <v>7.4093290390420161E-2</v>
      </c>
      <c r="AQ488" s="197">
        <f t="shared" si="350"/>
        <v>0.42250439890466829</v>
      </c>
      <c r="AR488" s="197">
        <f t="shared" si="351"/>
        <v>0.30589509873355925</v>
      </c>
      <c r="AS488" s="258">
        <f t="shared" si="352"/>
        <v>0.15228632177729159</v>
      </c>
      <c r="AT488" s="197">
        <f t="shared" si="315"/>
        <v>2.5974058656511614E-4</v>
      </c>
      <c r="AU488" s="194">
        <f t="shared" si="316"/>
        <v>21.19</v>
      </c>
      <c r="AV488" s="197">
        <f t="shared" si="317"/>
        <v>2.7E-2</v>
      </c>
      <c r="AW488" s="197">
        <f t="shared" si="318"/>
        <v>3.4260000000000002E-3</v>
      </c>
      <c r="AX488" s="197">
        <f t="shared" si="353"/>
        <v>6.1668000000000001E-2</v>
      </c>
      <c r="AY488" s="197">
        <f t="shared" si="319"/>
        <v>2.8867476000000005E-3</v>
      </c>
      <c r="AZ488" s="197">
        <f t="shared" si="320"/>
        <v>0</v>
      </c>
      <c r="BA488" s="197">
        <f t="shared" si="354"/>
        <v>7.2596940000000013E-2</v>
      </c>
      <c r="BB488" s="258">
        <f t="shared" si="321"/>
        <v>0.36575210336206115</v>
      </c>
      <c r="BC488" s="197">
        <f t="shared" si="322"/>
        <v>2.2380490766334034E-2</v>
      </c>
      <c r="BD488" s="197">
        <f t="shared" si="355"/>
        <v>4.4760981532668068E-3</v>
      </c>
      <c r="BE488" s="197">
        <f t="shared" si="356"/>
        <v>2.6856588919600841E-2</v>
      </c>
      <c r="BF488" s="197">
        <f t="shared" si="323"/>
        <v>0.20773291256157633</v>
      </c>
      <c r="BG488" s="197">
        <f t="shared" si="324"/>
        <v>5.4608303342508187E-4</v>
      </c>
      <c r="BH488" s="197">
        <f t="shared" si="325"/>
        <v>3.5336687086656722E-2</v>
      </c>
      <c r="BI488" s="197">
        <f t="shared" si="357"/>
        <v>0.44730899017824427</v>
      </c>
      <c r="BJ488" s="197">
        <f t="shared" si="326"/>
        <v>6.769615024661003</v>
      </c>
      <c r="BK488" s="288">
        <f t="shared" si="327"/>
        <v>0.93392401361838984</v>
      </c>
      <c r="BL488" s="197">
        <f t="shared" si="328"/>
        <v>0.37608972359227794</v>
      </c>
      <c r="BM488" s="197">
        <f t="shared" si="329"/>
        <v>7.4353030976985271E-2</v>
      </c>
      <c r="BN488" s="197">
        <f t="shared" si="330"/>
        <v>54.461181858619113</v>
      </c>
      <c r="BO488" s="197">
        <f t="shared" si="358"/>
        <v>0.2082789955950014</v>
      </c>
      <c r="BP488" s="197">
        <f t="shared" si="331"/>
        <v>65.620924669625111</v>
      </c>
      <c r="BQ488" s="197">
        <f t="shared" si="332"/>
        <v>9.9596940000000009E-2</v>
      </c>
      <c r="BR488" s="288">
        <f t="shared" si="333"/>
        <v>0.16008975919012108</v>
      </c>
      <c r="BS488" s="197">
        <f t="shared" si="334"/>
        <v>0.11660930017110901</v>
      </c>
      <c r="BT488" s="197">
        <f t="shared" si="335"/>
        <v>0.36419974881911377</v>
      </c>
      <c r="BU488" s="197">
        <f t="shared" si="336"/>
        <v>0.1713930788771201</v>
      </c>
      <c r="BV488" s="197">
        <f t="shared" si="337"/>
        <v>0.53530306917875781</v>
      </c>
      <c r="BW488" s="194"/>
      <c r="BX488" s="194"/>
      <c r="BY488" s="194"/>
      <c r="BZ488" s="194"/>
      <c r="CA488" s="194"/>
      <c r="CB488" s="194"/>
      <c r="CC488" s="194"/>
      <c r="CD488" s="194"/>
      <c r="CE488" s="194"/>
      <c r="CF488" s="194"/>
      <c r="CG488" s="194"/>
      <c r="CH488" s="194"/>
      <c r="CI488" s="194"/>
      <c r="CJ488" s="194"/>
      <c r="CK488" s="194"/>
      <c r="CL488" s="194"/>
      <c r="CM488" s="194"/>
      <c r="CN488" s="194"/>
      <c r="CO488" s="194"/>
      <c r="CP488" s="194"/>
      <c r="CQ488" s="194"/>
      <c r="CR488" s="194"/>
      <c r="CS488" s="194"/>
      <c r="CT488" s="194"/>
      <c r="CU488" s="194"/>
      <c r="CV488" s="194"/>
      <c r="CW488" s="194"/>
      <c r="CX488" s="194"/>
      <c r="CY488" s="194"/>
      <c r="CZ488" s="194"/>
      <c r="DA488" s="194"/>
      <c r="DB488" s="194"/>
      <c r="DC488" s="194"/>
      <c r="DD488" s="194"/>
      <c r="DE488" s="194"/>
      <c r="DF488" s="194"/>
    </row>
    <row r="489" spans="2:110" s="192" customFormat="1" hidden="1" x14ac:dyDescent="0.35">
      <c r="B489" s="289"/>
      <c r="C489" s="289"/>
      <c r="Q489" s="193"/>
      <c r="R489" s="194">
        <f t="shared" si="338"/>
        <v>18</v>
      </c>
      <c r="S489" s="197">
        <f t="shared" si="304"/>
        <v>0.3888888888888889</v>
      </c>
      <c r="T489" s="194">
        <f t="shared" si="359"/>
        <v>0.69</v>
      </c>
      <c r="U489" s="194">
        <f t="shared" si="360"/>
        <v>1.4999999999999999E-4</v>
      </c>
      <c r="V489" s="197">
        <f t="shared" si="339"/>
        <v>0.3888888888888889</v>
      </c>
      <c r="W489" s="197">
        <f t="shared" si="305"/>
        <v>4.3555555555555561E-3</v>
      </c>
      <c r="X489" s="286">
        <f t="shared" si="306"/>
        <v>1</v>
      </c>
      <c r="Y489" s="286">
        <f t="shared" si="307"/>
        <v>0.17335969315081967</v>
      </c>
      <c r="Z489" s="286">
        <f t="shared" si="308"/>
        <v>0.54964853345132902</v>
      </c>
      <c r="AA489" s="286">
        <f t="shared" si="340"/>
        <v>0.17335969315081967</v>
      </c>
      <c r="AB489" s="197">
        <f t="shared" si="309"/>
        <v>0.36419974881911377</v>
      </c>
      <c r="AC489" s="287">
        <f t="shared" si="310"/>
        <v>4.4451203372005044E-7</v>
      </c>
      <c r="AD489" s="197">
        <f t="shared" si="341"/>
        <v>11.693936048110356</v>
      </c>
      <c r="AE489" s="197">
        <f t="shared" si="342"/>
        <v>35.08180814433107</v>
      </c>
      <c r="AF489" s="197">
        <f t="shared" si="343"/>
        <v>8.5178571428571423E-2</v>
      </c>
      <c r="AG489" s="197">
        <f t="shared" si="344"/>
        <v>0.25553571428571431</v>
      </c>
      <c r="AH489" s="197">
        <f t="shared" si="311"/>
        <v>0.11660930017110901</v>
      </c>
      <c r="AI489" s="197">
        <f t="shared" si="345"/>
        <v>0.11660930017110901</v>
      </c>
      <c r="AJ489" s="218">
        <f t="shared" si="312"/>
        <v>390.00000000000006</v>
      </c>
      <c r="AK489" s="197">
        <f t="shared" si="346"/>
        <v>6.0930617977437734E-2</v>
      </c>
      <c r="AL489" s="197">
        <f t="shared" si="347"/>
        <v>9.6203707235237593E-2</v>
      </c>
      <c r="AM489" s="197">
        <f t="shared" si="348"/>
        <v>4.0790371867740751E-3</v>
      </c>
      <c r="AN489" s="197">
        <f t="shared" si="313"/>
        <v>24.05</v>
      </c>
      <c r="AO489" s="197">
        <f t="shared" si="314"/>
        <v>21.69</v>
      </c>
      <c r="AP489" s="197">
        <f t="shared" si="349"/>
        <v>7.4093290390420161E-2</v>
      </c>
      <c r="AQ489" s="197">
        <f t="shared" si="350"/>
        <v>0.42250439890466829</v>
      </c>
      <c r="AR489" s="197">
        <f t="shared" si="351"/>
        <v>0.30589509873355925</v>
      </c>
      <c r="AS489" s="258">
        <f t="shared" si="352"/>
        <v>0.15228632177729159</v>
      </c>
      <c r="AT489" s="197">
        <f t="shared" si="315"/>
        <v>2.5974058656511614E-4</v>
      </c>
      <c r="AU489" s="194">
        <f t="shared" si="316"/>
        <v>21.19</v>
      </c>
      <c r="AV489" s="197">
        <f t="shared" si="317"/>
        <v>2.7E-2</v>
      </c>
      <c r="AW489" s="197">
        <f t="shared" si="318"/>
        <v>3.4260000000000002E-3</v>
      </c>
      <c r="AX489" s="197">
        <f t="shared" si="353"/>
        <v>6.1668000000000001E-2</v>
      </c>
      <c r="AY489" s="197">
        <f t="shared" si="319"/>
        <v>2.8867476000000005E-3</v>
      </c>
      <c r="AZ489" s="197">
        <f t="shared" si="320"/>
        <v>0</v>
      </c>
      <c r="BA489" s="197">
        <f t="shared" si="354"/>
        <v>7.2596940000000013E-2</v>
      </c>
      <c r="BB489" s="258">
        <f t="shared" si="321"/>
        <v>0.36575210336206115</v>
      </c>
      <c r="BC489" s="197">
        <f t="shared" si="322"/>
        <v>2.2380490766334034E-2</v>
      </c>
      <c r="BD489" s="197">
        <f t="shared" si="355"/>
        <v>4.4760981532668068E-3</v>
      </c>
      <c r="BE489" s="197">
        <f t="shared" si="356"/>
        <v>2.6856588919600841E-2</v>
      </c>
      <c r="BF489" s="197">
        <f t="shared" si="323"/>
        <v>0.20773291256157633</v>
      </c>
      <c r="BG489" s="197">
        <f t="shared" si="324"/>
        <v>5.4608303342508187E-4</v>
      </c>
      <c r="BH489" s="197">
        <f t="shared" si="325"/>
        <v>3.5336687086656722E-2</v>
      </c>
      <c r="BI489" s="197">
        <f t="shared" si="357"/>
        <v>0.44730899017824427</v>
      </c>
      <c r="BJ489" s="197">
        <f t="shared" si="326"/>
        <v>6.769615024661003</v>
      </c>
      <c r="BK489" s="288">
        <f t="shared" si="327"/>
        <v>0.93392401361838984</v>
      </c>
      <c r="BL489" s="197">
        <f t="shared" si="328"/>
        <v>0.37608972359227794</v>
      </c>
      <c r="BM489" s="197">
        <f t="shared" si="329"/>
        <v>7.4353030976985271E-2</v>
      </c>
      <c r="BN489" s="197">
        <f t="shared" si="330"/>
        <v>54.461181858619113</v>
      </c>
      <c r="BO489" s="197">
        <f t="shared" si="358"/>
        <v>0.2082789955950014</v>
      </c>
      <c r="BP489" s="197">
        <f t="shared" si="331"/>
        <v>65.620924669625111</v>
      </c>
      <c r="BQ489" s="197">
        <f t="shared" si="332"/>
        <v>9.9596940000000009E-2</v>
      </c>
      <c r="BR489" s="288">
        <f t="shared" si="333"/>
        <v>0.16008975919012108</v>
      </c>
      <c r="BS489" s="197">
        <f t="shared" si="334"/>
        <v>0.11660930017110901</v>
      </c>
      <c r="BT489" s="197">
        <f t="shared" si="335"/>
        <v>0.36419974881911377</v>
      </c>
      <c r="BU489" s="197">
        <f t="shared" si="336"/>
        <v>0.1713930788771201</v>
      </c>
      <c r="BV489" s="197">
        <f t="shared" si="337"/>
        <v>0.53530306917875781</v>
      </c>
      <c r="BW489" s="194"/>
      <c r="BX489" s="194"/>
      <c r="BY489" s="194"/>
      <c r="BZ489" s="194"/>
      <c r="CA489" s="194"/>
      <c r="CB489" s="194"/>
      <c r="CC489" s="194"/>
      <c r="CD489" s="194"/>
      <c r="CE489" s="194"/>
      <c r="CF489" s="194"/>
      <c r="CG489" s="194"/>
      <c r="CH489" s="194"/>
      <c r="CI489" s="194"/>
      <c r="CJ489" s="194"/>
      <c r="CK489" s="194"/>
      <c r="CL489" s="194"/>
      <c r="CM489" s="194"/>
      <c r="CN489" s="194"/>
      <c r="CO489" s="194"/>
      <c r="CP489" s="194"/>
      <c r="CQ489" s="194"/>
      <c r="CR489" s="194"/>
      <c r="CS489" s="194"/>
      <c r="CT489" s="194"/>
      <c r="CU489" s="194"/>
      <c r="CV489" s="194"/>
      <c r="CW489" s="194"/>
      <c r="CX489" s="194"/>
      <c r="CY489" s="194"/>
      <c r="CZ489" s="194"/>
      <c r="DA489" s="194"/>
      <c r="DB489" s="194"/>
      <c r="DC489" s="194"/>
      <c r="DD489" s="194"/>
      <c r="DE489" s="194"/>
      <c r="DF489" s="194"/>
    </row>
    <row r="490" spans="2:110" s="192" customFormat="1" hidden="1" x14ac:dyDescent="0.35">
      <c r="B490" s="289"/>
      <c r="C490" s="289"/>
      <c r="Q490" s="193"/>
      <c r="R490" s="194">
        <f t="shared" si="338"/>
        <v>18</v>
      </c>
      <c r="S490" s="197">
        <f t="shared" si="304"/>
        <v>0.3888888888888889</v>
      </c>
      <c r="T490" s="194">
        <f t="shared" si="359"/>
        <v>0.69</v>
      </c>
      <c r="U490" s="194">
        <f t="shared" si="360"/>
        <v>1.4999999999999999E-4</v>
      </c>
      <c r="V490" s="197">
        <f t="shared" si="339"/>
        <v>0.3888888888888889</v>
      </c>
      <c r="W490" s="197">
        <f t="shared" si="305"/>
        <v>4.3555555555555561E-3</v>
      </c>
      <c r="X490" s="286">
        <f t="shared" si="306"/>
        <v>1</v>
      </c>
      <c r="Y490" s="286">
        <f t="shared" si="307"/>
        <v>0.17335969315081967</v>
      </c>
      <c r="Z490" s="286">
        <f t="shared" si="308"/>
        <v>0.54964853345132902</v>
      </c>
      <c r="AA490" s="286">
        <f t="shared" si="340"/>
        <v>0.17335969315081967</v>
      </c>
      <c r="AB490" s="197">
        <f t="shared" si="309"/>
        <v>0.36419974881911377</v>
      </c>
      <c r="AC490" s="287">
        <f t="shared" si="310"/>
        <v>4.4451203372005044E-7</v>
      </c>
      <c r="AD490" s="197">
        <f t="shared" si="341"/>
        <v>11.693936048110356</v>
      </c>
      <c r="AE490" s="197">
        <f t="shared" si="342"/>
        <v>35.08180814433107</v>
      </c>
      <c r="AF490" s="197">
        <f t="shared" si="343"/>
        <v>8.5178571428571423E-2</v>
      </c>
      <c r="AG490" s="197">
        <f t="shared" si="344"/>
        <v>0.25553571428571431</v>
      </c>
      <c r="AH490" s="197">
        <f t="shared" si="311"/>
        <v>0.11660930017110901</v>
      </c>
      <c r="AI490" s="197">
        <f t="shared" si="345"/>
        <v>0.11660930017110901</v>
      </c>
      <c r="AJ490" s="218">
        <f t="shared" si="312"/>
        <v>390.00000000000006</v>
      </c>
      <c r="AK490" s="197">
        <f t="shared" si="346"/>
        <v>6.0930617977437734E-2</v>
      </c>
      <c r="AL490" s="197">
        <f t="shared" si="347"/>
        <v>9.6203707235237593E-2</v>
      </c>
      <c r="AM490" s="197">
        <f t="shared" si="348"/>
        <v>4.0790371867740751E-3</v>
      </c>
      <c r="AN490" s="197">
        <f t="shared" si="313"/>
        <v>24.05</v>
      </c>
      <c r="AO490" s="197">
        <f t="shared" si="314"/>
        <v>21.69</v>
      </c>
      <c r="AP490" s="197">
        <f t="shared" si="349"/>
        <v>7.4093290390420161E-2</v>
      </c>
      <c r="AQ490" s="197">
        <f t="shared" si="350"/>
        <v>0.42250439890466829</v>
      </c>
      <c r="AR490" s="197">
        <f t="shared" si="351"/>
        <v>0.30589509873355925</v>
      </c>
      <c r="AS490" s="258">
        <f t="shared" si="352"/>
        <v>0.15228632177729159</v>
      </c>
      <c r="AT490" s="197">
        <f t="shared" si="315"/>
        <v>2.5974058656511614E-4</v>
      </c>
      <c r="AU490" s="194">
        <f t="shared" si="316"/>
        <v>21.19</v>
      </c>
      <c r="AV490" s="197">
        <f t="shared" si="317"/>
        <v>2.7E-2</v>
      </c>
      <c r="AW490" s="197">
        <f t="shared" si="318"/>
        <v>3.4260000000000002E-3</v>
      </c>
      <c r="AX490" s="197">
        <f t="shared" si="353"/>
        <v>6.1668000000000001E-2</v>
      </c>
      <c r="AY490" s="197">
        <f t="shared" si="319"/>
        <v>2.8867476000000005E-3</v>
      </c>
      <c r="AZ490" s="197">
        <f t="shared" si="320"/>
        <v>0</v>
      </c>
      <c r="BA490" s="197">
        <f t="shared" si="354"/>
        <v>7.2596940000000013E-2</v>
      </c>
      <c r="BB490" s="258">
        <f t="shared" si="321"/>
        <v>0.36575210336206115</v>
      </c>
      <c r="BC490" s="197">
        <f t="shared" si="322"/>
        <v>2.2380490766334034E-2</v>
      </c>
      <c r="BD490" s="197">
        <f t="shared" si="355"/>
        <v>4.4760981532668068E-3</v>
      </c>
      <c r="BE490" s="197">
        <f t="shared" si="356"/>
        <v>2.6856588919600841E-2</v>
      </c>
      <c r="BF490" s="197">
        <f t="shared" si="323"/>
        <v>0.20773291256157633</v>
      </c>
      <c r="BG490" s="197">
        <f t="shared" si="324"/>
        <v>5.4608303342508187E-4</v>
      </c>
      <c r="BH490" s="197">
        <f t="shared" si="325"/>
        <v>3.5336687086656722E-2</v>
      </c>
      <c r="BI490" s="197">
        <f t="shared" si="357"/>
        <v>0.44730899017824427</v>
      </c>
      <c r="BJ490" s="197">
        <f t="shared" si="326"/>
        <v>6.769615024661003</v>
      </c>
      <c r="BK490" s="288">
        <f t="shared" si="327"/>
        <v>0.93392401361838984</v>
      </c>
      <c r="BL490" s="197">
        <f t="shared" si="328"/>
        <v>0.37608972359227794</v>
      </c>
      <c r="BM490" s="197">
        <f t="shared" si="329"/>
        <v>7.4353030976985271E-2</v>
      </c>
      <c r="BN490" s="197">
        <f t="shared" si="330"/>
        <v>54.461181858619113</v>
      </c>
      <c r="BO490" s="197">
        <f t="shared" si="358"/>
        <v>0.2082789955950014</v>
      </c>
      <c r="BP490" s="197">
        <f t="shared" si="331"/>
        <v>65.620924669625111</v>
      </c>
      <c r="BQ490" s="197">
        <f t="shared" si="332"/>
        <v>9.9596940000000009E-2</v>
      </c>
      <c r="BR490" s="288">
        <f t="shared" si="333"/>
        <v>0.16008975919012108</v>
      </c>
      <c r="BS490" s="197">
        <f t="shared" si="334"/>
        <v>0.11660930017110901</v>
      </c>
      <c r="BT490" s="197">
        <f t="shared" si="335"/>
        <v>0.36419974881911377</v>
      </c>
      <c r="BU490" s="197">
        <f t="shared" si="336"/>
        <v>0.1713930788771201</v>
      </c>
      <c r="BV490" s="197">
        <f t="shared" si="337"/>
        <v>0.53530306917875781</v>
      </c>
      <c r="BW490" s="194"/>
      <c r="BX490" s="194"/>
      <c r="BY490" s="194"/>
      <c r="BZ490" s="194"/>
      <c r="CA490" s="194"/>
      <c r="CB490" s="194"/>
      <c r="CC490" s="194"/>
      <c r="CD490" s="194"/>
      <c r="CE490" s="194"/>
      <c r="CF490" s="194"/>
      <c r="CG490" s="194"/>
      <c r="CH490" s="194"/>
      <c r="CI490" s="194"/>
      <c r="CJ490" s="194"/>
      <c r="CK490" s="194"/>
      <c r="CL490" s="194"/>
      <c r="CM490" s="194"/>
      <c r="CN490" s="194"/>
      <c r="CO490" s="194"/>
      <c r="CP490" s="194"/>
      <c r="CQ490" s="194"/>
      <c r="CR490" s="194"/>
      <c r="CS490" s="194"/>
      <c r="CT490" s="194"/>
      <c r="CU490" s="194"/>
      <c r="CV490" s="194"/>
      <c r="CW490" s="194"/>
      <c r="CX490" s="194"/>
      <c r="CY490" s="194"/>
      <c r="CZ490" s="194"/>
      <c r="DA490" s="194"/>
      <c r="DB490" s="194"/>
      <c r="DC490" s="194"/>
      <c r="DD490" s="194"/>
      <c r="DE490" s="194"/>
      <c r="DF490" s="194"/>
    </row>
    <row r="491" spans="2:110" s="192" customFormat="1" hidden="1" x14ac:dyDescent="0.35">
      <c r="B491" s="289"/>
      <c r="C491" s="289"/>
      <c r="Q491" s="193"/>
      <c r="R491" s="194">
        <f t="shared" si="338"/>
        <v>18</v>
      </c>
      <c r="S491" s="197">
        <f t="shared" si="304"/>
        <v>0.3888888888888889</v>
      </c>
      <c r="T491" s="194">
        <f t="shared" si="359"/>
        <v>0.69</v>
      </c>
      <c r="U491" s="194">
        <f t="shared" si="360"/>
        <v>1.4999999999999999E-4</v>
      </c>
      <c r="V491" s="197">
        <f t="shared" si="339"/>
        <v>0.3888888888888889</v>
      </c>
      <c r="W491" s="197">
        <f t="shared" si="305"/>
        <v>4.3555555555555561E-3</v>
      </c>
      <c r="X491" s="286">
        <f t="shared" si="306"/>
        <v>1</v>
      </c>
      <c r="Y491" s="286">
        <f t="shared" si="307"/>
        <v>0.17335969315081967</v>
      </c>
      <c r="Z491" s="286">
        <f t="shared" si="308"/>
        <v>0.54964853345132902</v>
      </c>
      <c r="AA491" s="286">
        <f t="shared" si="340"/>
        <v>0.17335969315081967</v>
      </c>
      <c r="AB491" s="197">
        <f t="shared" si="309"/>
        <v>0.36419974881911377</v>
      </c>
      <c r="AC491" s="287">
        <f t="shared" si="310"/>
        <v>4.4451203372005044E-7</v>
      </c>
      <c r="AD491" s="197">
        <f t="shared" si="341"/>
        <v>11.693936048110356</v>
      </c>
      <c r="AE491" s="197">
        <f t="shared" si="342"/>
        <v>35.08180814433107</v>
      </c>
      <c r="AF491" s="197">
        <f t="shared" si="343"/>
        <v>8.5178571428571423E-2</v>
      </c>
      <c r="AG491" s="197">
        <f t="shared" si="344"/>
        <v>0.25553571428571431</v>
      </c>
      <c r="AH491" s="197">
        <f t="shared" si="311"/>
        <v>0.11660930017110901</v>
      </c>
      <c r="AI491" s="197">
        <f t="shared" si="345"/>
        <v>0.11660930017110901</v>
      </c>
      <c r="AJ491" s="218">
        <f t="shared" si="312"/>
        <v>390.00000000000006</v>
      </c>
      <c r="AK491" s="197">
        <f t="shared" si="346"/>
        <v>6.0930617977437734E-2</v>
      </c>
      <c r="AL491" s="197">
        <f t="shared" si="347"/>
        <v>9.6203707235237593E-2</v>
      </c>
      <c r="AM491" s="197">
        <f t="shared" si="348"/>
        <v>4.0790371867740751E-3</v>
      </c>
      <c r="AN491" s="197">
        <f t="shared" si="313"/>
        <v>24.05</v>
      </c>
      <c r="AO491" s="197">
        <f t="shared" si="314"/>
        <v>21.69</v>
      </c>
      <c r="AP491" s="197">
        <f t="shared" si="349"/>
        <v>7.4093290390420161E-2</v>
      </c>
      <c r="AQ491" s="197">
        <f t="shared" si="350"/>
        <v>0.42250439890466829</v>
      </c>
      <c r="AR491" s="197">
        <f t="shared" si="351"/>
        <v>0.30589509873355925</v>
      </c>
      <c r="AS491" s="258">
        <f t="shared" si="352"/>
        <v>0.15228632177729159</v>
      </c>
      <c r="AT491" s="197">
        <f t="shared" si="315"/>
        <v>2.5974058656511614E-4</v>
      </c>
      <c r="AU491" s="194">
        <f t="shared" si="316"/>
        <v>21.19</v>
      </c>
      <c r="AV491" s="197">
        <f t="shared" si="317"/>
        <v>2.7E-2</v>
      </c>
      <c r="AW491" s="197">
        <f t="shared" si="318"/>
        <v>3.4260000000000002E-3</v>
      </c>
      <c r="AX491" s="197">
        <f t="shared" si="353"/>
        <v>6.1668000000000001E-2</v>
      </c>
      <c r="AY491" s="197">
        <f t="shared" si="319"/>
        <v>2.8867476000000005E-3</v>
      </c>
      <c r="AZ491" s="197">
        <f t="shared" si="320"/>
        <v>0</v>
      </c>
      <c r="BA491" s="197">
        <f t="shared" si="354"/>
        <v>7.2596940000000013E-2</v>
      </c>
      <c r="BB491" s="258">
        <f t="shared" si="321"/>
        <v>0.36575210336206115</v>
      </c>
      <c r="BC491" s="197">
        <f t="shared" si="322"/>
        <v>2.2380490766334034E-2</v>
      </c>
      <c r="BD491" s="197">
        <f t="shared" si="355"/>
        <v>4.4760981532668068E-3</v>
      </c>
      <c r="BE491" s="197">
        <f t="shared" si="356"/>
        <v>2.6856588919600841E-2</v>
      </c>
      <c r="BF491" s="197">
        <f t="shared" si="323"/>
        <v>0.20773291256157633</v>
      </c>
      <c r="BG491" s="197">
        <f t="shared" si="324"/>
        <v>5.4608303342508187E-4</v>
      </c>
      <c r="BH491" s="197">
        <f t="shared" si="325"/>
        <v>3.5336687086656722E-2</v>
      </c>
      <c r="BI491" s="197">
        <f t="shared" si="357"/>
        <v>0.44730899017824427</v>
      </c>
      <c r="BJ491" s="197">
        <f t="shared" si="326"/>
        <v>6.769615024661003</v>
      </c>
      <c r="BK491" s="288">
        <f t="shared" si="327"/>
        <v>0.93392401361838984</v>
      </c>
      <c r="BL491" s="197">
        <f t="shared" si="328"/>
        <v>0.37608972359227794</v>
      </c>
      <c r="BM491" s="197">
        <f t="shared" si="329"/>
        <v>7.4353030976985271E-2</v>
      </c>
      <c r="BN491" s="197">
        <f t="shared" si="330"/>
        <v>54.461181858619113</v>
      </c>
      <c r="BO491" s="197">
        <f t="shared" si="358"/>
        <v>0.2082789955950014</v>
      </c>
      <c r="BP491" s="197">
        <f t="shared" si="331"/>
        <v>65.620924669625111</v>
      </c>
      <c r="BQ491" s="197">
        <f t="shared" si="332"/>
        <v>9.9596940000000009E-2</v>
      </c>
      <c r="BR491" s="288">
        <f t="shared" si="333"/>
        <v>0.16008975919012108</v>
      </c>
      <c r="BS491" s="197">
        <f t="shared" si="334"/>
        <v>0.11660930017110901</v>
      </c>
      <c r="BT491" s="197">
        <f t="shared" si="335"/>
        <v>0.36419974881911377</v>
      </c>
      <c r="BU491" s="197">
        <f t="shared" si="336"/>
        <v>0.1713930788771201</v>
      </c>
      <c r="BV491" s="197">
        <f t="shared" si="337"/>
        <v>0.53530306917875781</v>
      </c>
      <c r="BW491" s="194"/>
      <c r="BX491" s="194"/>
      <c r="BY491" s="194"/>
      <c r="BZ491" s="194"/>
      <c r="CA491" s="194"/>
      <c r="CB491" s="194"/>
      <c r="CC491" s="194"/>
      <c r="CD491" s="194"/>
      <c r="CE491" s="194"/>
      <c r="CF491" s="194"/>
      <c r="CG491" s="194"/>
      <c r="CH491" s="194"/>
      <c r="CI491" s="194"/>
      <c r="CJ491" s="194"/>
      <c r="CK491" s="194"/>
      <c r="CL491" s="194"/>
      <c r="CM491" s="194"/>
      <c r="CN491" s="194"/>
      <c r="CO491" s="194"/>
      <c r="CP491" s="194"/>
      <c r="CQ491" s="194"/>
      <c r="CR491" s="194"/>
      <c r="CS491" s="194"/>
      <c r="CT491" s="194"/>
      <c r="CU491" s="194"/>
      <c r="CV491" s="194"/>
      <c r="CW491" s="194"/>
      <c r="CX491" s="194"/>
      <c r="CY491" s="194"/>
      <c r="CZ491" s="194"/>
      <c r="DA491" s="194"/>
      <c r="DB491" s="194"/>
      <c r="DC491" s="194"/>
      <c r="DD491" s="194"/>
      <c r="DE491" s="194"/>
      <c r="DF491" s="194"/>
    </row>
    <row r="492" spans="2:110" s="192" customFormat="1" hidden="1" x14ac:dyDescent="0.35">
      <c r="B492" s="289"/>
      <c r="C492" s="289"/>
      <c r="Q492" s="193"/>
      <c r="R492" s="194">
        <f t="shared" si="338"/>
        <v>18</v>
      </c>
      <c r="S492" s="197">
        <f t="shared" si="304"/>
        <v>0.3888888888888889</v>
      </c>
      <c r="T492" s="194">
        <f t="shared" si="359"/>
        <v>0.69</v>
      </c>
      <c r="U492" s="194">
        <f t="shared" si="360"/>
        <v>1.4999999999999999E-4</v>
      </c>
      <c r="V492" s="197">
        <f t="shared" si="339"/>
        <v>0.3888888888888889</v>
      </c>
      <c r="W492" s="197">
        <f t="shared" si="305"/>
        <v>4.3555555555555561E-3</v>
      </c>
      <c r="X492" s="286">
        <f t="shared" si="306"/>
        <v>1</v>
      </c>
      <c r="Y492" s="286">
        <f t="shared" si="307"/>
        <v>0.17335969315081967</v>
      </c>
      <c r="Z492" s="286">
        <f t="shared" si="308"/>
        <v>0.54964853345132902</v>
      </c>
      <c r="AA492" s="286">
        <f t="shared" si="340"/>
        <v>0.17335969315081967</v>
      </c>
      <c r="AB492" s="197">
        <f t="shared" si="309"/>
        <v>0.36419974881911377</v>
      </c>
      <c r="AC492" s="287">
        <f t="shared" si="310"/>
        <v>4.4451203372005044E-7</v>
      </c>
      <c r="AD492" s="197">
        <f t="shared" si="341"/>
        <v>11.693936048110356</v>
      </c>
      <c r="AE492" s="197">
        <f t="shared" si="342"/>
        <v>35.08180814433107</v>
      </c>
      <c r="AF492" s="197">
        <f t="shared" si="343"/>
        <v>8.5178571428571423E-2</v>
      </c>
      <c r="AG492" s="197">
        <f t="shared" si="344"/>
        <v>0.25553571428571431</v>
      </c>
      <c r="AH492" s="197">
        <f t="shared" si="311"/>
        <v>0.11660930017110901</v>
      </c>
      <c r="AI492" s="197">
        <f t="shared" si="345"/>
        <v>0.11660930017110901</v>
      </c>
      <c r="AJ492" s="218">
        <f t="shared" si="312"/>
        <v>390.00000000000006</v>
      </c>
      <c r="AK492" s="197">
        <f t="shared" si="346"/>
        <v>6.0930617977437734E-2</v>
      </c>
      <c r="AL492" s="197">
        <f t="shared" si="347"/>
        <v>9.6203707235237593E-2</v>
      </c>
      <c r="AM492" s="197">
        <f t="shared" si="348"/>
        <v>4.0790371867740751E-3</v>
      </c>
      <c r="AN492" s="197">
        <f t="shared" si="313"/>
        <v>24.05</v>
      </c>
      <c r="AO492" s="197">
        <f t="shared" si="314"/>
        <v>21.69</v>
      </c>
      <c r="AP492" s="197">
        <f t="shared" si="349"/>
        <v>7.4093290390420161E-2</v>
      </c>
      <c r="AQ492" s="197">
        <f t="shared" si="350"/>
        <v>0.42250439890466829</v>
      </c>
      <c r="AR492" s="197">
        <f t="shared" si="351"/>
        <v>0.30589509873355925</v>
      </c>
      <c r="AS492" s="258">
        <f t="shared" si="352"/>
        <v>0.15228632177729159</v>
      </c>
      <c r="AT492" s="197">
        <f t="shared" si="315"/>
        <v>2.5974058656511614E-4</v>
      </c>
      <c r="AU492" s="194">
        <f t="shared" si="316"/>
        <v>21.19</v>
      </c>
      <c r="AV492" s="197">
        <f t="shared" si="317"/>
        <v>2.7E-2</v>
      </c>
      <c r="AW492" s="197">
        <f t="shared" si="318"/>
        <v>3.4260000000000002E-3</v>
      </c>
      <c r="AX492" s="197">
        <f t="shared" si="353"/>
        <v>6.1668000000000001E-2</v>
      </c>
      <c r="AY492" s="197">
        <f t="shared" si="319"/>
        <v>2.8867476000000005E-3</v>
      </c>
      <c r="AZ492" s="197">
        <f t="shared" si="320"/>
        <v>0</v>
      </c>
      <c r="BA492" s="197">
        <f t="shared" si="354"/>
        <v>7.2596940000000013E-2</v>
      </c>
      <c r="BB492" s="258">
        <f t="shared" si="321"/>
        <v>0.36575210336206115</v>
      </c>
      <c r="BC492" s="197">
        <f t="shared" si="322"/>
        <v>2.2380490766334034E-2</v>
      </c>
      <c r="BD492" s="197">
        <f t="shared" si="355"/>
        <v>4.4760981532668068E-3</v>
      </c>
      <c r="BE492" s="197">
        <f t="shared" si="356"/>
        <v>2.6856588919600841E-2</v>
      </c>
      <c r="BF492" s="197">
        <f t="shared" si="323"/>
        <v>0.20773291256157633</v>
      </c>
      <c r="BG492" s="197">
        <f t="shared" si="324"/>
        <v>5.4608303342508187E-4</v>
      </c>
      <c r="BH492" s="197">
        <f t="shared" si="325"/>
        <v>3.5336687086656722E-2</v>
      </c>
      <c r="BI492" s="197">
        <f t="shared" si="357"/>
        <v>0.44730899017824427</v>
      </c>
      <c r="BJ492" s="197">
        <f t="shared" si="326"/>
        <v>6.769615024661003</v>
      </c>
      <c r="BK492" s="288">
        <f t="shared" si="327"/>
        <v>0.93392401361838984</v>
      </c>
      <c r="BL492" s="197">
        <f t="shared" si="328"/>
        <v>0.37608972359227794</v>
      </c>
      <c r="BM492" s="197">
        <f t="shared" si="329"/>
        <v>7.4353030976985271E-2</v>
      </c>
      <c r="BN492" s="197">
        <f t="shared" si="330"/>
        <v>54.461181858619113</v>
      </c>
      <c r="BO492" s="197">
        <f t="shared" si="358"/>
        <v>0.2082789955950014</v>
      </c>
      <c r="BP492" s="197">
        <f t="shared" si="331"/>
        <v>65.620924669625111</v>
      </c>
      <c r="BQ492" s="197">
        <f t="shared" si="332"/>
        <v>9.9596940000000009E-2</v>
      </c>
      <c r="BR492" s="288">
        <f t="shared" si="333"/>
        <v>0.16008975919012108</v>
      </c>
      <c r="BS492" s="197">
        <f t="shared" si="334"/>
        <v>0.11660930017110901</v>
      </c>
      <c r="BT492" s="197">
        <f t="shared" si="335"/>
        <v>0.36419974881911377</v>
      </c>
      <c r="BU492" s="197">
        <f t="shared" si="336"/>
        <v>0.1713930788771201</v>
      </c>
      <c r="BV492" s="197">
        <f t="shared" si="337"/>
        <v>0.53530306917875781</v>
      </c>
      <c r="BW492" s="194"/>
      <c r="BX492" s="194"/>
      <c r="BY492" s="194"/>
      <c r="BZ492" s="194"/>
      <c r="CA492" s="194"/>
      <c r="CB492" s="194"/>
      <c r="CC492" s="194"/>
      <c r="CD492" s="194"/>
      <c r="CE492" s="194"/>
      <c r="CF492" s="194"/>
      <c r="CG492" s="194"/>
      <c r="CH492" s="194"/>
      <c r="CI492" s="194"/>
      <c r="CJ492" s="194"/>
      <c r="CK492" s="194"/>
      <c r="CL492" s="194"/>
      <c r="CM492" s="194"/>
      <c r="CN492" s="194"/>
      <c r="CO492" s="194"/>
      <c r="CP492" s="194"/>
      <c r="CQ492" s="194"/>
      <c r="CR492" s="194"/>
      <c r="CS492" s="194"/>
      <c r="CT492" s="194"/>
      <c r="CU492" s="194"/>
      <c r="CV492" s="194"/>
      <c r="CW492" s="194"/>
      <c r="CX492" s="194"/>
      <c r="CY492" s="194"/>
      <c r="CZ492" s="194"/>
      <c r="DA492" s="194"/>
      <c r="DB492" s="194"/>
      <c r="DC492" s="194"/>
      <c r="DD492" s="194"/>
      <c r="DE492" s="194"/>
      <c r="DF492" s="194"/>
    </row>
    <row r="493" spans="2:110" s="192" customFormat="1" hidden="1" x14ac:dyDescent="0.35">
      <c r="B493" s="289"/>
      <c r="C493" s="289"/>
      <c r="Q493" s="193"/>
      <c r="R493" s="194">
        <f t="shared" si="338"/>
        <v>18</v>
      </c>
      <c r="S493" s="197">
        <f t="shared" si="304"/>
        <v>0.3888888888888889</v>
      </c>
      <c r="T493" s="194">
        <f t="shared" si="359"/>
        <v>0.69</v>
      </c>
      <c r="U493" s="194">
        <f t="shared" si="360"/>
        <v>1.4999999999999999E-4</v>
      </c>
      <c r="V493" s="197">
        <f t="shared" si="339"/>
        <v>0.3888888888888889</v>
      </c>
      <c r="W493" s="197">
        <f t="shared" si="305"/>
        <v>4.3555555555555561E-3</v>
      </c>
      <c r="X493" s="286">
        <f t="shared" si="306"/>
        <v>1</v>
      </c>
      <c r="Y493" s="286">
        <f t="shared" si="307"/>
        <v>0.17335969315081967</v>
      </c>
      <c r="Z493" s="286">
        <f t="shared" si="308"/>
        <v>0.54964853345132902</v>
      </c>
      <c r="AA493" s="286">
        <f t="shared" si="340"/>
        <v>0.17335969315081967</v>
      </c>
      <c r="AB493" s="197">
        <f t="shared" si="309"/>
        <v>0.36419974881911377</v>
      </c>
      <c r="AC493" s="287">
        <f t="shared" si="310"/>
        <v>4.4451203372005044E-7</v>
      </c>
      <c r="AD493" s="197">
        <f t="shared" si="341"/>
        <v>11.693936048110356</v>
      </c>
      <c r="AE493" s="197">
        <f t="shared" si="342"/>
        <v>35.08180814433107</v>
      </c>
      <c r="AF493" s="197">
        <f t="shared" si="343"/>
        <v>8.5178571428571423E-2</v>
      </c>
      <c r="AG493" s="197">
        <f t="shared" si="344"/>
        <v>0.25553571428571431</v>
      </c>
      <c r="AH493" s="197">
        <f t="shared" si="311"/>
        <v>0.11660930017110901</v>
      </c>
      <c r="AI493" s="197">
        <f t="shared" si="345"/>
        <v>0.11660930017110901</v>
      </c>
      <c r="AJ493" s="218">
        <f t="shared" si="312"/>
        <v>390.00000000000006</v>
      </c>
      <c r="AK493" s="197">
        <f t="shared" si="346"/>
        <v>6.0930617977437734E-2</v>
      </c>
      <c r="AL493" s="197">
        <f t="shared" si="347"/>
        <v>9.6203707235237593E-2</v>
      </c>
      <c r="AM493" s="197">
        <f t="shared" si="348"/>
        <v>4.0790371867740751E-3</v>
      </c>
      <c r="AN493" s="197">
        <f t="shared" si="313"/>
        <v>24.05</v>
      </c>
      <c r="AO493" s="197">
        <f t="shared" si="314"/>
        <v>21.69</v>
      </c>
      <c r="AP493" s="197">
        <f t="shared" si="349"/>
        <v>7.4093290390420161E-2</v>
      </c>
      <c r="AQ493" s="197">
        <f t="shared" si="350"/>
        <v>0.42250439890466829</v>
      </c>
      <c r="AR493" s="197">
        <f t="shared" si="351"/>
        <v>0.30589509873355925</v>
      </c>
      <c r="AS493" s="258">
        <f t="shared" si="352"/>
        <v>0.15228632177729159</v>
      </c>
      <c r="AT493" s="197">
        <f t="shared" si="315"/>
        <v>2.5974058656511614E-4</v>
      </c>
      <c r="AU493" s="194">
        <f t="shared" si="316"/>
        <v>21.19</v>
      </c>
      <c r="AV493" s="197">
        <f t="shared" si="317"/>
        <v>2.7E-2</v>
      </c>
      <c r="AW493" s="197">
        <f t="shared" si="318"/>
        <v>3.4260000000000002E-3</v>
      </c>
      <c r="AX493" s="197">
        <f t="shared" si="353"/>
        <v>6.1668000000000001E-2</v>
      </c>
      <c r="AY493" s="197">
        <f t="shared" si="319"/>
        <v>2.8867476000000005E-3</v>
      </c>
      <c r="AZ493" s="197">
        <f t="shared" si="320"/>
        <v>0</v>
      </c>
      <c r="BA493" s="197">
        <f t="shared" si="354"/>
        <v>7.2596940000000013E-2</v>
      </c>
      <c r="BB493" s="258">
        <f t="shared" si="321"/>
        <v>0.36575210336206115</v>
      </c>
      <c r="BC493" s="197">
        <f t="shared" si="322"/>
        <v>2.2380490766334034E-2</v>
      </c>
      <c r="BD493" s="197">
        <f t="shared" si="355"/>
        <v>4.4760981532668068E-3</v>
      </c>
      <c r="BE493" s="197">
        <f t="shared" si="356"/>
        <v>2.6856588919600841E-2</v>
      </c>
      <c r="BF493" s="197">
        <f t="shared" si="323"/>
        <v>0.20773291256157633</v>
      </c>
      <c r="BG493" s="197">
        <f t="shared" si="324"/>
        <v>5.4608303342508187E-4</v>
      </c>
      <c r="BH493" s="197">
        <f t="shared" si="325"/>
        <v>3.5336687086656722E-2</v>
      </c>
      <c r="BI493" s="197">
        <f t="shared" si="357"/>
        <v>0.44730899017824427</v>
      </c>
      <c r="BJ493" s="197">
        <f t="shared" si="326"/>
        <v>6.769615024661003</v>
      </c>
      <c r="BK493" s="288">
        <f t="shared" si="327"/>
        <v>0.93392401361838984</v>
      </c>
      <c r="BL493" s="197">
        <f t="shared" si="328"/>
        <v>0.37608972359227794</v>
      </c>
      <c r="BM493" s="197">
        <f t="shared" si="329"/>
        <v>7.4353030976985271E-2</v>
      </c>
      <c r="BN493" s="197">
        <f t="shared" si="330"/>
        <v>54.461181858619113</v>
      </c>
      <c r="BO493" s="197">
        <f t="shared" si="358"/>
        <v>0.2082789955950014</v>
      </c>
      <c r="BP493" s="197">
        <f t="shared" si="331"/>
        <v>65.620924669625111</v>
      </c>
      <c r="BQ493" s="197">
        <f t="shared" si="332"/>
        <v>9.9596940000000009E-2</v>
      </c>
      <c r="BR493" s="288">
        <f t="shared" si="333"/>
        <v>0.16008975919012108</v>
      </c>
      <c r="BS493" s="197">
        <f t="shared" si="334"/>
        <v>0.11660930017110901</v>
      </c>
      <c r="BT493" s="197">
        <f t="shared" si="335"/>
        <v>0.36419974881911377</v>
      </c>
      <c r="BU493" s="197">
        <f t="shared" si="336"/>
        <v>0.1713930788771201</v>
      </c>
      <c r="BV493" s="197">
        <f t="shared" si="337"/>
        <v>0.53530306917875781</v>
      </c>
      <c r="BW493" s="194"/>
      <c r="BX493" s="194"/>
      <c r="BY493" s="194"/>
      <c r="BZ493" s="194"/>
      <c r="CA493" s="194"/>
      <c r="CB493" s="194"/>
      <c r="CC493" s="194"/>
      <c r="CD493" s="194"/>
      <c r="CE493" s="194"/>
      <c r="CF493" s="194"/>
      <c r="CG493" s="194"/>
      <c r="CH493" s="194"/>
      <c r="CI493" s="194"/>
      <c r="CJ493" s="194"/>
      <c r="CK493" s="194"/>
      <c r="CL493" s="194"/>
      <c r="CM493" s="194"/>
      <c r="CN493" s="194"/>
      <c r="CO493" s="194"/>
      <c r="CP493" s="194"/>
      <c r="CQ493" s="194"/>
      <c r="CR493" s="194"/>
      <c r="CS493" s="194"/>
      <c r="CT493" s="194"/>
      <c r="CU493" s="194"/>
      <c r="CV493" s="194"/>
      <c r="CW493" s="194"/>
      <c r="CX493" s="194"/>
      <c r="CY493" s="194"/>
      <c r="CZ493" s="194"/>
      <c r="DA493" s="194"/>
      <c r="DB493" s="194"/>
      <c r="DC493" s="194"/>
      <c r="DD493" s="194"/>
      <c r="DE493" s="194"/>
      <c r="DF493" s="194"/>
    </row>
    <row r="494" spans="2:110" s="192" customFormat="1" hidden="1" x14ac:dyDescent="0.35">
      <c r="B494" s="289"/>
      <c r="C494" s="289"/>
      <c r="Q494" s="193"/>
      <c r="R494" s="194">
        <f t="shared" si="338"/>
        <v>18</v>
      </c>
      <c r="S494" s="197">
        <f t="shared" si="304"/>
        <v>0.3888888888888889</v>
      </c>
      <c r="T494" s="194">
        <f t="shared" si="359"/>
        <v>0.69</v>
      </c>
      <c r="U494" s="194">
        <f t="shared" si="360"/>
        <v>1.4999999999999999E-4</v>
      </c>
      <c r="V494" s="197">
        <f t="shared" si="339"/>
        <v>0.3888888888888889</v>
      </c>
      <c r="W494" s="197">
        <f t="shared" si="305"/>
        <v>4.3555555555555561E-3</v>
      </c>
      <c r="X494" s="286">
        <f t="shared" si="306"/>
        <v>1</v>
      </c>
      <c r="Y494" s="286">
        <f t="shared" si="307"/>
        <v>0.17335969315081967</v>
      </c>
      <c r="Z494" s="286">
        <f t="shared" si="308"/>
        <v>0.54964853345132902</v>
      </c>
      <c r="AA494" s="286">
        <f t="shared" si="340"/>
        <v>0.17335969315081967</v>
      </c>
      <c r="AB494" s="197">
        <f t="shared" si="309"/>
        <v>0.36419974881911377</v>
      </c>
      <c r="AC494" s="287">
        <f t="shared" si="310"/>
        <v>4.4451203372005044E-7</v>
      </c>
      <c r="AD494" s="197">
        <f t="shared" si="341"/>
        <v>11.693936048110356</v>
      </c>
      <c r="AE494" s="197">
        <f t="shared" si="342"/>
        <v>35.08180814433107</v>
      </c>
      <c r="AF494" s="197">
        <f t="shared" si="343"/>
        <v>8.5178571428571423E-2</v>
      </c>
      <c r="AG494" s="197">
        <f t="shared" si="344"/>
        <v>0.25553571428571431</v>
      </c>
      <c r="AH494" s="197">
        <f t="shared" si="311"/>
        <v>0.11660930017110901</v>
      </c>
      <c r="AI494" s="197">
        <f t="shared" si="345"/>
        <v>0.11660930017110901</v>
      </c>
      <c r="AJ494" s="218">
        <f t="shared" si="312"/>
        <v>390.00000000000006</v>
      </c>
      <c r="AK494" s="197">
        <f t="shared" si="346"/>
        <v>6.0930617977437734E-2</v>
      </c>
      <c r="AL494" s="197">
        <f t="shared" si="347"/>
        <v>9.6203707235237593E-2</v>
      </c>
      <c r="AM494" s="197">
        <f t="shared" si="348"/>
        <v>4.0790371867740751E-3</v>
      </c>
      <c r="AN494" s="197">
        <f t="shared" si="313"/>
        <v>24.05</v>
      </c>
      <c r="AO494" s="197">
        <f t="shared" si="314"/>
        <v>21.69</v>
      </c>
      <c r="AP494" s="197">
        <f t="shared" si="349"/>
        <v>7.4093290390420161E-2</v>
      </c>
      <c r="AQ494" s="197">
        <f t="shared" si="350"/>
        <v>0.42250439890466829</v>
      </c>
      <c r="AR494" s="197">
        <f t="shared" si="351"/>
        <v>0.30589509873355925</v>
      </c>
      <c r="AS494" s="258">
        <f t="shared" si="352"/>
        <v>0.15228632177729159</v>
      </c>
      <c r="AT494" s="197">
        <f t="shared" si="315"/>
        <v>2.5974058656511614E-4</v>
      </c>
      <c r="AU494" s="194">
        <f t="shared" si="316"/>
        <v>21.19</v>
      </c>
      <c r="AV494" s="197">
        <f t="shared" si="317"/>
        <v>2.7E-2</v>
      </c>
      <c r="AW494" s="197">
        <f t="shared" si="318"/>
        <v>3.4260000000000002E-3</v>
      </c>
      <c r="AX494" s="197">
        <f t="shared" si="353"/>
        <v>6.1668000000000001E-2</v>
      </c>
      <c r="AY494" s="197">
        <f t="shared" si="319"/>
        <v>2.8867476000000005E-3</v>
      </c>
      <c r="AZ494" s="197">
        <f t="shared" si="320"/>
        <v>0</v>
      </c>
      <c r="BA494" s="197">
        <f t="shared" si="354"/>
        <v>7.2596940000000013E-2</v>
      </c>
      <c r="BB494" s="258">
        <f t="shared" si="321"/>
        <v>0.36575210336206115</v>
      </c>
      <c r="BC494" s="197">
        <f t="shared" si="322"/>
        <v>2.2380490766334034E-2</v>
      </c>
      <c r="BD494" s="197">
        <f t="shared" si="355"/>
        <v>4.4760981532668068E-3</v>
      </c>
      <c r="BE494" s="197">
        <f t="shared" si="356"/>
        <v>2.6856588919600841E-2</v>
      </c>
      <c r="BF494" s="197">
        <f t="shared" si="323"/>
        <v>0.20773291256157633</v>
      </c>
      <c r="BG494" s="197">
        <f t="shared" si="324"/>
        <v>5.4608303342508187E-4</v>
      </c>
      <c r="BH494" s="197">
        <f t="shared" si="325"/>
        <v>3.5336687086656722E-2</v>
      </c>
      <c r="BI494" s="197">
        <f t="shared" si="357"/>
        <v>0.44730899017824427</v>
      </c>
      <c r="BJ494" s="197">
        <f t="shared" si="326"/>
        <v>6.769615024661003</v>
      </c>
      <c r="BK494" s="288">
        <f t="shared" si="327"/>
        <v>0.93392401361838984</v>
      </c>
      <c r="BL494" s="197">
        <f t="shared" si="328"/>
        <v>0.37608972359227794</v>
      </c>
      <c r="BM494" s="197">
        <f t="shared" si="329"/>
        <v>7.4353030976985271E-2</v>
      </c>
      <c r="BN494" s="197">
        <f t="shared" si="330"/>
        <v>54.461181858619113</v>
      </c>
      <c r="BO494" s="197">
        <f t="shared" si="358"/>
        <v>0.2082789955950014</v>
      </c>
      <c r="BP494" s="197">
        <f t="shared" si="331"/>
        <v>65.620924669625111</v>
      </c>
      <c r="BQ494" s="197">
        <f t="shared" si="332"/>
        <v>9.9596940000000009E-2</v>
      </c>
      <c r="BR494" s="288">
        <f t="shared" si="333"/>
        <v>0.16008975919012108</v>
      </c>
      <c r="BS494" s="197">
        <f t="shared" si="334"/>
        <v>0.11660930017110901</v>
      </c>
      <c r="BT494" s="197">
        <f t="shared" si="335"/>
        <v>0.36419974881911377</v>
      </c>
      <c r="BU494" s="197">
        <f t="shared" si="336"/>
        <v>0.1713930788771201</v>
      </c>
      <c r="BV494" s="197">
        <f t="shared" si="337"/>
        <v>0.53530306917875781</v>
      </c>
      <c r="BW494" s="194"/>
      <c r="BX494" s="194"/>
      <c r="BY494" s="194"/>
      <c r="BZ494" s="194"/>
      <c r="CA494" s="194"/>
      <c r="CB494" s="194"/>
      <c r="CC494" s="194"/>
      <c r="CD494" s="194"/>
      <c r="CE494" s="194"/>
      <c r="CF494" s="194"/>
      <c r="CG494" s="194"/>
      <c r="CH494" s="194"/>
      <c r="CI494" s="194"/>
      <c r="CJ494" s="194"/>
      <c r="CK494" s="194"/>
      <c r="CL494" s="194"/>
      <c r="CM494" s="194"/>
      <c r="CN494" s="194"/>
      <c r="CO494" s="194"/>
      <c r="CP494" s="194"/>
      <c r="CQ494" s="194"/>
      <c r="CR494" s="194"/>
      <c r="CS494" s="194"/>
      <c r="CT494" s="194"/>
      <c r="CU494" s="194"/>
      <c r="CV494" s="194"/>
      <c r="CW494" s="194"/>
      <c r="CX494" s="194"/>
      <c r="CY494" s="194"/>
      <c r="CZ494" s="194"/>
      <c r="DA494" s="194"/>
      <c r="DB494" s="194"/>
      <c r="DC494" s="194"/>
      <c r="DD494" s="194"/>
      <c r="DE494" s="194"/>
      <c r="DF494" s="194"/>
    </row>
    <row r="495" spans="2:110" s="192" customFormat="1" hidden="1" x14ac:dyDescent="0.35">
      <c r="B495" s="289"/>
      <c r="C495" s="289"/>
      <c r="Q495" s="193"/>
      <c r="R495" s="194">
        <f t="shared" si="338"/>
        <v>18</v>
      </c>
      <c r="S495" s="197">
        <f t="shared" si="304"/>
        <v>0.3888888888888889</v>
      </c>
      <c r="T495" s="194">
        <f t="shared" si="359"/>
        <v>0.69</v>
      </c>
      <c r="U495" s="194">
        <f t="shared" si="360"/>
        <v>1.4999999999999999E-4</v>
      </c>
      <c r="V495" s="197">
        <f t="shared" si="339"/>
        <v>0.3888888888888889</v>
      </c>
      <c r="W495" s="197">
        <f t="shared" si="305"/>
        <v>4.3555555555555561E-3</v>
      </c>
      <c r="X495" s="286">
        <f t="shared" si="306"/>
        <v>1</v>
      </c>
      <c r="Y495" s="286">
        <f t="shared" si="307"/>
        <v>0.17335969315081967</v>
      </c>
      <c r="Z495" s="286">
        <f t="shared" si="308"/>
        <v>0.54964853345132902</v>
      </c>
      <c r="AA495" s="286">
        <f t="shared" si="340"/>
        <v>0.17335969315081967</v>
      </c>
      <c r="AB495" s="197">
        <f t="shared" si="309"/>
        <v>0.36419974881911377</v>
      </c>
      <c r="AC495" s="287">
        <f t="shared" si="310"/>
        <v>4.4451203372005044E-7</v>
      </c>
      <c r="AD495" s="197">
        <f t="shared" si="341"/>
        <v>11.693936048110356</v>
      </c>
      <c r="AE495" s="197">
        <f t="shared" si="342"/>
        <v>35.08180814433107</v>
      </c>
      <c r="AF495" s="197">
        <f t="shared" si="343"/>
        <v>8.5178571428571423E-2</v>
      </c>
      <c r="AG495" s="197">
        <f t="shared" si="344"/>
        <v>0.25553571428571431</v>
      </c>
      <c r="AH495" s="197">
        <f t="shared" si="311"/>
        <v>0.11660930017110901</v>
      </c>
      <c r="AI495" s="197">
        <f t="shared" si="345"/>
        <v>0.11660930017110901</v>
      </c>
      <c r="AJ495" s="218">
        <f t="shared" si="312"/>
        <v>390.00000000000006</v>
      </c>
      <c r="AK495" s="197">
        <f t="shared" si="346"/>
        <v>6.0930617977437734E-2</v>
      </c>
      <c r="AL495" s="197">
        <f t="shared" si="347"/>
        <v>9.6203707235237593E-2</v>
      </c>
      <c r="AM495" s="197">
        <f t="shared" si="348"/>
        <v>4.0790371867740751E-3</v>
      </c>
      <c r="AN495" s="197">
        <f t="shared" si="313"/>
        <v>24.05</v>
      </c>
      <c r="AO495" s="197">
        <f t="shared" si="314"/>
        <v>21.69</v>
      </c>
      <c r="AP495" s="197">
        <f t="shared" si="349"/>
        <v>7.4093290390420161E-2</v>
      </c>
      <c r="AQ495" s="197">
        <f t="shared" si="350"/>
        <v>0.42250439890466829</v>
      </c>
      <c r="AR495" s="197">
        <f t="shared" si="351"/>
        <v>0.30589509873355925</v>
      </c>
      <c r="AS495" s="258">
        <f t="shared" si="352"/>
        <v>0.15228632177729159</v>
      </c>
      <c r="AT495" s="197">
        <f t="shared" si="315"/>
        <v>2.5974058656511614E-4</v>
      </c>
      <c r="AU495" s="194">
        <f t="shared" si="316"/>
        <v>21.19</v>
      </c>
      <c r="AV495" s="197">
        <f t="shared" si="317"/>
        <v>2.7E-2</v>
      </c>
      <c r="AW495" s="197">
        <f t="shared" si="318"/>
        <v>3.4260000000000002E-3</v>
      </c>
      <c r="AX495" s="197">
        <f t="shared" si="353"/>
        <v>6.1668000000000001E-2</v>
      </c>
      <c r="AY495" s="197">
        <f t="shared" si="319"/>
        <v>2.8867476000000005E-3</v>
      </c>
      <c r="AZ495" s="197">
        <f t="shared" si="320"/>
        <v>0</v>
      </c>
      <c r="BA495" s="197">
        <f t="shared" si="354"/>
        <v>7.2596940000000013E-2</v>
      </c>
      <c r="BB495" s="258">
        <f t="shared" si="321"/>
        <v>0.36575210336206115</v>
      </c>
      <c r="BC495" s="197">
        <f t="shared" si="322"/>
        <v>2.2380490766334034E-2</v>
      </c>
      <c r="BD495" s="197">
        <f t="shared" si="355"/>
        <v>4.4760981532668068E-3</v>
      </c>
      <c r="BE495" s="197">
        <f t="shared" si="356"/>
        <v>2.6856588919600841E-2</v>
      </c>
      <c r="BF495" s="197">
        <f t="shared" si="323"/>
        <v>0.20773291256157633</v>
      </c>
      <c r="BG495" s="197">
        <f t="shared" si="324"/>
        <v>5.4608303342508187E-4</v>
      </c>
      <c r="BH495" s="197">
        <f t="shared" si="325"/>
        <v>3.5336687086656722E-2</v>
      </c>
      <c r="BI495" s="197">
        <f t="shared" si="357"/>
        <v>0.44730899017824427</v>
      </c>
      <c r="BJ495" s="197">
        <f t="shared" si="326"/>
        <v>6.769615024661003</v>
      </c>
      <c r="BK495" s="288">
        <f t="shared" si="327"/>
        <v>0.93392401361838984</v>
      </c>
      <c r="BL495" s="197">
        <f t="shared" si="328"/>
        <v>0.37608972359227794</v>
      </c>
      <c r="BM495" s="197">
        <f t="shared" si="329"/>
        <v>7.4353030976985271E-2</v>
      </c>
      <c r="BN495" s="197">
        <f t="shared" si="330"/>
        <v>54.461181858619113</v>
      </c>
      <c r="BO495" s="197">
        <f t="shared" si="358"/>
        <v>0.2082789955950014</v>
      </c>
      <c r="BP495" s="197">
        <f t="shared" si="331"/>
        <v>65.620924669625111</v>
      </c>
      <c r="BQ495" s="197">
        <f t="shared" si="332"/>
        <v>9.9596940000000009E-2</v>
      </c>
      <c r="BR495" s="288">
        <f t="shared" si="333"/>
        <v>0.16008975919012108</v>
      </c>
      <c r="BS495" s="197">
        <f t="shared" si="334"/>
        <v>0.11660930017110901</v>
      </c>
      <c r="BT495" s="197">
        <f t="shared" si="335"/>
        <v>0.36419974881911377</v>
      </c>
      <c r="BU495" s="197">
        <f t="shared" si="336"/>
        <v>0.1713930788771201</v>
      </c>
      <c r="BV495" s="197">
        <f t="shared" si="337"/>
        <v>0.53530306917875781</v>
      </c>
      <c r="BW495" s="194"/>
      <c r="BX495" s="194"/>
      <c r="BY495" s="194"/>
      <c r="BZ495" s="194"/>
      <c r="CA495" s="194"/>
      <c r="CB495" s="194"/>
      <c r="CC495" s="194"/>
      <c r="CD495" s="194"/>
      <c r="CE495" s="194"/>
      <c r="CF495" s="194"/>
      <c r="CG495" s="194"/>
      <c r="CH495" s="194"/>
      <c r="CI495" s="194"/>
      <c r="CJ495" s="194"/>
      <c r="CK495" s="194"/>
      <c r="CL495" s="194"/>
      <c r="CM495" s="194"/>
      <c r="CN495" s="194"/>
      <c r="CO495" s="194"/>
      <c r="CP495" s="194"/>
      <c r="CQ495" s="194"/>
      <c r="CR495" s="194"/>
      <c r="CS495" s="194"/>
      <c r="CT495" s="194"/>
      <c r="CU495" s="194"/>
      <c r="CV495" s="194"/>
      <c r="CW495" s="194"/>
      <c r="CX495" s="194"/>
      <c r="CY495" s="194"/>
      <c r="CZ495" s="194"/>
      <c r="DA495" s="194"/>
      <c r="DB495" s="194"/>
      <c r="DC495" s="194"/>
      <c r="DD495" s="194"/>
      <c r="DE495" s="194"/>
      <c r="DF495" s="194"/>
    </row>
    <row r="496" spans="2:110" s="192" customFormat="1" hidden="1" x14ac:dyDescent="0.35">
      <c r="B496" s="289"/>
      <c r="C496" s="289"/>
      <c r="Q496" s="193"/>
      <c r="R496" s="194">
        <f t="shared" si="338"/>
        <v>18</v>
      </c>
      <c r="S496" s="197">
        <f t="shared" si="304"/>
        <v>0.3888888888888889</v>
      </c>
      <c r="T496" s="194">
        <f t="shared" si="359"/>
        <v>0.69</v>
      </c>
      <c r="U496" s="194">
        <f t="shared" si="360"/>
        <v>1.4999999999999999E-4</v>
      </c>
      <c r="V496" s="197">
        <f t="shared" si="339"/>
        <v>0.3888888888888889</v>
      </c>
      <c r="W496" s="197">
        <f t="shared" si="305"/>
        <v>4.3555555555555561E-3</v>
      </c>
      <c r="X496" s="286">
        <f t="shared" si="306"/>
        <v>1</v>
      </c>
      <c r="Y496" s="286">
        <f t="shared" si="307"/>
        <v>0.17335969315081967</v>
      </c>
      <c r="Z496" s="286">
        <f t="shared" si="308"/>
        <v>0.54964853345132902</v>
      </c>
      <c r="AA496" s="286">
        <f t="shared" si="340"/>
        <v>0.17335969315081967</v>
      </c>
      <c r="AB496" s="197">
        <f t="shared" si="309"/>
        <v>0.36419974881911377</v>
      </c>
      <c r="AC496" s="287">
        <f t="shared" si="310"/>
        <v>4.4451203372005044E-7</v>
      </c>
      <c r="AD496" s="197">
        <f t="shared" si="341"/>
        <v>11.693936048110356</v>
      </c>
      <c r="AE496" s="197">
        <f t="shared" si="342"/>
        <v>35.08180814433107</v>
      </c>
      <c r="AF496" s="197">
        <f t="shared" si="343"/>
        <v>8.5178571428571423E-2</v>
      </c>
      <c r="AG496" s="197">
        <f t="shared" si="344"/>
        <v>0.25553571428571431</v>
      </c>
      <c r="AH496" s="197">
        <f t="shared" si="311"/>
        <v>0.11660930017110901</v>
      </c>
      <c r="AI496" s="197">
        <f t="shared" si="345"/>
        <v>0.11660930017110901</v>
      </c>
      <c r="AJ496" s="218">
        <f t="shared" si="312"/>
        <v>390.00000000000006</v>
      </c>
      <c r="AK496" s="197">
        <f t="shared" si="346"/>
        <v>6.0930617977437734E-2</v>
      </c>
      <c r="AL496" s="197">
        <f t="shared" si="347"/>
        <v>9.6203707235237593E-2</v>
      </c>
      <c r="AM496" s="197">
        <f t="shared" si="348"/>
        <v>4.0790371867740751E-3</v>
      </c>
      <c r="AN496" s="197">
        <f t="shared" si="313"/>
        <v>24.05</v>
      </c>
      <c r="AO496" s="197">
        <f t="shared" si="314"/>
        <v>21.69</v>
      </c>
      <c r="AP496" s="197">
        <f t="shared" si="349"/>
        <v>7.4093290390420161E-2</v>
      </c>
      <c r="AQ496" s="197">
        <f t="shared" si="350"/>
        <v>0.42250439890466829</v>
      </c>
      <c r="AR496" s="197">
        <f t="shared" si="351"/>
        <v>0.30589509873355925</v>
      </c>
      <c r="AS496" s="258">
        <f t="shared" si="352"/>
        <v>0.15228632177729159</v>
      </c>
      <c r="AT496" s="197">
        <f t="shared" si="315"/>
        <v>2.5974058656511614E-4</v>
      </c>
      <c r="AU496" s="194">
        <f t="shared" si="316"/>
        <v>21.19</v>
      </c>
      <c r="AV496" s="197">
        <f t="shared" si="317"/>
        <v>2.7E-2</v>
      </c>
      <c r="AW496" s="197">
        <f t="shared" si="318"/>
        <v>3.4260000000000002E-3</v>
      </c>
      <c r="AX496" s="197">
        <f t="shared" si="353"/>
        <v>6.1668000000000001E-2</v>
      </c>
      <c r="AY496" s="197">
        <f t="shared" si="319"/>
        <v>2.8867476000000005E-3</v>
      </c>
      <c r="AZ496" s="197">
        <f t="shared" si="320"/>
        <v>0</v>
      </c>
      <c r="BA496" s="197">
        <f t="shared" si="354"/>
        <v>7.2596940000000013E-2</v>
      </c>
      <c r="BB496" s="258">
        <f t="shared" si="321"/>
        <v>0.36575210336206115</v>
      </c>
      <c r="BC496" s="197">
        <f t="shared" si="322"/>
        <v>2.2380490766334034E-2</v>
      </c>
      <c r="BD496" s="197">
        <f t="shared" si="355"/>
        <v>4.4760981532668068E-3</v>
      </c>
      <c r="BE496" s="197">
        <f t="shared" si="356"/>
        <v>2.6856588919600841E-2</v>
      </c>
      <c r="BF496" s="197">
        <f t="shared" si="323"/>
        <v>0.20773291256157633</v>
      </c>
      <c r="BG496" s="197">
        <f t="shared" si="324"/>
        <v>5.4608303342508187E-4</v>
      </c>
      <c r="BH496" s="197">
        <f t="shared" si="325"/>
        <v>3.5336687086656722E-2</v>
      </c>
      <c r="BI496" s="197">
        <f t="shared" si="357"/>
        <v>0.44730899017824427</v>
      </c>
      <c r="BJ496" s="197">
        <f t="shared" si="326"/>
        <v>6.769615024661003</v>
      </c>
      <c r="BK496" s="288">
        <f t="shared" si="327"/>
        <v>0.93392401361838984</v>
      </c>
      <c r="BL496" s="197">
        <f t="shared" si="328"/>
        <v>0.37608972359227794</v>
      </c>
      <c r="BM496" s="197">
        <f t="shared" si="329"/>
        <v>7.4353030976985271E-2</v>
      </c>
      <c r="BN496" s="197">
        <f t="shared" si="330"/>
        <v>54.461181858619113</v>
      </c>
      <c r="BO496" s="197">
        <f t="shared" si="358"/>
        <v>0.2082789955950014</v>
      </c>
      <c r="BP496" s="197">
        <f t="shared" si="331"/>
        <v>65.620924669625111</v>
      </c>
      <c r="BQ496" s="197">
        <f t="shared" si="332"/>
        <v>9.9596940000000009E-2</v>
      </c>
      <c r="BR496" s="288">
        <f t="shared" si="333"/>
        <v>0.16008975919012108</v>
      </c>
      <c r="BS496" s="197">
        <f t="shared" si="334"/>
        <v>0.11660930017110901</v>
      </c>
      <c r="BT496" s="197">
        <f t="shared" si="335"/>
        <v>0.36419974881911377</v>
      </c>
      <c r="BU496" s="197">
        <f t="shared" si="336"/>
        <v>0.1713930788771201</v>
      </c>
      <c r="BV496" s="197">
        <f t="shared" si="337"/>
        <v>0.53530306917875781</v>
      </c>
      <c r="BW496" s="194"/>
      <c r="BX496" s="194"/>
      <c r="BY496" s="194"/>
      <c r="BZ496" s="194"/>
      <c r="CA496" s="194"/>
      <c r="CB496" s="194"/>
      <c r="CC496" s="194"/>
      <c r="CD496" s="194"/>
      <c r="CE496" s="194"/>
      <c r="CF496" s="194"/>
      <c r="CG496" s="194"/>
      <c r="CH496" s="194"/>
      <c r="CI496" s="194"/>
      <c r="CJ496" s="194"/>
      <c r="CK496" s="194"/>
      <c r="CL496" s="194"/>
      <c r="CM496" s="194"/>
      <c r="CN496" s="194"/>
      <c r="CO496" s="194"/>
      <c r="CP496" s="194"/>
      <c r="CQ496" s="194"/>
      <c r="CR496" s="194"/>
      <c r="CS496" s="194"/>
      <c r="CT496" s="194"/>
      <c r="CU496" s="194"/>
      <c r="CV496" s="194"/>
      <c r="CW496" s="194"/>
      <c r="CX496" s="194"/>
      <c r="CY496" s="194"/>
      <c r="CZ496" s="194"/>
      <c r="DA496" s="194"/>
      <c r="DB496" s="194"/>
      <c r="DC496" s="194"/>
      <c r="DD496" s="194"/>
      <c r="DE496" s="194"/>
      <c r="DF496" s="194"/>
    </row>
    <row r="497" spans="2:110" s="192" customFormat="1" hidden="1" x14ac:dyDescent="0.35">
      <c r="B497" s="289"/>
      <c r="C497" s="289"/>
      <c r="Q497" s="193"/>
      <c r="R497" s="194">
        <f t="shared" si="338"/>
        <v>18</v>
      </c>
      <c r="S497" s="197">
        <f t="shared" si="304"/>
        <v>0.3888888888888889</v>
      </c>
      <c r="T497" s="194">
        <f t="shared" si="359"/>
        <v>0.69</v>
      </c>
      <c r="U497" s="194">
        <f t="shared" si="360"/>
        <v>1.4999999999999999E-4</v>
      </c>
      <c r="V497" s="197">
        <f t="shared" si="339"/>
        <v>0.3888888888888889</v>
      </c>
      <c r="W497" s="197">
        <f t="shared" si="305"/>
        <v>4.3555555555555561E-3</v>
      </c>
      <c r="X497" s="286">
        <f t="shared" si="306"/>
        <v>1</v>
      </c>
      <c r="Y497" s="286">
        <f t="shared" si="307"/>
        <v>0.17335969315081967</v>
      </c>
      <c r="Z497" s="286">
        <f t="shared" si="308"/>
        <v>0.54964853345132902</v>
      </c>
      <c r="AA497" s="286">
        <f t="shared" si="340"/>
        <v>0.17335969315081967</v>
      </c>
      <c r="AB497" s="197">
        <f t="shared" si="309"/>
        <v>0.36419974881911377</v>
      </c>
      <c r="AC497" s="287">
        <f t="shared" si="310"/>
        <v>4.4451203372005044E-7</v>
      </c>
      <c r="AD497" s="197">
        <f t="shared" si="341"/>
        <v>11.693936048110356</v>
      </c>
      <c r="AE497" s="197">
        <f t="shared" si="342"/>
        <v>35.08180814433107</v>
      </c>
      <c r="AF497" s="197">
        <f t="shared" si="343"/>
        <v>8.5178571428571423E-2</v>
      </c>
      <c r="AG497" s="197">
        <f t="shared" si="344"/>
        <v>0.25553571428571431</v>
      </c>
      <c r="AH497" s="197">
        <f t="shared" si="311"/>
        <v>0.11660930017110901</v>
      </c>
      <c r="AI497" s="197">
        <f t="shared" si="345"/>
        <v>0.11660930017110901</v>
      </c>
      <c r="AJ497" s="218">
        <f t="shared" si="312"/>
        <v>390.00000000000006</v>
      </c>
      <c r="AK497" s="197">
        <f t="shared" si="346"/>
        <v>6.0930617977437734E-2</v>
      </c>
      <c r="AL497" s="197">
        <f t="shared" si="347"/>
        <v>9.6203707235237593E-2</v>
      </c>
      <c r="AM497" s="197">
        <f t="shared" si="348"/>
        <v>4.0790371867740751E-3</v>
      </c>
      <c r="AN497" s="197">
        <f t="shared" si="313"/>
        <v>24.05</v>
      </c>
      <c r="AO497" s="197">
        <f t="shared" si="314"/>
        <v>21.69</v>
      </c>
      <c r="AP497" s="197">
        <f t="shared" si="349"/>
        <v>7.4093290390420161E-2</v>
      </c>
      <c r="AQ497" s="197">
        <f t="shared" si="350"/>
        <v>0.42250439890466829</v>
      </c>
      <c r="AR497" s="197">
        <f t="shared" si="351"/>
        <v>0.30589509873355925</v>
      </c>
      <c r="AS497" s="258">
        <f t="shared" si="352"/>
        <v>0.15228632177729159</v>
      </c>
      <c r="AT497" s="197">
        <f t="shared" si="315"/>
        <v>2.5974058656511614E-4</v>
      </c>
      <c r="AU497" s="194">
        <f t="shared" si="316"/>
        <v>21.19</v>
      </c>
      <c r="AV497" s="197">
        <f t="shared" si="317"/>
        <v>2.7E-2</v>
      </c>
      <c r="AW497" s="197">
        <f t="shared" si="318"/>
        <v>3.4260000000000002E-3</v>
      </c>
      <c r="AX497" s="197">
        <f t="shared" si="353"/>
        <v>6.1668000000000001E-2</v>
      </c>
      <c r="AY497" s="197">
        <f t="shared" si="319"/>
        <v>2.8867476000000005E-3</v>
      </c>
      <c r="AZ497" s="197">
        <f t="shared" si="320"/>
        <v>0</v>
      </c>
      <c r="BA497" s="197">
        <f t="shared" si="354"/>
        <v>7.2596940000000013E-2</v>
      </c>
      <c r="BB497" s="258">
        <f t="shared" si="321"/>
        <v>0.36575210336206115</v>
      </c>
      <c r="BC497" s="197">
        <f t="shared" si="322"/>
        <v>2.2380490766334034E-2</v>
      </c>
      <c r="BD497" s="197">
        <f t="shared" si="355"/>
        <v>4.4760981532668068E-3</v>
      </c>
      <c r="BE497" s="197">
        <f t="shared" si="356"/>
        <v>2.6856588919600841E-2</v>
      </c>
      <c r="BF497" s="197">
        <f t="shared" si="323"/>
        <v>0.20773291256157633</v>
      </c>
      <c r="BG497" s="197">
        <f t="shared" si="324"/>
        <v>5.4608303342508187E-4</v>
      </c>
      <c r="BH497" s="197">
        <f t="shared" si="325"/>
        <v>3.5336687086656722E-2</v>
      </c>
      <c r="BI497" s="197">
        <f t="shared" si="357"/>
        <v>0.44730899017824427</v>
      </c>
      <c r="BJ497" s="197">
        <f t="shared" si="326"/>
        <v>6.769615024661003</v>
      </c>
      <c r="BK497" s="288">
        <f t="shared" si="327"/>
        <v>0.93392401361838984</v>
      </c>
      <c r="BL497" s="197">
        <f t="shared" si="328"/>
        <v>0.37608972359227794</v>
      </c>
      <c r="BM497" s="197">
        <f t="shared" si="329"/>
        <v>7.4353030976985271E-2</v>
      </c>
      <c r="BN497" s="197">
        <f t="shared" si="330"/>
        <v>54.461181858619113</v>
      </c>
      <c r="BO497" s="197">
        <f t="shared" si="358"/>
        <v>0.2082789955950014</v>
      </c>
      <c r="BP497" s="197">
        <f t="shared" si="331"/>
        <v>65.620924669625111</v>
      </c>
      <c r="BQ497" s="197">
        <f t="shared" si="332"/>
        <v>9.9596940000000009E-2</v>
      </c>
      <c r="BR497" s="288">
        <f t="shared" si="333"/>
        <v>0.16008975919012108</v>
      </c>
      <c r="BS497" s="197">
        <f t="shared" si="334"/>
        <v>0.11660930017110901</v>
      </c>
      <c r="BT497" s="197">
        <f t="shared" si="335"/>
        <v>0.36419974881911377</v>
      </c>
      <c r="BU497" s="197">
        <f t="shared" si="336"/>
        <v>0.1713930788771201</v>
      </c>
      <c r="BV497" s="197">
        <f t="shared" si="337"/>
        <v>0.53530306917875781</v>
      </c>
      <c r="BW497" s="194"/>
      <c r="BX497" s="194"/>
      <c r="BY497" s="194"/>
      <c r="BZ497" s="194"/>
      <c r="CA497" s="194"/>
      <c r="CB497" s="194"/>
      <c r="CC497" s="194"/>
      <c r="CD497" s="194"/>
      <c r="CE497" s="194"/>
      <c r="CF497" s="194"/>
      <c r="CG497" s="194"/>
      <c r="CH497" s="194"/>
      <c r="CI497" s="194"/>
      <c r="CJ497" s="194"/>
      <c r="CK497" s="194"/>
      <c r="CL497" s="194"/>
      <c r="CM497" s="194"/>
      <c r="CN497" s="194"/>
      <c r="CO497" s="194"/>
      <c r="CP497" s="194"/>
      <c r="CQ497" s="194"/>
      <c r="CR497" s="194"/>
      <c r="CS497" s="194"/>
      <c r="CT497" s="194"/>
      <c r="CU497" s="194"/>
      <c r="CV497" s="194"/>
      <c r="CW497" s="194"/>
      <c r="CX497" s="194"/>
      <c r="CY497" s="194"/>
      <c r="CZ497" s="194"/>
      <c r="DA497" s="194"/>
      <c r="DB497" s="194"/>
      <c r="DC497" s="194"/>
      <c r="DD497" s="194"/>
      <c r="DE497" s="194"/>
      <c r="DF497" s="194"/>
    </row>
    <row r="498" spans="2:110" s="192" customFormat="1" hidden="1" x14ac:dyDescent="0.35">
      <c r="B498" s="289"/>
      <c r="C498" s="289"/>
      <c r="Q498" s="193"/>
      <c r="R498" s="194">
        <f t="shared" si="338"/>
        <v>18</v>
      </c>
      <c r="S498" s="197">
        <f t="shared" si="304"/>
        <v>0.3888888888888889</v>
      </c>
      <c r="T498" s="194">
        <f t="shared" si="359"/>
        <v>0.69</v>
      </c>
      <c r="U498" s="194">
        <f t="shared" si="360"/>
        <v>1.4999999999999999E-4</v>
      </c>
      <c r="V498" s="197">
        <f t="shared" si="339"/>
        <v>0.3888888888888889</v>
      </c>
      <c r="W498" s="197">
        <f t="shared" si="305"/>
        <v>4.3555555555555561E-3</v>
      </c>
      <c r="X498" s="286">
        <f t="shared" si="306"/>
        <v>1</v>
      </c>
      <c r="Y498" s="286">
        <f t="shared" si="307"/>
        <v>0.17335969315081967</v>
      </c>
      <c r="Z498" s="286">
        <f t="shared" si="308"/>
        <v>0.54964853345132902</v>
      </c>
      <c r="AA498" s="286">
        <f t="shared" si="340"/>
        <v>0.17335969315081967</v>
      </c>
      <c r="AB498" s="197">
        <f t="shared" si="309"/>
        <v>0.36419974881911377</v>
      </c>
      <c r="AC498" s="287">
        <f t="shared" si="310"/>
        <v>4.4451203372005044E-7</v>
      </c>
      <c r="AD498" s="197">
        <f t="shared" si="341"/>
        <v>11.693936048110356</v>
      </c>
      <c r="AE498" s="197">
        <f t="shared" si="342"/>
        <v>35.08180814433107</v>
      </c>
      <c r="AF498" s="197">
        <f t="shared" si="343"/>
        <v>8.5178571428571423E-2</v>
      </c>
      <c r="AG498" s="197">
        <f t="shared" si="344"/>
        <v>0.25553571428571431</v>
      </c>
      <c r="AH498" s="197">
        <f t="shared" si="311"/>
        <v>0.11660930017110901</v>
      </c>
      <c r="AI498" s="197">
        <f t="shared" si="345"/>
        <v>0.11660930017110901</v>
      </c>
      <c r="AJ498" s="218">
        <f t="shared" si="312"/>
        <v>390.00000000000006</v>
      </c>
      <c r="AK498" s="197">
        <f t="shared" si="346"/>
        <v>6.0930617977437734E-2</v>
      </c>
      <c r="AL498" s="197">
        <f t="shared" si="347"/>
        <v>9.6203707235237593E-2</v>
      </c>
      <c r="AM498" s="197">
        <f t="shared" si="348"/>
        <v>4.0790371867740751E-3</v>
      </c>
      <c r="AN498" s="197">
        <f t="shared" si="313"/>
        <v>24.05</v>
      </c>
      <c r="AO498" s="197">
        <f t="shared" si="314"/>
        <v>21.69</v>
      </c>
      <c r="AP498" s="197">
        <f t="shared" si="349"/>
        <v>7.4093290390420161E-2</v>
      </c>
      <c r="AQ498" s="197">
        <f t="shared" si="350"/>
        <v>0.42250439890466829</v>
      </c>
      <c r="AR498" s="197">
        <f t="shared" si="351"/>
        <v>0.30589509873355925</v>
      </c>
      <c r="AS498" s="258">
        <f t="shared" si="352"/>
        <v>0.15228632177729159</v>
      </c>
      <c r="AT498" s="197">
        <f t="shared" si="315"/>
        <v>2.5974058656511614E-4</v>
      </c>
      <c r="AU498" s="194">
        <f t="shared" si="316"/>
        <v>21.19</v>
      </c>
      <c r="AV498" s="197">
        <f t="shared" si="317"/>
        <v>2.7E-2</v>
      </c>
      <c r="AW498" s="197">
        <f t="shared" si="318"/>
        <v>3.4260000000000002E-3</v>
      </c>
      <c r="AX498" s="197">
        <f t="shared" si="353"/>
        <v>6.1668000000000001E-2</v>
      </c>
      <c r="AY498" s="197">
        <f t="shared" si="319"/>
        <v>2.8867476000000005E-3</v>
      </c>
      <c r="AZ498" s="197">
        <f t="shared" si="320"/>
        <v>0</v>
      </c>
      <c r="BA498" s="197">
        <f t="shared" si="354"/>
        <v>7.2596940000000013E-2</v>
      </c>
      <c r="BB498" s="258">
        <f t="shared" si="321"/>
        <v>0.36575210336206115</v>
      </c>
      <c r="BC498" s="197">
        <f t="shared" si="322"/>
        <v>2.2380490766334034E-2</v>
      </c>
      <c r="BD498" s="197">
        <f t="shared" si="355"/>
        <v>4.4760981532668068E-3</v>
      </c>
      <c r="BE498" s="197">
        <f t="shared" si="356"/>
        <v>2.6856588919600841E-2</v>
      </c>
      <c r="BF498" s="197">
        <f t="shared" si="323"/>
        <v>0.20773291256157633</v>
      </c>
      <c r="BG498" s="197">
        <f t="shared" si="324"/>
        <v>5.4608303342508187E-4</v>
      </c>
      <c r="BH498" s="197">
        <f t="shared" si="325"/>
        <v>3.5336687086656722E-2</v>
      </c>
      <c r="BI498" s="197">
        <f t="shared" si="357"/>
        <v>0.44730899017824427</v>
      </c>
      <c r="BJ498" s="197">
        <f t="shared" si="326"/>
        <v>6.769615024661003</v>
      </c>
      <c r="BK498" s="288">
        <f t="shared" si="327"/>
        <v>0.93392401361838984</v>
      </c>
      <c r="BL498" s="197">
        <f t="shared" si="328"/>
        <v>0.37608972359227794</v>
      </c>
      <c r="BM498" s="197">
        <f t="shared" si="329"/>
        <v>7.4353030976985271E-2</v>
      </c>
      <c r="BN498" s="197">
        <f t="shared" si="330"/>
        <v>54.461181858619113</v>
      </c>
      <c r="BO498" s="197">
        <f t="shared" si="358"/>
        <v>0.2082789955950014</v>
      </c>
      <c r="BP498" s="197">
        <f t="shared" si="331"/>
        <v>65.620924669625111</v>
      </c>
      <c r="BQ498" s="197">
        <f t="shared" si="332"/>
        <v>9.9596940000000009E-2</v>
      </c>
      <c r="BR498" s="288">
        <f t="shared" si="333"/>
        <v>0.16008975919012108</v>
      </c>
      <c r="BS498" s="197">
        <f t="shared" si="334"/>
        <v>0.11660930017110901</v>
      </c>
      <c r="BT498" s="197">
        <f t="shared" si="335"/>
        <v>0.36419974881911377</v>
      </c>
      <c r="BU498" s="197">
        <f t="shared" si="336"/>
        <v>0.1713930788771201</v>
      </c>
      <c r="BV498" s="197">
        <f t="shared" si="337"/>
        <v>0.53530306917875781</v>
      </c>
      <c r="BW498" s="194"/>
      <c r="BX498" s="194"/>
      <c r="BY498" s="194"/>
      <c r="BZ498" s="194"/>
      <c r="CA498" s="194"/>
      <c r="CB498" s="194"/>
      <c r="CC498" s="194"/>
      <c r="CD498" s="194"/>
      <c r="CE498" s="194"/>
      <c r="CF498" s="194"/>
      <c r="CG498" s="194"/>
      <c r="CH498" s="194"/>
      <c r="CI498" s="194"/>
      <c r="CJ498" s="194"/>
      <c r="CK498" s="194"/>
      <c r="CL498" s="194"/>
      <c r="CM498" s="194"/>
      <c r="CN498" s="194"/>
      <c r="CO498" s="194"/>
      <c r="CP498" s="194"/>
      <c r="CQ498" s="194"/>
      <c r="CR498" s="194"/>
      <c r="CS498" s="194"/>
      <c r="CT498" s="194"/>
      <c r="CU498" s="194"/>
      <c r="CV498" s="194"/>
      <c r="CW498" s="194"/>
      <c r="CX498" s="194"/>
      <c r="CY498" s="194"/>
      <c r="CZ498" s="194"/>
      <c r="DA498" s="194"/>
      <c r="DB498" s="194"/>
      <c r="DC498" s="194"/>
      <c r="DD498" s="194"/>
      <c r="DE498" s="194"/>
      <c r="DF498" s="194"/>
    </row>
    <row r="499" spans="2:110" s="192" customFormat="1" hidden="1" x14ac:dyDescent="0.35">
      <c r="B499" s="289"/>
      <c r="C499" s="289"/>
      <c r="Q499" s="193"/>
      <c r="R499" s="194">
        <f t="shared" si="338"/>
        <v>18</v>
      </c>
      <c r="S499" s="197">
        <f t="shared" si="304"/>
        <v>0.3888888888888889</v>
      </c>
      <c r="T499" s="194">
        <f t="shared" si="359"/>
        <v>0.69</v>
      </c>
      <c r="U499" s="194">
        <f t="shared" si="360"/>
        <v>1.4999999999999999E-4</v>
      </c>
      <c r="V499" s="197">
        <f t="shared" si="339"/>
        <v>0.3888888888888889</v>
      </c>
      <c r="W499" s="197">
        <f t="shared" si="305"/>
        <v>4.3555555555555561E-3</v>
      </c>
      <c r="X499" s="286">
        <f t="shared" si="306"/>
        <v>1</v>
      </c>
      <c r="Y499" s="286">
        <f t="shared" si="307"/>
        <v>0.17335969315081967</v>
      </c>
      <c r="Z499" s="286">
        <f t="shared" si="308"/>
        <v>0.54964853345132902</v>
      </c>
      <c r="AA499" s="286">
        <f t="shared" si="340"/>
        <v>0.17335969315081967</v>
      </c>
      <c r="AB499" s="197">
        <f t="shared" si="309"/>
        <v>0.36419974881911377</v>
      </c>
      <c r="AC499" s="287">
        <f t="shared" si="310"/>
        <v>4.4451203372005044E-7</v>
      </c>
      <c r="AD499" s="197">
        <f t="shared" si="341"/>
        <v>11.693936048110356</v>
      </c>
      <c r="AE499" s="197">
        <f t="shared" si="342"/>
        <v>35.08180814433107</v>
      </c>
      <c r="AF499" s="197">
        <f t="shared" si="343"/>
        <v>8.5178571428571423E-2</v>
      </c>
      <c r="AG499" s="197">
        <f t="shared" si="344"/>
        <v>0.25553571428571431</v>
      </c>
      <c r="AH499" s="197">
        <f t="shared" si="311"/>
        <v>0.11660930017110901</v>
      </c>
      <c r="AI499" s="197">
        <f t="shared" si="345"/>
        <v>0.11660930017110901</v>
      </c>
      <c r="AJ499" s="218">
        <f t="shared" si="312"/>
        <v>390.00000000000006</v>
      </c>
      <c r="AK499" s="197">
        <f t="shared" si="346"/>
        <v>6.0930617977437734E-2</v>
      </c>
      <c r="AL499" s="197">
        <f t="shared" si="347"/>
        <v>9.6203707235237593E-2</v>
      </c>
      <c r="AM499" s="197">
        <f t="shared" si="348"/>
        <v>4.0790371867740751E-3</v>
      </c>
      <c r="AN499" s="197">
        <f t="shared" si="313"/>
        <v>24.05</v>
      </c>
      <c r="AO499" s="197">
        <f t="shared" si="314"/>
        <v>21.69</v>
      </c>
      <c r="AP499" s="197">
        <f t="shared" si="349"/>
        <v>7.4093290390420161E-2</v>
      </c>
      <c r="AQ499" s="197">
        <f t="shared" si="350"/>
        <v>0.42250439890466829</v>
      </c>
      <c r="AR499" s="197">
        <f t="shared" si="351"/>
        <v>0.30589509873355925</v>
      </c>
      <c r="AS499" s="258">
        <f t="shared" si="352"/>
        <v>0.15228632177729159</v>
      </c>
      <c r="AT499" s="197">
        <f t="shared" si="315"/>
        <v>2.5974058656511614E-4</v>
      </c>
      <c r="AU499" s="194">
        <f t="shared" si="316"/>
        <v>21.19</v>
      </c>
      <c r="AV499" s="197">
        <f t="shared" si="317"/>
        <v>2.7E-2</v>
      </c>
      <c r="AW499" s="197">
        <f t="shared" si="318"/>
        <v>3.4260000000000002E-3</v>
      </c>
      <c r="AX499" s="197">
        <f t="shared" si="353"/>
        <v>6.1668000000000001E-2</v>
      </c>
      <c r="AY499" s="197">
        <f t="shared" si="319"/>
        <v>2.8867476000000005E-3</v>
      </c>
      <c r="AZ499" s="197">
        <f t="shared" si="320"/>
        <v>0</v>
      </c>
      <c r="BA499" s="197">
        <f t="shared" si="354"/>
        <v>7.2596940000000013E-2</v>
      </c>
      <c r="BB499" s="258">
        <f t="shared" si="321"/>
        <v>0.36575210336206115</v>
      </c>
      <c r="BC499" s="197">
        <f t="shared" si="322"/>
        <v>2.2380490766334034E-2</v>
      </c>
      <c r="BD499" s="197">
        <f t="shared" si="355"/>
        <v>4.4760981532668068E-3</v>
      </c>
      <c r="BE499" s="197">
        <f t="shared" si="356"/>
        <v>2.6856588919600841E-2</v>
      </c>
      <c r="BF499" s="197">
        <f t="shared" si="323"/>
        <v>0.20773291256157633</v>
      </c>
      <c r="BG499" s="197">
        <f t="shared" si="324"/>
        <v>5.4608303342508187E-4</v>
      </c>
      <c r="BH499" s="197">
        <f t="shared" si="325"/>
        <v>3.5336687086656722E-2</v>
      </c>
      <c r="BI499" s="197">
        <f t="shared" si="357"/>
        <v>0.44730899017824427</v>
      </c>
      <c r="BJ499" s="197">
        <f t="shared" si="326"/>
        <v>6.769615024661003</v>
      </c>
      <c r="BK499" s="288">
        <f t="shared" si="327"/>
        <v>0.93392401361838984</v>
      </c>
      <c r="BL499" s="197">
        <f t="shared" si="328"/>
        <v>0.37608972359227794</v>
      </c>
      <c r="BM499" s="197">
        <f t="shared" si="329"/>
        <v>7.4353030976985271E-2</v>
      </c>
      <c r="BN499" s="197">
        <f t="shared" si="330"/>
        <v>54.461181858619113</v>
      </c>
      <c r="BO499" s="197">
        <f t="shared" si="358"/>
        <v>0.2082789955950014</v>
      </c>
      <c r="BP499" s="197">
        <f t="shared" si="331"/>
        <v>65.620924669625111</v>
      </c>
      <c r="BQ499" s="197">
        <f t="shared" si="332"/>
        <v>9.9596940000000009E-2</v>
      </c>
      <c r="BR499" s="288">
        <f t="shared" si="333"/>
        <v>0.16008975919012108</v>
      </c>
      <c r="BS499" s="197">
        <f t="shared" si="334"/>
        <v>0.11660930017110901</v>
      </c>
      <c r="BT499" s="197">
        <f t="shared" si="335"/>
        <v>0.36419974881911377</v>
      </c>
      <c r="BU499" s="197">
        <f t="shared" si="336"/>
        <v>0.1713930788771201</v>
      </c>
      <c r="BV499" s="197">
        <f t="shared" si="337"/>
        <v>0.53530306917875781</v>
      </c>
      <c r="BW499" s="194"/>
      <c r="BX499" s="194"/>
      <c r="BY499" s="194"/>
      <c r="BZ499" s="194"/>
      <c r="CA499" s="194"/>
      <c r="CB499" s="194"/>
      <c r="CC499" s="194"/>
      <c r="CD499" s="194"/>
      <c r="CE499" s="194"/>
      <c r="CF499" s="194"/>
      <c r="CG499" s="194"/>
      <c r="CH499" s="194"/>
      <c r="CI499" s="194"/>
      <c r="CJ499" s="194"/>
      <c r="CK499" s="194"/>
      <c r="CL499" s="194"/>
      <c r="CM499" s="194"/>
      <c r="CN499" s="194"/>
      <c r="CO499" s="194"/>
      <c r="CP499" s="194"/>
      <c r="CQ499" s="194"/>
      <c r="CR499" s="194"/>
      <c r="CS499" s="194"/>
      <c r="CT499" s="194"/>
      <c r="CU499" s="194"/>
      <c r="CV499" s="194"/>
      <c r="CW499" s="194"/>
      <c r="CX499" s="194"/>
      <c r="CY499" s="194"/>
      <c r="CZ499" s="194"/>
      <c r="DA499" s="194"/>
      <c r="DB499" s="194"/>
      <c r="DC499" s="194"/>
      <c r="DD499" s="194"/>
      <c r="DE499" s="194"/>
      <c r="DF499" s="194"/>
    </row>
    <row r="500" spans="2:110" s="192" customFormat="1" hidden="1" x14ac:dyDescent="0.35">
      <c r="B500" s="289"/>
      <c r="C500" s="289"/>
      <c r="Q500" s="193"/>
      <c r="R500" s="194">
        <f t="shared" si="338"/>
        <v>18</v>
      </c>
      <c r="S500" s="197">
        <f t="shared" si="304"/>
        <v>0.3888888888888889</v>
      </c>
      <c r="T500" s="194">
        <f t="shared" si="359"/>
        <v>0.69</v>
      </c>
      <c r="U500" s="194">
        <f t="shared" si="360"/>
        <v>1.4999999999999999E-4</v>
      </c>
      <c r="V500" s="197">
        <f t="shared" si="339"/>
        <v>0.3888888888888889</v>
      </c>
      <c r="W500" s="197">
        <f t="shared" si="305"/>
        <v>4.3555555555555561E-3</v>
      </c>
      <c r="X500" s="286">
        <f t="shared" si="306"/>
        <v>1</v>
      </c>
      <c r="Y500" s="286">
        <f t="shared" si="307"/>
        <v>0.17335969315081967</v>
      </c>
      <c r="Z500" s="286">
        <f t="shared" si="308"/>
        <v>0.54964853345132902</v>
      </c>
      <c r="AA500" s="286">
        <f t="shared" si="340"/>
        <v>0.17335969315081967</v>
      </c>
      <c r="AB500" s="197">
        <f t="shared" si="309"/>
        <v>0.36419974881911377</v>
      </c>
      <c r="AC500" s="287">
        <f t="shared" si="310"/>
        <v>4.4451203372005044E-7</v>
      </c>
      <c r="AD500" s="197">
        <f t="shared" si="341"/>
        <v>11.693936048110356</v>
      </c>
      <c r="AE500" s="197">
        <f t="shared" si="342"/>
        <v>35.08180814433107</v>
      </c>
      <c r="AF500" s="197">
        <f t="shared" si="343"/>
        <v>8.5178571428571423E-2</v>
      </c>
      <c r="AG500" s="197">
        <f t="shared" si="344"/>
        <v>0.25553571428571431</v>
      </c>
      <c r="AH500" s="197">
        <f t="shared" si="311"/>
        <v>0.11660930017110901</v>
      </c>
      <c r="AI500" s="197">
        <f t="shared" si="345"/>
        <v>0.11660930017110901</v>
      </c>
      <c r="AJ500" s="218">
        <f t="shared" si="312"/>
        <v>390.00000000000006</v>
      </c>
      <c r="AK500" s="197">
        <f t="shared" si="346"/>
        <v>6.0930617977437734E-2</v>
      </c>
      <c r="AL500" s="197">
        <f t="shared" si="347"/>
        <v>9.6203707235237593E-2</v>
      </c>
      <c r="AM500" s="197">
        <f t="shared" si="348"/>
        <v>4.0790371867740751E-3</v>
      </c>
      <c r="AN500" s="197">
        <f t="shared" si="313"/>
        <v>24.05</v>
      </c>
      <c r="AO500" s="197">
        <f t="shared" si="314"/>
        <v>21.69</v>
      </c>
      <c r="AP500" s="197">
        <f t="shared" si="349"/>
        <v>7.4093290390420161E-2</v>
      </c>
      <c r="AQ500" s="197">
        <f t="shared" si="350"/>
        <v>0.42250439890466829</v>
      </c>
      <c r="AR500" s="197">
        <f t="shared" si="351"/>
        <v>0.30589509873355925</v>
      </c>
      <c r="AS500" s="258">
        <f t="shared" si="352"/>
        <v>0.15228632177729159</v>
      </c>
      <c r="AT500" s="197">
        <f t="shared" si="315"/>
        <v>2.5974058656511614E-4</v>
      </c>
      <c r="AU500" s="194">
        <f t="shared" si="316"/>
        <v>21.19</v>
      </c>
      <c r="AV500" s="197">
        <f t="shared" si="317"/>
        <v>2.7E-2</v>
      </c>
      <c r="AW500" s="197">
        <f t="shared" si="318"/>
        <v>3.4260000000000002E-3</v>
      </c>
      <c r="AX500" s="197">
        <f t="shared" si="353"/>
        <v>6.1668000000000001E-2</v>
      </c>
      <c r="AY500" s="197">
        <f t="shared" si="319"/>
        <v>2.8867476000000005E-3</v>
      </c>
      <c r="AZ500" s="197">
        <f t="shared" si="320"/>
        <v>0</v>
      </c>
      <c r="BA500" s="197">
        <f t="shared" si="354"/>
        <v>7.2596940000000013E-2</v>
      </c>
      <c r="BB500" s="258">
        <f t="shared" si="321"/>
        <v>0.36575210336206115</v>
      </c>
      <c r="BC500" s="197">
        <f t="shared" si="322"/>
        <v>2.2380490766334034E-2</v>
      </c>
      <c r="BD500" s="197">
        <f t="shared" si="355"/>
        <v>4.4760981532668068E-3</v>
      </c>
      <c r="BE500" s="197">
        <f t="shared" si="356"/>
        <v>2.6856588919600841E-2</v>
      </c>
      <c r="BF500" s="197">
        <f t="shared" si="323"/>
        <v>0.20773291256157633</v>
      </c>
      <c r="BG500" s="197">
        <f t="shared" si="324"/>
        <v>5.4608303342508187E-4</v>
      </c>
      <c r="BH500" s="197">
        <f t="shared" si="325"/>
        <v>3.5336687086656722E-2</v>
      </c>
      <c r="BI500" s="197">
        <f t="shared" si="357"/>
        <v>0.44730899017824427</v>
      </c>
      <c r="BJ500" s="197">
        <f t="shared" si="326"/>
        <v>6.769615024661003</v>
      </c>
      <c r="BK500" s="288">
        <f t="shared" si="327"/>
        <v>0.93392401361838984</v>
      </c>
      <c r="BL500" s="197">
        <f t="shared" si="328"/>
        <v>0.37608972359227794</v>
      </c>
      <c r="BM500" s="197">
        <f t="shared" si="329"/>
        <v>7.4353030976985271E-2</v>
      </c>
      <c r="BN500" s="197">
        <f t="shared" si="330"/>
        <v>54.461181858619113</v>
      </c>
      <c r="BO500" s="197">
        <f t="shared" si="358"/>
        <v>0.2082789955950014</v>
      </c>
      <c r="BP500" s="197">
        <f t="shared" si="331"/>
        <v>65.620924669625111</v>
      </c>
      <c r="BQ500" s="197">
        <f t="shared" si="332"/>
        <v>9.9596940000000009E-2</v>
      </c>
      <c r="BR500" s="288">
        <f t="shared" si="333"/>
        <v>0.16008975919012108</v>
      </c>
      <c r="BS500" s="197">
        <f t="shared" si="334"/>
        <v>0.11660930017110901</v>
      </c>
      <c r="BT500" s="197">
        <f t="shared" si="335"/>
        <v>0.36419974881911377</v>
      </c>
      <c r="BU500" s="197">
        <f t="shared" si="336"/>
        <v>0.1713930788771201</v>
      </c>
      <c r="BV500" s="197">
        <f t="shared" si="337"/>
        <v>0.53530306917875781</v>
      </c>
      <c r="BW500" s="194"/>
      <c r="BX500" s="194"/>
      <c r="BY500" s="194"/>
      <c r="BZ500" s="194"/>
      <c r="CA500" s="194"/>
      <c r="CB500" s="194"/>
      <c r="CC500" s="194"/>
      <c r="CD500" s="194"/>
      <c r="CE500" s="194"/>
      <c r="CF500" s="194"/>
      <c r="CG500" s="194"/>
      <c r="CH500" s="194"/>
      <c r="CI500" s="194"/>
      <c r="CJ500" s="194"/>
      <c r="CK500" s="194"/>
      <c r="CL500" s="194"/>
      <c r="CM500" s="194"/>
      <c r="CN500" s="194"/>
      <c r="CO500" s="194"/>
      <c r="CP500" s="194"/>
      <c r="CQ500" s="194"/>
      <c r="CR500" s="194"/>
      <c r="CS500" s="194"/>
      <c r="CT500" s="194"/>
      <c r="CU500" s="194"/>
      <c r="CV500" s="194"/>
      <c r="CW500" s="194"/>
      <c r="CX500" s="194"/>
      <c r="CY500" s="194"/>
      <c r="CZ500" s="194"/>
      <c r="DA500" s="194"/>
      <c r="DB500" s="194"/>
      <c r="DC500" s="194"/>
      <c r="DD500" s="194"/>
      <c r="DE500" s="194"/>
      <c r="DF500" s="194"/>
    </row>
    <row r="501" spans="2:110" s="192" customFormat="1" hidden="1" x14ac:dyDescent="0.35">
      <c r="B501" s="289"/>
      <c r="C501" s="289"/>
      <c r="Q501" s="193"/>
      <c r="R501" s="194">
        <f t="shared" si="338"/>
        <v>18</v>
      </c>
      <c r="S501" s="197">
        <f t="shared" si="304"/>
        <v>0.3888888888888889</v>
      </c>
      <c r="T501" s="194">
        <f t="shared" si="359"/>
        <v>0.69</v>
      </c>
      <c r="U501" s="194">
        <f t="shared" si="360"/>
        <v>1.4999999999999999E-4</v>
      </c>
      <c r="V501" s="197">
        <f t="shared" si="339"/>
        <v>0.3888888888888889</v>
      </c>
      <c r="W501" s="197">
        <f t="shared" si="305"/>
        <v>4.3555555555555561E-3</v>
      </c>
      <c r="X501" s="286">
        <f t="shared" si="306"/>
        <v>1</v>
      </c>
      <c r="Y501" s="286">
        <f t="shared" si="307"/>
        <v>0.17335969315081967</v>
      </c>
      <c r="Z501" s="286">
        <f t="shared" si="308"/>
        <v>0.54964853345132902</v>
      </c>
      <c r="AA501" s="286">
        <f t="shared" si="340"/>
        <v>0.17335969315081967</v>
      </c>
      <c r="AB501" s="197">
        <f t="shared" si="309"/>
        <v>0.36419974881911377</v>
      </c>
      <c r="AC501" s="287">
        <f t="shared" si="310"/>
        <v>4.4451203372005044E-7</v>
      </c>
      <c r="AD501" s="197">
        <f t="shared" si="341"/>
        <v>11.693936048110356</v>
      </c>
      <c r="AE501" s="197">
        <f t="shared" si="342"/>
        <v>35.08180814433107</v>
      </c>
      <c r="AF501" s="197">
        <f t="shared" si="343"/>
        <v>8.5178571428571423E-2</v>
      </c>
      <c r="AG501" s="197">
        <f t="shared" si="344"/>
        <v>0.25553571428571431</v>
      </c>
      <c r="AH501" s="197">
        <f t="shared" si="311"/>
        <v>0.11660930017110901</v>
      </c>
      <c r="AI501" s="197">
        <f t="shared" si="345"/>
        <v>0.11660930017110901</v>
      </c>
      <c r="AJ501" s="218">
        <f t="shared" si="312"/>
        <v>390.00000000000006</v>
      </c>
      <c r="AK501" s="197">
        <f t="shared" si="346"/>
        <v>6.0930617977437734E-2</v>
      </c>
      <c r="AL501" s="197">
        <f t="shared" si="347"/>
        <v>9.6203707235237593E-2</v>
      </c>
      <c r="AM501" s="197">
        <f t="shared" si="348"/>
        <v>4.0790371867740751E-3</v>
      </c>
      <c r="AN501" s="197">
        <f t="shared" si="313"/>
        <v>24.05</v>
      </c>
      <c r="AO501" s="197">
        <f t="shared" si="314"/>
        <v>21.69</v>
      </c>
      <c r="AP501" s="197">
        <f t="shared" si="349"/>
        <v>7.4093290390420161E-2</v>
      </c>
      <c r="AQ501" s="197">
        <f t="shared" si="350"/>
        <v>0.42250439890466829</v>
      </c>
      <c r="AR501" s="197">
        <f t="shared" si="351"/>
        <v>0.30589509873355925</v>
      </c>
      <c r="AS501" s="258">
        <f t="shared" si="352"/>
        <v>0.15228632177729159</v>
      </c>
      <c r="AT501" s="197">
        <f t="shared" si="315"/>
        <v>2.5974058656511614E-4</v>
      </c>
      <c r="AU501" s="194">
        <f t="shared" si="316"/>
        <v>21.19</v>
      </c>
      <c r="AV501" s="197">
        <f t="shared" si="317"/>
        <v>2.7E-2</v>
      </c>
      <c r="AW501" s="197">
        <f t="shared" si="318"/>
        <v>3.4260000000000002E-3</v>
      </c>
      <c r="AX501" s="197">
        <f t="shared" si="353"/>
        <v>6.1668000000000001E-2</v>
      </c>
      <c r="AY501" s="197">
        <f t="shared" si="319"/>
        <v>2.8867476000000005E-3</v>
      </c>
      <c r="AZ501" s="197">
        <f t="shared" si="320"/>
        <v>0</v>
      </c>
      <c r="BA501" s="197">
        <f t="shared" si="354"/>
        <v>7.2596940000000013E-2</v>
      </c>
      <c r="BB501" s="258">
        <f t="shared" si="321"/>
        <v>0.36575210336206115</v>
      </c>
      <c r="BC501" s="197">
        <f t="shared" si="322"/>
        <v>2.2380490766334034E-2</v>
      </c>
      <c r="BD501" s="197">
        <f t="shared" si="355"/>
        <v>4.4760981532668068E-3</v>
      </c>
      <c r="BE501" s="197">
        <f t="shared" si="356"/>
        <v>2.6856588919600841E-2</v>
      </c>
      <c r="BF501" s="197">
        <f t="shared" si="323"/>
        <v>0.20773291256157633</v>
      </c>
      <c r="BG501" s="197">
        <f t="shared" si="324"/>
        <v>5.4608303342508187E-4</v>
      </c>
      <c r="BH501" s="197">
        <f t="shared" si="325"/>
        <v>3.5336687086656722E-2</v>
      </c>
      <c r="BI501" s="197">
        <f t="shared" si="357"/>
        <v>0.44730899017824427</v>
      </c>
      <c r="BJ501" s="197">
        <f t="shared" si="326"/>
        <v>6.769615024661003</v>
      </c>
      <c r="BK501" s="288">
        <f t="shared" si="327"/>
        <v>0.93392401361838984</v>
      </c>
      <c r="BL501" s="197">
        <f t="shared" si="328"/>
        <v>0.37608972359227794</v>
      </c>
      <c r="BM501" s="197">
        <f t="shared" si="329"/>
        <v>7.4353030976985271E-2</v>
      </c>
      <c r="BN501" s="197">
        <f t="shared" si="330"/>
        <v>54.461181858619113</v>
      </c>
      <c r="BO501" s="197">
        <f t="shared" si="358"/>
        <v>0.2082789955950014</v>
      </c>
      <c r="BP501" s="197">
        <f t="shared" si="331"/>
        <v>65.620924669625111</v>
      </c>
      <c r="BQ501" s="197">
        <f t="shared" si="332"/>
        <v>9.9596940000000009E-2</v>
      </c>
      <c r="BR501" s="288">
        <f t="shared" si="333"/>
        <v>0.16008975919012108</v>
      </c>
      <c r="BS501" s="197">
        <f t="shared" si="334"/>
        <v>0.11660930017110901</v>
      </c>
      <c r="BT501" s="197">
        <f t="shared" si="335"/>
        <v>0.36419974881911377</v>
      </c>
      <c r="BU501" s="197">
        <f t="shared" si="336"/>
        <v>0.1713930788771201</v>
      </c>
      <c r="BV501" s="197">
        <f t="shared" si="337"/>
        <v>0.53530306917875781</v>
      </c>
      <c r="BW501" s="194"/>
      <c r="BX501" s="194"/>
      <c r="BY501" s="194"/>
      <c r="BZ501" s="194"/>
      <c r="CA501" s="194"/>
      <c r="CB501" s="194"/>
      <c r="CC501" s="194"/>
      <c r="CD501" s="194"/>
      <c r="CE501" s="194"/>
      <c r="CF501" s="194"/>
      <c r="CG501" s="194"/>
      <c r="CH501" s="194"/>
      <c r="CI501" s="194"/>
      <c r="CJ501" s="194"/>
      <c r="CK501" s="194"/>
      <c r="CL501" s="194"/>
      <c r="CM501" s="194"/>
      <c r="CN501" s="194"/>
      <c r="CO501" s="194"/>
      <c r="CP501" s="194"/>
      <c r="CQ501" s="194"/>
      <c r="CR501" s="194"/>
      <c r="CS501" s="194"/>
      <c r="CT501" s="194"/>
      <c r="CU501" s="194"/>
      <c r="CV501" s="194"/>
      <c r="CW501" s="194"/>
      <c r="CX501" s="194"/>
      <c r="CY501" s="194"/>
      <c r="CZ501" s="194"/>
      <c r="DA501" s="194"/>
      <c r="DB501" s="194"/>
      <c r="DC501" s="194"/>
      <c r="DD501" s="194"/>
      <c r="DE501" s="194"/>
      <c r="DF501" s="194"/>
    </row>
    <row r="502" spans="2:110" s="192" customFormat="1" hidden="1" x14ac:dyDescent="0.35">
      <c r="B502" s="289"/>
      <c r="C502" s="289"/>
      <c r="Q502" s="193"/>
      <c r="R502" s="194">
        <f t="shared" si="338"/>
        <v>18</v>
      </c>
      <c r="S502" s="197">
        <f t="shared" si="304"/>
        <v>0.3888888888888889</v>
      </c>
      <c r="T502" s="194">
        <f t="shared" si="359"/>
        <v>0.69</v>
      </c>
      <c r="U502" s="194">
        <f t="shared" si="360"/>
        <v>1.4999999999999999E-4</v>
      </c>
      <c r="V502" s="197">
        <f t="shared" si="339"/>
        <v>0.3888888888888889</v>
      </c>
      <c r="W502" s="197">
        <f t="shared" si="305"/>
        <v>4.3555555555555561E-3</v>
      </c>
      <c r="X502" s="286">
        <f t="shared" si="306"/>
        <v>1</v>
      </c>
      <c r="Y502" s="286">
        <f t="shared" si="307"/>
        <v>0.17335969315081967</v>
      </c>
      <c r="Z502" s="286">
        <f t="shared" si="308"/>
        <v>0.54964853345132902</v>
      </c>
      <c r="AA502" s="286">
        <f t="shared" si="340"/>
        <v>0.17335969315081967</v>
      </c>
      <c r="AB502" s="197">
        <f t="shared" si="309"/>
        <v>0.36419974881911377</v>
      </c>
      <c r="AC502" s="287">
        <f t="shared" si="310"/>
        <v>4.4451203372005044E-7</v>
      </c>
      <c r="AD502" s="197">
        <f t="shared" si="341"/>
        <v>11.693936048110356</v>
      </c>
      <c r="AE502" s="197">
        <f t="shared" si="342"/>
        <v>35.08180814433107</v>
      </c>
      <c r="AF502" s="197">
        <f t="shared" si="343"/>
        <v>8.5178571428571423E-2</v>
      </c>
      <c r="AG502" s="197">
        <f t="shared" si="344"/>
        <v>0.25553571428571431</v>
      </c>
      <c r="AH502" s="197">
        <f t="shared" si="311"/>
        <v>0.11660930017110901</v>
      </c>
      <c r="AI502" s="197">
        <f t="shared" si="345"/>
        <v>0.11660930017110901</v>
      </c>
      <c r="AJ502" s="218">
        <f t="shared" si="312"/>
        <v>390.00000000000006</v>
      </c>
      <c r="AK502" s="197">
        <f t="shared" si="346"/>
        <v>6.0930617977437734E-2</v>
      </c>
      <c r="AL502" s="197">
        <f t="shared" si="347"/>
        <v>9.6203707235237593E-2</v>
      </c>
      <c r="AM502" s="197">
        <f t="shared" si="348"/>
        <v>4.0790371867740751E-3</v>
      </c>
      <c r="AN502" s="197">
        <f t="shared" si="313"/>
        <v>24.05</v>
      </c>
      <c r="AO502" s="197">
        <f t="shared" si="314"/>
        <v>21.69</v>
      </c>
      <c r="AP502" s="197">
        <f t="shared" si="349"/>
        <v>7.4093290390420161E-2</v>
      </c>
      <c r="AQ502" s="197">
        <f t="shared" si="350"/>
        <v>0.42250439890466829</v>
      </c>
      <c r="AR502" s="197">
        <f t="shared" si="351"/>
        <v>0.30589509873355925</v>
      </c>
      <c r="AS502" s="258">
        <f t="shared" si="352"/>
        <v>0.15228632177729159</v>
      </c>
      <c r="AT502" s="197">
        <f t="shared" si="315"/>
        <v>2.5974058656511614E-4</v>
      </c>
      <c r="AU502" s="194">
        <f t="shared" si="316"/>
        <v>21.19</v>
      </c>
      <c r="AV502" s="197">
        <f t="shared" si="317"/>
        <v>2.7E-2</v>
      </c>
      <c r="AW502" s="197">
        <f t="shared" si="318"/>
        <v>3.4260000000000002E-3</v>
      </c>
      <c r="AX502" s="197">
        <f t="shared" si="353"/>
        <v>6.1668000000000001E-2</v>
      </c>
      <c r="AY502" s="197">
        <f t="shared" si="319"/>
        <v>2.8867476000000005E-3</v>
      </c>
      <c r="AZ502" s="197">
        <f t="shared" si="320"/>
        <v>0</v>
      </c>
      <c r="BA502" s="197">
        <f t="shared" si="354"/>
        <v>7.2596940000000013E-2</v>
      </c>
      <c r="BB502" s="258">
        <f t="shared" si="321"/>
        <v>0.36575210336206115</v>
      </c>
      <c r="BC502" s="197">
        <f t="shared" si="322"/>
        <v>2.2380490766334034E-2</v>
      </c>
      <c r="BD502" s="197">
        <f t="shared" si="355"/>
        <v>4.4760981532668068E-3</v>
      </c>
      <c r="BE502" s="197">
        <f t="shared" si="356"/>
        <v>2.6856588919600841E-2</v>
      </c>
      <c r="BF502" s="197">
        <f t="shared" si="323"/>
        <v>0.20773291256157633</v>
      </c>
      <c r="BG502" s="197">
        <f t="shared" si="324"/>
        <v>5.4608303342508187E-4</v>
      </c>
      <c r="BH502" s="197">
        <f t="shared" si="325"/>
        <v>3.5336687086656722E-2</v>
      </c>
      <c r="BI502" s="197">
        <f t="shared" si="357"/>
        <v>0.44730899017824427</v>
      </c>
      <c r="BJ502" s="197">
        <f t="shared" si="326"/>
        <v>6.769615024661003</v>
      </c>
      <c r="BK502" s="288">
        <f t="shared" si="327"/>
        <v>0.93392401361838984</v>
      </c>
      <c r="BL502" s="197">
        <f t="shared" si="328"/>
        <v>0.37608972359227794</v>
      </c>
      <c r="BM502" s="197">
        <f t="shared" si="329"/>
        <v>7.4353030976985271E-2</v>
      </c>
      <c r="BN502" s="197">
        <f t="shared" si="330"/>
        <v>54.461181858619113</v>
      </c>
      <c r="BO502" s="197">
        <f t="shared" si="358"/>
        <v>0.2082789955950014</v>
      </c>
      <c r="BP502" s="197">
        <f t="shared" si="331"/>
        <v>65.620924669625111</v>
      </c>
      <c r="BQ502" s="197">
        <f t="shared" si="332"/>
        <v>9.9596940000000009E-2</v>
      </c>
      <c r="BR502" s="288">
        <f t="shared" si="333"/>
        <v>0.16008975919012108</v>
      </c>
      <c r="BS502" s="197">
        <f t="shared" si="334"/>
        <v>0.11660930017110901</v>
      </c>
      <c r="BT502" s="197">
        <f t="shared" si="335"/>
        <v>0.36419974881911377</v>
      </c>
      <c r="BU502" s="197">
        <f t="shared" si="336"/>
        <v>0.1713930788771201</v>
      </c>
      <c r="BV502" s="197">
        <f t="shared" si="337"/>
        <v>0.53530306917875781</v>
      </c>
      <c r="BW502" s="194"/>
      <c r="BX502" s="194"/>
      <c r="BY502" s="194"/>
      <c r="BZ502" s="194"/>
      <c r="CA502" s="194"/>
      <c r="CB502" s="194"/>
      <c r="CC502" s="194"/>
      <c r="CD502" s="194"/>
      <c r="CE502" s="194"/>
      <c r="CF502" s="194"/>
      <c r="CG502" s="194"/>
      <c r="CH502" s="194"/>
      <c r="CI502" s="194"/>
      <c r="CJ502" s="194"/>
      <c r="CK502" s="194"/>
      <c r="CL502" s="194"/>
      <c r="CM502" s="194"/>
      <c r="CN502" s="194"/>
      <c r="CO502" s="194"/>
      <c r="CP502" s="194"/>
      <c r="CQ502" s="194"/>
      <c r="CR502" s="194"/>
      <c r="CS502" s="194"/>
      <c r="CT502" s="194"/>
      <c r="CU502" s="194"/>
      <c r="CV502" s="194"/>
      <c r="CW502" s="194"/>
      <c r="CX502" s="194"/>
      <c r="CY502" s="194"/>
      <c r="CZ502" s="194"/>
      <c r="DA502" s="194"/>
      <c r="DB502" s="194"/>
      <c r="DC502" s="194"/>
      <c r="DD502" s="194"/>
      <c r="DE502" s="194"/>
      <c r="DF502" s="194"/>
    </row>
    <row r="503" spans="2:110" s="192" customFormat="1" hidden="1" x14ac:dyDescent="0.35">
      <c r="B503" s="289"/>
      <c r="C503" s="289"/>
      <c r="Q503" s="193"/>
      <c r="R503" s="194">
        <f t="shared" si="338"/>
        <v>18</v>
      </c>
      <c r="S503" s="197">
        <f t="shared" si="304"/>
        <v>0.3888888888888889</v>
      </c>
      <c r="T503" s="194">
        <f t="shared" si="359"/>
        <v>0.69</v>
      </c>
      <c r="U503" s="194">
        <f t="shared" si="360"/>
        <v>1.4999999999999999E-4</v>
      </c>
      <c r="V503" s="197">
        <f t="shared" si="339"/>
        <v>0.3888888888888889</v>
      </c>
      <c r="W503" s="197">
        <f t="shared" si="305"/>
        <v>4.3555555555555561E-3</v>
      </c>
      <c r="X503" s="286">
        <f t="shared" si="306"/>
        <v>1</v>
      </c>
      <c r="Y503" s="286">
        <f t="shared" si="307"/>
        <v>0.17335969315081967</v>
      </c>
      <c r="Z503" s="286">
        <f t="shared" si="308"/>
        <v>0.54964853345132902</v>
      </c>
      <c r="AA503" s="286">
        <f t="shared" si="340"/>
        <v>0.17335969315081967</v>
      </c>
      <c r="AB503" s="197">
        <f t="shared" si="309"/>
        <v>0.36419974881911377</v>
      </c>
      <c r="AC503" s="287">
        <f t="shared" si="310"/>
        <v>4.4451203372005044E-7</v>
      </c>
      <c r="AD503" s="197">
        <f t="shared" si="341"/>
        <v>11.693936048110356</v>
      </c>
      <c r="AE503" s="197">
        <f t="shared" si="342"/>
        <v>35.08180814433107</v>
      </c>
      <c r="AF503" s="197">
        <f t="shared" si="343"/>
        <v>8.5178571428571423E-2</v>
      </c>
      <c r="AG503" s="197">
        <f t="shared" si="344"/>
        <v>0.25553571428571431</v>
      </c>
      <c r="AH503" s="197">
        <f t="shared" si="311"/>
        <v>0.11660930017110901</v>
      </c>
      <c r="AI503" s="197">
        <f t="shared" si="345"/>
        <v>0.11660930017110901</v>
      </c>
      <c r="AJ503" s="218">
        <f t="shared" si="312"/>
        <v>390.00000000000006</v>
      </c>
      <c r="AK503" s="197">
        <f t="shared" si="346"/>
        <v>6.0930617977437734E-2</v>
      </c>
      <c r="AL503" s="197">
        <f t="shared" si="347"/>
        <v>9.6203707235237593E-2</v>
      </c>
      <c r="AM503" s="197">
        <f t="shared" si="348"/>
        <v>4.0790371867740751E-3</v>
      </c>
      <c r="AN503" s="197">
        <f t="shared" si="313"/>
        <v>24.05</v>
      </c>
      <c r="AO503" s="197">
        <f t="shared" si="314"/>
        <v>21.69</v>
      </c>
      <c r="AP503" s="197">
        <f t="shared" si="349"/>
        <v>7.4093290390420161E-2</v>
      </c>
      <c r="AQ503" s="197">
        <f t="shared" si="350"/>
        <v>0.42250439890466829</v>
      </c>
      <c r="AR503" s="197">
        <f t="shared" si="351"/>
        <v>0.30589509873355925</v>
      </c>
      <c r="AS503" s="258">
        <f t="shared" si="352"/>
        <v>0.15228632177729159</v>
      </c>
      <c r="AT503" s="197">
        <f t="shared" si="315"/>
        <v>2.5974058656511614E-4</v>
      </c>
      <c r="AU503" s="194">
        <f t="shared" si="316"/>
        <v>21.19</v>
      </c>
      <c r="AV503" s="197">
        <f t="shared" si="317"/>
        <v>2.7E-2</v>
      </c>
      <c r="AW503" s="197">
        <f t="shared" si="318"/>
        <v>3.4260000000000002E-3</v>
      </c>
      <c r="AX503" s="197">
        <f t="shared" si="353"/>
        <v>6.1668000000000001E-2</v>
      </c>
      <c r="AY503" s="197">
        <f t="shared" si="319"/>
        <v>2.8867476000000005E-3</v>
      </c>
      <c r="AZ503" s="197">
        <f t="shared" si="320"/>
        <v>0</v>
      </c>
      <c r="BA503" s="197">
        <f t="shared" si="354"/>
        <v>7.2596940000000013E-2</v>
      </c>
      <c r="BB503" s="258">
        <f t="shared" si="321"/>
        <v>0.36575210336206115</v>
      </c>
      <c r="BC503" s="197">
        <f t="shared" si="322"/>
        <v>2.2380490766334034E-2</v>
      </c>
      <c r="BD503" s="197">
        <f t="shared" si="355"/>
        <v>4.4760981532668068E-3</v>
      </c>
      <c r="BE503" s="197">
        <f t="shared" si="356"/>
        <v>2.6856588919600841E-2</v>
      </c>
      <c r="BF503" s="197">
        <f t="shared" si="323"/>
        <v>0.20773291256157633</v>
      </c>
      <c r="BG503" s="197">
        <f t="shared" si="324"/>
        <v>5.4608303342508187E-4</v>
      </c>
      <c r="BH503" s="197">
        <f t="shared" si="325"/>
        <v>3.5336687086656722E-2</v>
      </c>
      <c r="BI503" s="197">
        <f t="shared" si="357"/>
        <v>0.44730899017824427</v>
      </c>
      <c r="BJ503" s="197">
        <f t="shared" si="326"/>
        <v>6.769615024661003</v>
      </c>
      <c r="BK503" s="288">
        <f t="shared" si="327"/>
        <v>0.93392401361838984</v>
      </c>
      <c r="BL503" s="197">
        <f t="shared" si="328"/>
        <v>0.37608972359227794</v>
      </c>
      <c r="BM503" s="197">
        <f t="shared" si="329"/>
        <v>7.4353030976985271E-2</v>
      </c>
      <c r="BN503" s="197">
        <f t="shared" si="330"/>
        <v>54.461181858619113</v>
      </c>
      <c r="BO503" s="197">
        <f t="shared" si="358"/>
        <v>0.2082789955950014</v>
      </c>
      <c r="BP503" s="197">
        <f t="shared" si="331"/>
        <v>65.620924669625111</v>
      </c>
      <c r="BQ503" s="197">
        <f t="shared" si="332"/>
        <v>9.9596940000000009E-2</v>
      </c>
      <c r="BR503" s="288">
        <f t="shared" si="333"/>
        <v>0.16008975919012108</v>
      </c>
      <c r="BS503" s="197">
        <f t="shared" si="334"/>
        <v>0.11660930017110901</v>
      </c>
      <c r="BT503" s="197">
        <f t="shared" si="335"/>
        <v>0.36419974881911377</v>
      </c>
      <c r="BU503" s="197">
        <f t="shared" si="336"/>
        <v>0.1713930788771201</v>
      </c>
      <c r="BV503" s="197">
        <f t="shared" si="337"/>
        <v>0.53530306917875781</v>
      </c>
      <c r="BW503" s="194"/>
      <c r="BX503" s="194"/>
      <c r="BY503" s="194"/>
      <c r="BZ503" s="194"/>
      <c r="CA503" s="194"/>
      <c r="CB503" s="194"/>
      <c r="CC503" s="194"/>
      <c r="CD503" s="194"/>
      <c r="CE503" s="194"/>
      <c r="CF503" s="194"/>
      <c r="CG503" s="194"/>
      <c r="CH503" s="194"/>
      <c r="CI503" s="194"/>
      <c r="CJ503" s="194"/>
      <c r="CK503" s="194"/>
      <c r="CL503" s="194"/>
      <c r="CM503" s="194"/>
      <c r="CN503" s="194"/>
      <c r="CO503" s="194"/>
      <c r="CP503" s="194"/>
      <c r="CQ503" s="194"/>
      <c r="CR503" s="194"/>
      <c r="CS503" s="194"/>
      <c r="CT503" s="194"/>
      <c r="CU503" s="194"/>
      <c r="CV503" s="194"/>
      <c r="CW503" s="194"/>
      <c r="CX503" s="194"/>
      <c r="CY503" s="194"/>
      <c r="CZ503" s="194"/>
      <c r="DA503" s="194"/>
      <c r="DB503" s="194"/>
      <c r="DC503" s="194"/>
      <c r="DD503" s="194"/>
      <c r="DE503" s="194"/>
      <c r="DF503" s="194"/>
    </row>
    <row r="504" spans="2:110" s="192" customFormat="1" hidden="1" x14ac:dyDescent="0.35">
      <c r="B504" s="289"/>
      <c r="C504" s="289"/>
      <c r="Q504" s="193"/>
      <c r="R504" s="194">
        <f t="shared" si="338"/>
        <v>18</v>
      </c>
      <c r="S504" s="197">
        <f t="shared" ref="S504:S567" si="361">(VLEDS/R504)*ILED/0.9</f>
        <v>0.3888888888888889</v>
      </c>
      <c r="T504" s="194">
        <f t="shared" si="359"/>
        <v>0.69</v>
      </c>
      <c r="U504" s="194">
        <f t="shared" si="360"/>
        <v>1.4999999999999999E-4</v>
      </c>
      <c r="V504" s="197">
        <f t="shared" si="339"/>
        <v>0.3888888888888889</v>
      </c>
      <c r="W504" s="197">
        <f t="shared" ref="W504:W567" si="362">V504*RON</f>
        <v>4.3555555555555561E-3</v>
      </c>
      <c r="X504" s="286">
        <f t="shared" ref="X504:X567" si="363">IF((VLEDS+T504+ILEDF*(RON+RCOIL))/(R504+T504-W504)&gt;1,1,(VLEDS+T504+ILEDF*(RON+RCOIL))/(R504+T504-W504))</f>
        <v>1</v>
      </c>
      <c r="Y504" s="286">
        <f t="shared" ref="Y504:Y567" si="364">IF((VLEDS-R504+T504+S504*(RON+RCOIL))/(VLEDS+T504-W504)&lt;0,0,(VLEDS-R504+T504+S504*(RON+RCOIL))/(VLEDS+T504-W504))</f>
        <v>0.17335969315081967</v>
      </c>
      <c r="Z504" s="286">
        <f t="shared" ref="Z504:Z567" si="365">(VLEDS+T504+(S504+ILEDF)*(RON+RCOIL))/(VLEDS+R504+T504-W504)</f>
        <v>0.54964853345132902</v>
      </c>
      <c r="AA504" s="286">
        <f t="shared" si="340"/>
        <v>0.17335969315081967</v>
      </c>
      <c r="AB504" s="197">
        <f t="shared" ref="AB504:AB567" si="366">IF(CONFIG="BUCK",ILEDF,ILEDF/(1-AA504))</f>
        <v>0.36419974881911377</v>
      </c>
      <c r="AC504" s="287">
        <f t="shared" ref="AC504:AC567" si="367">AA504/(FINIT*1000)</f>
        <v>4.4451203372005044E-7</v>
      </c>
      <c r="AD504" s="197">
        <f t="shared" si="341"/>
        <v>11.693936048110356</v>
      </c>
      <c r="AE504" s="197">
        <f t="shared" si="342"/>
        <v>35.08180814433107</v>
      </c>
      <c r="AF504" s="197">
        <f t="shared" si="343"/>
        <v>8.5178571428571423E-2</v>
      </c>
      <c r="AG504" s="197">
        <f t="shared" si="344"/>
        <v>0.25553571428571431</v>
      </c>
      <c r="AH504" s="197">
        <f t="shared" ref="AH504:AH567" si="368">IF(CONFIG="BUCK",R504-VLEDS-AB504*(RS+RCOIL)-W504,R504-AB504*(RS+RCOIL)-W504)*AC504/(L*0.000001)</f>
        <v>0.11660930017110901</v>
      </c>
      <c r="AI504" s="197">
        <f t="shared" si="345"/>
        <v>0.11660930017110901</v>
      </c>
      <c r="AJ504" s="218">
        <f t="shared" ref="AJ504:AJ567" si="369">0.001*AA504*AH504/(AI504*AC504)</f>
        <v>390.00000000000006</v>
      </c>
      <c r="AK504" s="197">
        <f t="shared" si="346"/>
        <v>6.0930617977437734E-2</v>
      </c>
      <c r="AL504" s="197">
        <f t="shared" si="347"/>
        <v>9.6203707235237593E-2</v>
      </c>
      <c r="AM504" s="197">
        <f t="shared" si="348"/>
        <v>4.0790371867740751E-3</v>
      </c>
      <c r="AN504" s="197">
        <f t="shared" ref="AN504:AN567" si="370">(QGSW/IGATE)+($D$37+$D$38)/2</f>
        <v>24.05</v>
      </c>
      <c r="AO504" s="197">
        <f t="shared" ref="AO504:AO567" si="371">IF(CONFIG="BUCK",R504+T504,IF(CONFIG="BOOST",VLEDS+T504,R504+VLEDS+T504))</f>
        <v>21.69</v>
      </c>
      <c r="AP504" s="197">
        <f t="shared" si="349"/>
        <v>7.4093290390420161E-2</v>
      </c>
      <c r="AQ504" s="197">
        <f t="shared" si="350"/>
        <v>0.42250439890466829</v>
      </c>
      <c r="AR504" s="197">
        <f t="shared" si="351"/>
        <v>0.30589509873355925</v>
      </c>
      <c r="AS504" s="258">
        <f t="shared" si="352"/>
        <v>0.15228632177729159</v>
      </c>
      <c r="AT504" s="197">
        <f t="shared" ref="AT504:AT567" si="372">(AS504^2)*RON</f>
        <v>2.5974058656511614E-4</v>
      </c>
      <c r="AU504" s="194">
        <f t="shared" ref="AU504:AU567" si="373">IF(LOWV,AO504-0.5,IF(DISSLIM,IF(R504&lt;_VZD3,R504,_VZD3),R504))</f>
        <v>21.19</v>
      </c>
      <c r="AV504" s="197">
        <f t="shared" ref="AV504:AV567" si="374">R504*IQ</f>
        <v>2.7E-2</v>
      </c>
      <c r="AW504" s="197">
        <f t="shared" ref="AW504:AW567" si="375">IQAUX+QGTOT*AJ504*0.000001</f>
        <v>3.4260000000000002E-3</v>
      </c>
      <c r="AX504" s="197">
        <f t="shared" si="353"/>
        <v>6.1668000000000001E-2</v>
      </c>
      <c r="AY504" s="197">
        <f t="shared" ref="AY504:AY567" si="376">IF(LOWV,((AW504^2)*100)+0.5*AW504,0)</f>
        <v>2.8867476000000005E-3</v>
      </c>
      <c r="AZ504" s="197">
        <f t="shared" ref="AZ504:AZ567" si="377">IF(DISSLIM,((R504-AU504)^2/5000)+AU504*(((R504-AU504)/5000)-AW504),0)</f>
        <v>0</v>
      </c>
      <c r="BA504" s="197">
        <f t="shared" si="354"/>
        <v>7.2596940000000013E-2</v>
      </c>
      <c r="BB504" s="258">
        <f t="shared" ref="BB504:BB567" si="378">SQRT((1/3)*(AQ504^2+AQ504*AR504+AR504^2))</f>
        <v>0.36575210336206115</v>
      </c>
      <c r="BC504" s="197">
        <f t="shared" ref="BC504:BC567" si="379">BB504^2*RCOIL</f>
        <v>2.2380490766334034E-2</v>
      </c>
      <c r="BD504" s="197">
        <f t="shared" si="355"/>
        <v>4.4760981532668068E-3</v>
      </c>
      <c r="BE504" s="197">
        <f t="shared" si="356"/>
        <v>2.6856588919600841E-2</v>
      </c>
      <c r="BF504" s="197">
        <f t="shared" ref="BF504:BF567" si="380">T504*AB504*(1-AA504)</f>
        <v>0.20773291256157633</v>
      </c>
      <c r="BG504" s="197">
        <f t="shared" ref="BG504:BG567" si="381">U504*AA504*IF(CONFIG="BUCK",R504,IF(CONFIG="BOOST",VLEDS,R504+VLEDS))</f>
        <v>5.4608303342508187E-4</v>
      </c>
      <c r="BH504" s="197">
        <f t="shared" ref="BH504:BH567" si="382">BB504^2*RS</f>
        <v>3.5336687086656722E-2</v>
      </c>
      <c r="BI504" s="197">
        <f t="shared" si="357"/>
        <v>0.44730899017824427</v>
      </c>
      <c r="BJ504" s="197">
        <f t="shared" ref="BJ504:BJ567" si="383">PLEDS+BI504</f>
        <v>6.769615024661003</v>
      </c>
      <c r="BK504" s="288">
        <f t="shared" ref="BK504:BK567" si="384">PLEDS/BJ504</f>
        <v>0.93392401361838984</v>
      </c>
      <c r="BL504" s="197">
        <f t="shared" ref="BL504:BL567" si="385">BJ504/R504</f>
        <v>0.37608972359227794</v>
      </c>
      <c r="BM504" s="197">
        <f t="shared" ref="BM504:BM567" si="386">AP504+AT504</f>
        <v>7.4353030976985271E-2</v>
      </c>
      <c r="BN504" s="197">
        <f t="shared" ref="BN504:BN567" si="387">TAMB+BM504*RTHMOS</f>
        <v>54.461181858619113</v>
      </c>
      <c r="BO504" s="197">
        <f t="shared" si="358"/>
        <v>0.2082789955950014</v>
      </c>
      <c r="BP504" s="197">
        <f t="shared" ref="BP504:BP567" si="388">TAMB+BO504*RTHFW</f>
        <v>65.620924669625111</v>
      </c>
      <c r="BQ504" s="197">
        <f t="shared" ref="BQ504:BQ567" si="389">AV504+BA504</f>
        <v>9.9596940000000009E-2</v>
      </c>
      <c r="BR504" s="288">
        <f t="shared" ref="BR504:BR567" si="390">0.5*AI504/AB504</f>
        <v>0.16008975919012108</v>
      </c>
      <c r="BS504" s="197">
        <f t="shared" ref="BS504:BS567" si="391">IF(CONFIG="BOOST",AI504,AB504)</f>
        <v>0.11660930017110901</v>
      </c>
      <c r="BT504" s="197">
        <f t="shared" ref="BT504:BT567" si="392">IF(CONFIG="BUCK",AI504,AB504)</f>
        <v>0.36419974881911377</v>
      </c>
      <c r="BU504" s="197">
        <f t="shared" ref="BU504:BU567" si="393">1000*BS504*(1-AA504)*AA504/(AJ504*VRIPIN)</f>
        <v>0.1713930788771201</v>
      </c>
      <c r="BV504" s="197">
        <f t="shared" ref="BV504:BV567" si="394">1000*BT504*(1-AA504)*AA504/(AJ504*VRIPOUT)</f>
        <v>0.53530306917875781</v>
      </c>
      <c r="BW504" s="194"/>
      <c r="BX504" s="194"/>
      <c r="BY504" s="194"/>
      <c r="BZ504" s="194"/>
      <c r="CA504" s="194"/>
      <c r="CB504" s="194"/>
      <c r="CC504" s="194"/>
      <c r="CD504" s="194"/>
      <c r="CE504" s="194"/>
      <c r="CF504" s="194"/>
      <c r="CG504" s="194"/>
      <c r="CH504" s="194"/>
      <c r="CI504" s="194"/>
      <c r="CJ504" s="194"/>
      <c r="CK504" s="194"/>
      <c r="CL504" s="194"/>
      <c r="CM504" s="194"/>
      <c r="CN504" s="194"/>
      <c r="CO504" s="194"/>
      <c r="CP504" s="194"/>
      <c r="CQ504" s="194"/>
      <c r="CR504" s="194"/>
      <c r="CS504" s="194"/>
      <c r="CT504" s="194"/>
      <c r="CU504" s="194"/>
      <c r="CV504" s="194"/>
      <c r="CW504" s="194"/>
      <c r="CX504" s="194"/>
      <c r="CY504" s="194"/>
      <c r="CZ504" s="194"/>
      <c r="DA504" s="194"/>
      <c r="DB504" s="194"/>
      <c r="DC504" s="194"/>
      <c r="DD504" s="194"/>
      <c r="DE504" s="194"/>
      <c r="DF504" s="194"/>
    </row>
    <row r="505" spans="2:110" s="192" customFormat="1" hidden="1" x14ac:dyDescent="0.35">
      <c r="B505" s="289"/>
      <c r="C505" s="289"/>
      <c r="Q505" s="193"/>
      <c r="R505" s="194">
        <f t="shared" ref="R505:R568" si="395">MIN(R504+0.1,VINMAX)</f>
        <v>18</v>
      </c>
      <c r="S505" s="197">
        <f t="shared" si="361"/>
        <v>0.3888888888888889</v>
      </c>
      <c r="T505" s="194">
        <f t="shared" si="359"/>
        <v>0.69</v>
      </c>
      <c r="U505" s="194">
        <f t="shared" si="360"/>
        <v>1.4999999999999999E-4</v>
      </c>
      <c r="V505" s="197">
        <f t="shared" ref="V505:V568" si="396">IF(CONFIG="BUCK",ILED,IF(CONFIG="BOOST",S505,ILED+S505))</f>
        <v>0.3888888888888889</v>
      </c>
      <c r="W505" s="197">
        <f t="shared" si="362"/>
        <v>4.3555555555555561E-3</v>
      </c>
      <c r="X505" s="286">
        <f t="shared" si="363"/>
        <v>1</v>
      </c>
      <c r="Y505" s="286">
        <f t="shared" si="364"/>
        <v>0.17335969315081967</v>
      </c>
      <c r="Z505" s="286">
        <f t="shared" si="365"/>
        <v>0.54964853345132902</v>
      </c>
      <c r="AA505" s="286">
        <f t="shared" ref="AA505:AA568" si="397">IF(CONFIG="BUCK",X505,IF(CONFIG="BOOST",Y505,Z505))</f>
        <v>0.17335969315081967</v>
      </c>
      <c r="AB505" s="197">
        <f t="shared" si="366"/>
        <v>0.36419974881911377</v>
      </c>
      <c r="AC505" s="287">
        <f t="shared" si="367"/>
        <v>4.4451203372005044E-7</v>
      </c>
      <c r="AD505" s="197">
        <f t="shared" ref="AD505:AD568" si="398">IF(CONFIG="BUCK",RIPLOW,RIPLOW*(1-AA505)/GI_ADJ)</f>
        <v>11.693936048110356</v>
      </c>
      <c r="AE505" s="197">
        <f t="shared" ref="AE505:AE568" si="399">IF(CONFIG="BUCK",RIPHIGH,RIPHIGH*(1-AA505)/GI_ADJ)</f>
        <v>35.08180814433107</v>
      </c>
      <c r="AF505" s="197">
        <f t="shared" ref="AF505:AF568" si="400">(AD505*2/100)*AB505</f>
        <v>8.5178571428571423E-2</v>
      </c>
      <c r="AG505" s="197">
        <f t="shared" ref="AG505:AG568" si="401">(AE505*2/100)*AB505</f>
        <v>0.25553571428571431</v>
      </c>
      <c r="AH505" s="197">
        <f t="shared" si="368"/>
        <v>0.11660930017110901</v>
      </c>
      <c r="AI505" s="197">
        <f t="shared" ref="AI505:AI568" si="402">IF(AH505&lt;AF505,AF505,IF(AH505&gt;AG505,AG505,AH505))</f>
        <v>0.11660930017110901</v>
      </c>
      <c r="AJ505" s="218">
        <f t="shared" si="369"/>
        <v>390.00000000000006</v>
      </c>
      <c r="AK505" s="197">
        <f t="shared" ref="AK505:AK568" si="403">AB505*RCOIL</f>
        <v>6.0930617977437734E-2</v>
      </c>
      <c r="AL505" s="197">
        <f t="shared" ref="AL505:AL568" si="404">AB505*RS</f>
        <v>9.6203707235237593E-2</v>
      </c>
      <c r="AM505" s="197">
        <f t="shared" ref="AM505:AM568" si="405">AB505*RON</f>
        <v>4.0790371867740751E-3</v>
      </c>
      <c r="AN505" s="197">
        <f t="shared" si="370"/>
        <v>24.05</v>
      </c>
      <c r="AO505" s="197">
        <f t="shared" si="371"/>
        <v>21.69</v>
      </c>
      <c r="AP505" s="197">
        <f t="shared" ref="AP505:AP568" si="406">AB505*AO505*AN505*AJ505*0.000001</f>
        <v>7.4093290390420161E-2</v>
      </c>
      <c r="AQ505" s="197">
        <f t="shared" ref="AQ505:AQ568" si="407">AB505+AI505/2</f>
        <v>0.42250439890466829</v>
      </c>
      <c r="AR505" s="197">
        <f t="shared" ref="AR505:AR568" si="408">AB505-AI505/2</f>
        <v>0.30589509873355925</v>
      </c>
      <c r="AS505" s="258">
        <f t="shared" ref="AS505:AS568" si="409">SQRT((AA505/3)*(AQ505^2+AQ505*AR505+AR505^2))</f>
        <v>0.15228632177729159</v>
      </c>
      <c r="AT505" s="197">
        <f t="shared" si="372"/>
        <v>2.5974058656511614E-4</v>
      </c>
      <c r="AU505" s="194">
        <f t="shared" si="373"/>
        <v>21.19</v>
      </c>
      <c r="AV505" s="197">
        <f t="shared" si="374"/>
        <v>2.7E-2</v>
      </c>
      <c r="AW505" s="197">
        <f t="shared" si="375"/>
        <v>3.4260000000000002E-3</v>
      </c>
      <c r="AX505" s="197">
        <f t="shared" ref="AX505:AX568" si="410">R505*(IQAUX+QGTOT*AJ505*0.000001)</f>
        <v>6.1668000000000001E-2</v>
      </c>
      <c r="AY505" s="197">
        <f t="shared" si="376"/>
        <v>2.8867476000000005E-3</v>
      </c>
      <c r="AZ505" s="197">
        <f t="shared" si="377"/>
        <v>0</v>
      </c>
      <c r="BA505" s="197">
        <f t="shared" ref="BA505:BA568" si="411">AU505*AW505</f>
        <v>7.2596940000000013E-2</v>
      </c>
      <c r="BB505" s="258">
        <f t="shared" si="378"/>
        <v>0.36575210336206115</v>
      </c>
      <c r="BC505" s="197">
        <f t="shared" si="379"/>
        <v>2.2380490766334034E-2</v>
      </c>
      <c r="BD505" s="197">
        <f t="shared" ref="BD505:BD568" si="412">BC505*0.2</f>
        <v>4.4760981532668068E-3</v>
      </c>
      <c r="BE505" s="197">
        <f t="shared" ref="BE505:BE568" si="413">BC505+BD505</f>
        <v>2.6856588919600841E-2</v>
      </c>
      <c r="BF505" s="197">
        <f t="shared" si="380"/>
        <v>0.20773291256157633</v>
      </c>
      <c r="BG505" s="197">
        <f t="shared" si="381"/>
        <v>5.4608303342508187E-4</v>
      </c>
      <c r="BH505" s="197">
        <f t="shared" si="382"/>
        <v>3.5336687086656722E-2</v>
      </c>
      <c r="BI505" s="197">
        <f t="shared" ref="BI505:BI568" si="414">AP505+AT505+AV505+AY505+BA505+BE505+BF505+BG505+BH505</f>
        <v>0.44730899017824427</v>
      </c>
      <c r="BJ505" s="197">
        <f t="shared" si="383"/>
        <v>6.769615024661003</v>
      </c>
      <c r="BK505" s="288">
        <f t="shared" si="384"/>
        <v>0.93392401361838984</v>
      </c>
      <c r="BL505" s="197">
        <f t="shared" si="385"/>
        <v>0.37608972359227794</v>
      </c>
      <c r="BM505" s="197">
        <f t="shared" si="386"/>
        <v>7.4353030976985271E-2</v>
      </c>
      <c r="BN505" s="197">
        <f t="shared" si="387"/>
        <v>54.461181858619113</v>
      </c>
      <c r="BO505" s="197">
        <f t="shared" ref="BO505:BO568" si="415">BF505+BG505</f>
        <v>0.2082789955950014</v>
      </c>
      <c r="BP505" s="197">
        <f t="shared" si="388"/>
        <v>65.620924669625111</v>
      </c>
      <c r="BQ505" s="197">
        <f t="shared" si="389"/>
        <v>9.9596940000000009E-2</v>
      </c>
      <c r="BR505" s="288">
        <f t="shared" si="390"/>
        <v>0.16008975919012108</v>
      </c>
      <c r="BS505" s="197">
        <f t="shared" si="391"/>
        <v>0.11660930017110901</v>
      </c>
      <c r="BT505" s="197">
        <f t="shared" si="392"/>
        <v>0.36419974881911377</v>
      </c>
      <c r="BU505" s="197">
        <f t="shared" si="393"/>
        <v>0.1713930788771201</v>
      </c>
      <c r="BV505" s="197">
        <f t="shared" si="394"/>
        <v>0.53530306917875781</v>
      </c>
      <c r="BW505" s="194"/>
      <c r="BX505" s="194"/>
      <c r="BY505" s="194"/>
      <c r="BZ505" s="194"/>
      <c r="CA505" s="194"/>
      <c r="CB505" s="194"/>
      <c r="CC505" s="194"/>
      <c r="CD505" s="194"/>
      <c r="CE505" s="194"/>
      <c r="CF505" s="194"/>
      <c r="CG505" s="194"/>
      <c r="CH505" s="194"/>
      <c r="CI505" s="194"/>
      <c r="CJ505" s="194"/>
      <c r="CK505" s="194"/>
      <c r="CL505" s="194"/>
      <c r="CM505" s="194"/>
      <c r="CN505" s="194"/>
      <c r="CO505" s="194"/>
      <c r="CP505" s="194"/>
      <c r="CQ505" s="194"/>
      <c r="CR505" s="194"/>
      <c r="CS505" s="194"/>
      <c r="CT505" s="194"/>
      <c r="CU505" s="194"/>
      <c r="CV505" s="194"/>
      <c r="CW505" s="194"/>
      <c r="CX505" s="194"/>
      <c r="CY505" s="194"/>
      <c r="CZ505" s="194"/>
      <c r="DA505" s="194"/>
      <c r="DB505" s="194"/>
      <c r="DC505" s="194"/>
      <c r="DD505" s="194"/>
      <c r="DE505" s="194"/>
      <c r="DF505" s="194"/>
    </row>
    <row r="506" spans="2:110" s="192" customFormat="1" hidden="1" x14ac:dyDescent="0.35">
      <c r="B506" s="289"/>
      <c r="C506" s="289"/>
      <c r="Q506" s="193"/>
      <c r="R506" s="194">
        <f t="shared" si="395"/>
        <v>18</v>
      </c>
      <c r="S506" s="197">
        <f t="shared" si="361"/>
        <v>0.3888888888888889</v>
      </c>
      <c r="T506" s="194">
        <f t="shared" ref="T506:T569" si="416">$D$45</f>
        <v>0.69</v>
      </c>
      <c r="U506" s="194">
        <f t="shared" ref="U506:U569" si="417">$D$48*0.001</f>
        <v>1.4999999999999999E-4</v>
      </c>
      <c r="V506" s="197">
        <f t="shared" si="396"/>
        <v>0.3888888888888889</v>
      </c>
      <c r="W506" s="197">
        <f t="shared" si="362"/>
        <v>4.3555555555555561E-3</v>
      </c>
      <c r="X506" s="286">
        <f t="shared" si="363"/>
        <v>1</v>
      </c>
      <c r="Y506" s="286">
        <f t="shared" si="364"/>
        <v>0.17335969315081967</v>
      </c>
      <c r="Z506" s="286">
        <f t="shared" si="365"/>
        <v>0.54964853345132902</v>
      </c>
      <c r="AA506" s="286">
        <f t="shared" si="397"/>
        <v>0.17335969315081967</v>
      </c>
      <c r="AB506" s="197">
        <f t="shared" si="366"/>
        <v>0.36419974881911377</v>
      </c>
      <c r="AC506" s="287">
        <f t="shared" si="367"/>
        <v>4.4451203372005044E-7</v>
      </c>
      <c r="AD506" s="197">
        <f t="shared" si="398"/>
        <v>11.693936048110356</v>
      </c>
      <c r="AE506" s="197">
        <f t="shared" si="399"/>
        <v>35.08180814433107</v>
      </c>
      <c r="AF506" s="197">
        <f t="shared" si="400"/>
        <v>8.5178571428571423E-2</v>
      </c>
      <c r="AG506" s="197">
        <f t="shared" si="401"/>
        <v>0.25553571428571431</v>
      </c>
      <c r="AH506" s="197">
        <f t="shared" si="368"/>
        <v>0.11660930017110901</v>
      </c>
      <c r="AI506" s="197">
        <f t="shared" si="402"/>
        <v>0.11660930017110901</v>
      </c>
      <c r="AJ506" s="218">
        <f t="shared" si="369"/>
        <v>390.00000000000006</v>
      </c>
      <c r="AK506" s="197">
        <f t="shared" si="403"/>
        <v>6.0930617977437734E-2</v>
      </c>
      <c r="AL506" s="197">
        <f t="shared" si="404"/>
        <v>9.6203707235237593E-2</v>
      </c>
      <c r="AM506" s="197">
        <f t="shared" si="405"/>
        <v>4.0790371867740751E-3</v>
      </c>
      <c r="AN506" s="197">
        <f t="shared" si="370"/>
        <v>24.05</v>
      </c>
      <c r="AO506" s="197">
        <f t="shared" si="371"/>
        <v>21.69</v>
      </c>
      <c r="AP506" s="197">
        <f t="shared" si="406"/>
        <v>7.4093290390420161E-2</v>
      </c>
      <c r="AQ506" s="197">
        <f t="shared" si="407"/>
        <v>0.42250439890466829</v>
      </c>
      <c r="AR506" s="197">
        <f t="shared" si="408"/>
        <v>0.30589509873355925</v>
      </c>
      <c r="AS506" s="258">
        <f t="shared" si="409"/>
        <v>0.15228632177729159</v>
      </c>
      <c r="AT506" s="197">
        <f t="shared" si="372"/>
        <v>2.5974058656511614E-4</v>
      </c>
      <c r="AU506" s="194">
        <f t="shared" si="373"/>
        <v>21.19</v>
      </c>
      <c r="AV506" s="197">
        <f t="shared" si="374"/>
        <v>2.7E-2</v>
      </c>
      <c r="AW506" s="197">
        <f t="shared" si="375"/>
        <v>3.4260000000000002E-3</v>
      </c>
      <c r="AX506" s="197">
        <f t="shared" si="410"/>
        <v>6.1668000000000001E-2</v>
      </c>
      <c r="AY506" s="197">
        <f t="shared" si="376"/>
        <v>2.8867476000000005E-3</v>
      </c>
      <c r="AZ506" s="197">
        <f t="shared" si="377"/>
        <v>0</v>
      </c>
      <c r="BA506" s="197">
        <f t="shared" si="411"/>
        <v>7.2596940000000013E-2</v>
      </c>
      <c r="BB506" s="258">
        <f t="shared" si="378"/>
        <v>0.36575210336206115</v>
      </c>
      <c r="BC506" s="197">
        <f t="shared" si="379"/>
        <v>2.2380490766334034E-2</v>
      </c>
      <c r="BD506" s="197">
        <f t="shared" si="412"/>
        <v>4.4760981532668068E-3</v>
      </c>
      <c r="BE506" s="197">
        <f t="shared" si="413"/>
        <v>2.6856588919600841E-2</v>
      </c>
      <c r="BF506" s="197">
        <f t="shared" si="380"/>
        <v>0.20773291256157633</v>
      </c>
      <c r="BG506" s="197">
        <f t="shared" si="381"/>
        <v>5.4608303342508187E-4</v>
      </c>
      <c r="BH506" s="197">
        <f t="shared" si="382"/>
        <v>3.5336687086656722E-2</v>
      </c>
      <c r="BI506" s="197">
        <f t="shared" si="414"/>
        <v>0.44730899017824427</v>
      </c>
      <c r="BJ506" s="197">
        <f t="shared" si="383"/>
        <v>6.769615024661003</v>
      </c>
      <c r="BK506" s="288">
        <f t="shared" si="384"/>
        <v>0.93392401361838984</v>
      </c>
      <c r="BL506" s="197">
        <f t="shared" si="385"/>
        <v>0.37608972359227794</v>
      </c>
      <c r="BM506" s="197">
        <f t="shared" si="386"/>
        <v>7.4353030976985271E-2</v>
      </c>
      <c r="BN506" s="197">
        <f t="shared" si="387"/>
        <v>54.461181858619113</v>
      </c>
      <c r="BO506" s="197">
        <f t="shared" si="415"/>
        <v>0.2082789955950014</v>
      </c>
      <c r="BP506" s="197">
        <f t="shared" si="388"/>
        <v>65.620924669625111</v>
      </c>
      <c r="BQ506" s="197">
        <f t="shared" si="389"/>
        <v>9.9596940000000009E-2</v>
      </c>
      <c r="BR506" s="288">
        <f t="shared" si="390"/>
        <v>0.16008975919012108</v>
      </c>
      <c r="BS506" s="197">
        <f t="shared" si="391"/>
        <v>0.11660930017110901</v>
      </c>
      <c r="BT506" s="197">
        <f t="shared" si="392"/>
        <v>0.36419974881911377</v>
      </c>
      <c r="BU506" s="197">
        <f t="shared" si="393"/>
        <v>0.1713930788771201</v>
      </c>
      <c r="BV506" s="197">
        <f t="shared" si="394"/>
        <v>0.53530306917875781</v>
      </c>
      <c r="BW506" s="194"/>
      <c r="BX506" s="194"/>
      <c r="BY506" s="194"/>
      <c r="BZ506" s="194"/>
      <c r="CA506" s="194"/>
      <c r="CB506" s="194"/>
      <c r="CC506" s="194"/>
      <c r="CD506" s="194"/>
      <c r="CE506" s="194"/>
      <c r="CF506" s="194"/>
      <c r="CG506" s="194"/>
      <c r="CH506" s="194"/>
      <c r="CI506" s="194"/>
      <c r="CJ506" s="194"/>
      <c r="CK506" s="194"/>
      <c r="CL506" s="194"/>
      <c r="CM506" s="194"/>
      <c r="CN506" s="194"/>
      <c r="CO506" s="194"/>
      <c r="CP506" s="194"/>
      <c r="CQ506" s="194"/>
      <c r="CR506" s="194"/>
      <c r="CS506" s="194"/>
      <c r="CT506" s="194"/>
      <c r="CU506" s="194"/>
      <c r="CV506" s="194"/>
      <c r="CW506" s="194"/>
      <c r="CX506" s="194"/>
      <c r="CY506" s="194"/>
      <c r="CZ506" s="194"/>
      <c r="DA506" s="194"/>
      <c r="DB506" s="194"/>
      <c r="DC506" s="194"/>
      <c r="DD506" s="194"/>
      <c r="DE506" s="194"/>
      <c r="DF506" s="194"/>
    </row>
    <row r="507" spans="2:110" s="192" customFormat="1" hidden="1" x14ac:dyDescent="0.35">
      <c r="B507" s="289"/>
      <c r="C507" s="289"/>
      <c r="Q507" s="193"/>
      <c r="R507" s="194">
        <f t="shared" si="395"/>
        <v>18</v>
      </c>
      <c r="S507" s="197">
        <f t="shared" si="361"/>
        <v>0.3888888888888889</v>
      </c>
      <c r="T507" s="194">
        <f t="shared" si="416"/>
        <v>0.69</v>
      </c>
      <c r="U507" s="194">
        <f t="shared" si="417"/>
        <v>1.4999999999999999E-4</v>
      </c>
      <c r="V507" s="197">
        <f t="shared" si="396"/>
        <v>0.3888888888888889</v>
      </c>
      <c r="W507" s="197">
        <f t="shared" si="362"/>
        <v>4.3555555555555561E-3</v>
      </c>
      <c r="X507" s="286">
        <f t="shared" si="363"/>
        <v>1</v>
      </c>
      <c r="Y507" s="286">
        <f t="shared" si="364"/>
        <v>0.17335969315081967</v>
      </c>
      <c r="Z507" s="286">
        <f t="shared" si="365"/>
        <v>0.54964853345132902</v>
      </c>
      <c r="AA507" s="286">
        <f t="shared" si="397"/>
        <v>0.17335969315081967</v>
      </c>
      <c r="AB507" s="197">
        <f t="shared" si="366"/>
        <v>0.36419974881911377</v>
      </c>
      <c r="AC507" s="287">
        <f t="shared" si="367"/>
        <v>4.4451203372005044E-7</v>
      </c>
      <c r="AD507" s="197">
        <f t="shared" si="398"/>
        <v>11.693936048110356</v>
      </c>
      <c r="AE507" s="197">
        <f t="shared" si="399"/>
        <v>35.08180814433107</v>
      </c>
      <c r="AF507" s="197">
        <f t="shared" si="400"/>
        <v>8.5178571428571423E-2</v>
      </c>
      <c r="AG507" s="197">
        <f t="shared" si="401"/>
        <v>0.25553571428571431</v>
      </c>
      <c r="AH507" s="197">
        <f t="shared" si="368"/>
        <v>0.11660930017110901</v>
      </c>
      <c r="AI507" s="197">
        <f t="shared" si="402"/>
        <v>0.11660930017110901</v>
      </c>
      <c r="AJ507" s="218">
        <f t="shared" si="369"/>
        <v>390.00000000000006</v>
      </c>
      <c r="AK507" s="197">
        <f t="shared" si="403"/>
        <v>6.0930617977437734E-2</v>
      </c>
      <c r="AL507" s="197">
        <f t="shared" si="404"/>
        <v>9.6203707235237593E-2</v>
      </c>
      <c r="AM507" s="197">
        <f t="shared" si="405"/>
        <v>4.0790371867740751E-3</v>
      </c>
      <c r="AN507" s="197">
        <f t="shared" si="370"/>
        <v>24.05</v>
      </c>
      <c r="AO507" s="197">
        <f t="shared" si="371"/>
        <v>21.69</v>
      </c>
      <c r="AP507" s="197">
        <f t="shared" si="406"/>
        <v>7.4093290390420161E-2</v>
      </c>
      <c r="AQ507" s="197">
        <f t="shared" si="407"/>
        <v>0.42250439890466829</v>
      </c>
      <c r="AR507" s="197">
        <f t="shared" si="408"/>
        <v>0.30589509873355925</v>
      </c>
      <c r="AS507" s="258">
        <f t="shared" si="409"/>
        <v>0.15228632177729159</v>
      </c>
      <c r="AT507" s="197">
        <f t="shared" si="372"/>
        <v>2.5974058656511614E-4</v>
      </c>
      <c r="AU507" s="194">
        <f t="shared" si="373"/>
        <v>21.19</v>
      </c>
      <c r="AV507" s="197">
        <f t="shared" si="374"/>
        <v>2.7E-2</v>
      </c>
      <c r="AW507" s="197">
        <f t="shared" si="375"/>
        <v>3.4260000000000002E-3</v>
      </c>
      <c r="AX507" s="197">
        <f t="shared" si="410"/>
        <v>6.1668000000000001E-2</v>
      </c>
      <c r="AY507" s="197">
        <f t="shared" si="376"/>
        <v>2.8867476000000005E-3</v>
      </c>
      <c r="AZ507" s="197">
        <f t="shared" si="377"/>
        <v>0</v>
      </c>
      <c r="BA507" s="197">
        <f t="shared" si="411"/>
        <v>7.2596940000000013E-2</v>
      </c>
      <c r="BB507" s="258">
        <f t="shared" si="378"/>
        <v>0.36575210336206115</v>
      </c>
      <c r="BC507" s="197">
        <f t="shared" si="379"/>
        <v>2.2380490766334034E-2</v>
      </c>
      <c r="BD507" s="197">
        <f t="shared" si="412"/>
        <v>4.4760981532668068E-3</v>
      </c>
      <c r="BE507" s="197">
        <f t="shared" si="413"/>
        <v>2.6856588919600841E-2</v>
      </c>
      <c r="BF507" s="197">
        <f t="shared" si="380"/>
        <v>0.20773291256157633</v>
      </c>
      <c r="BG507" s="197">
        <f t="shared" si="381"/>
        <v>5.4608303342508187E-4</v>
      </c>
      <c r="BH507" s="197">
        <f t="shared" si="382"/>
        <v>3.5336687086656722E-2</v>
      </c>
      <c r="BI507" s="197">
        <f t="shared" si="414"/>
        <v>0.44730899017824427</v>
      </c>
      <c r="BJ507" s="197">
        <f t="shared" si="383"/>
        <v>6.769615024661003</v>
      </c>
      <c r="BK507" s="288">
        <f t="shared" si="384"/>
        <v>0.93392401361838984</v>
      </c>
      <c r="BL507" s="197">
        <f t="shared" si="385"/>
        <v>0.37608972359227794</v>
      </c>
      <c r="BM507" s="197">
        <f t="shared" si="386"/>
        <v>7.4353030976985271E-2</v>
      </c>
      <c r="BN507" s="197">
        <f t="shared" si="387"/>
        <v>54.461181858619113</v>
      </c>
      <c r="BO507" s="197">
        <f t="shared" si="415"/>
        <v>0.2082789955950014</v>
      </c>
      <c r="BP507" s="197">
        <f t="shared" si="388"/>
        <v>65.620924669625111</v>
      </c>
      <c r="BQ507" s="197">
        <f t="shared" si="389"/>
        <v>9.9596940000000009E-2</v>
      </c>
      <c r="BR507" s="288">
        <f t="shared" si="390"/>
        <v>0.16008975919012108</v>
      </c>
      <c r="BS507" s="197">
        <f t="shared" si="391"/>
        <v>0.11660930017110901</v>
      </c>
      <c r="BT507" s="197">
        <f t="shared" si="392"/>
        <v>0.36419974881911377</v>
      </c>
      <c r="BU507" s="197">
        <f t="shared" si="393"/>
        <v>0.1713930788771201</v>
      </c>
      <c r="BV507" s="197">
        <f t="shared" si="394"/>
        <v>0.53530306917875781</v>
      </c>
      <c r="BW507" s="194"/>
      <c r="BX507" s="194"/>
      <c r="BY507" s="194"/>
      <c r="BZ507" s="194"/>
      <c r="CA507" s="194"/>
      <c r="CB507" s="194"/>
      <c r="CC507" s="194"/>
      <c r="CD507" s="194"/>
      <c r="CE507" s="194"/>
      <c r="CF507" s="194"/>
      <c r="CG507" s="194"/>
      <c r="CH507" s="194"/>
      <c r="CI507" s="194"/>
      <c r="CJ507" s="194"/>
      <c r="CK507" s="194"/>
      <c r="CL507" s="194"/>
      <c r="CM507" s="194"/>
      <c r="CN507" s="194"/>
      <c r="CO507" s="194"/>
      <c r="CP507" s="194"/>
      <c r="CQ507" s="194"/>
      <c r="CR507" s="194"/>
      <c r="CS507" s="194"/>
      <c r="CT507" s="194"/>
      <c r="CU507" s="194"/>
      <c r="CV507" s="194"/>
      <c r="CW507" s="194"/>
      <c r="CX507" s="194"/>
      <c r="CY507" s="194"/>
      <c r="CZ507" s="194"/>
      <c r="DA507" s="194"/>
      <c r="DB507" s="194"/>
      <c r="DC507" s="194"/>
      <c r="DD507" s="194"/>
      <c r="DE507" s="194"/>
      <c r="DF507" s="194"/>
    </row>
    <row r="508" spans="2:110" s="192" customFormat="1" hidden="1" x14ac:dyDescent="0.35">
      <c r="B508" s="289"/>
      <c r="C508" s="289"/>
      <c r="Q508" s="193"/>
      <c r="R508" s="194">
        <f t="shared" si="395"/>
        <v>18</v>
      </c>
      <c r="S508" s="197">
        <f t="shared" si="361"/>
        <v>0.3888888888888889</v>
      </c>
      <c r="T508" s="194">
        <f t="shared" si="416"/>
        <v>0.69</v>
      </c>
      <c r="U508" s="194">
        <f t="shared" si="417"/>
        <v>1.4999999999999999E-4</v>
      </c>
      <c r="V508" s="197">
        <f t="shared" si="396"/>
        <v>0.3888888888888889</v>
      </c>
      <c r="W508" s="197">
        <f t="shared" si="362"/>
        <v>4.3555555555555561E-3</v>
      </c>
      <c r="X508" s="286">
        <f t="shared" si="363"/>
        <v>1</v>
      </c>
      <c r="Y508" s="286">
        <f t="shared" si="364"/>
        <v>0.17335969315081967</v>
      </c>
      <c r="Z508" s="286">
        <f t="shared" si="365"/>
        <v>0.54964853345132902</v>
      </c>
      <c r="AA508" s="286">
        <f t="shared" si="397"/>
        <v>0.17335969315081967</v>
      </c>
      <c r="AB508" s="197">
        <f t="shared" si="366"/>
        <v>0.36419974881911377</v>
      </c>
      <c r="AC508" s="287">
        <f t="shared" si="367"/>
        <v>4.4451203372005044E-7</v>
      </c>
      <c r="AD508" s="197">
        <f t="shared" si="398"/>
        <v>11.693936048110356</v>
      </c>
      <c r="AE508" s="197">
        <f t="shared" si="399"/>
        <v>35.08180814433107</v>
      </c>
      <c r="AF508" s="197">
        <f t="shared" si="400"/>
        <v>8.5178571428571423E-2</v>
      </c>
      <c r="AG508" s="197">
        <f t="shared" si="401"/>
        <v>0.25553571428571431</v>
      </c>
      <c r="AH508" s="197">
        <f t="shared" si="368"/>
        <v>0.11660930017110901</v>
      </c>
      <c r="AI508" s="197">
        <f t="shared" si="402"/>
        <v>0.11660930017110901</v>
      </c>
      <c r="AJ508" s="218">
        <f t="shared" si="369"/>
        <v>390.00000000000006</v>
      </c>
      <c r="AK508" s="197">
        <f t="shared" si="403"/>
        <v>6.0930617977437734E-2</v>
      </c>
      <c r="AL508" s="197">
        <f t="shared" si="404"/>
        <v>9.6203707235237593E-2</v>
      </c>
      <c r="AM508" s="197">
        <f t="shared" si="405"/>
        <v>4.0790371867740751E-3</v>
      </c>
      <c r="AN508" s="197">
        <f t="shared" si="370"/>
        <v>24.05</v>
      </c>
      <c r="AO508" s="197">
        <f t="shared" si="371"/>
        <v>21.69</v>
      </c>
      <c r="AP508" s="197">
        <f t="shared" si="406"/>
        <v>7.4093290390420161E-2</v>
      </c>
      <c r="AQ508" s="197">
        <f t="shared" si="407"/>
        <v>0.42250439890466829</v>
      </c>
      <c r="AR508" s="197">
        <f t="shared" si="408"/>
        <v>0.30589509873355925</v>
      </c>
      <c r="AS508" s="258">
        <f t="shared" si="409"/>
        <v>0.15228632177729159</v>
      </c>
      <c r="AT508" s="197">
        <f t="shared" si="372"/>
        <v>2.5974058656511614E-4</v>
      </c>
      <c r="AU508" s="194">
        <f t="shared" si="373"/>
        <v>21.19</v>
      </c>
      <c r="AV508" s="197">
        <f t="shared" si="374"/>
        <v>2.7E-2</v>
      </c>
      <c r="AW508" s="197">
        <f t="shared" si="375"/>
        <v>3.4260000000000002E-3</v>
      </c>
      <c r="AX508" s="197">
        <f t="shared" si="410"/>
        <v>6.1668000000000001E-2</v>
      </c>
      <c r="AY508" s="197">
        <f t="shared" si="376"/>
        <v>2.8867476000000005E-3</v>
      </c>
      <c r="AZ508" s="197">
        <f t="shared" si="377"/>
        <v>0</v>
      </c>
      <c r="BA508" s="197">
        <f t="shared" si="411"/>
        <v>7.2596940000000013E-2</v>
      </c>
      <c r="BB508" s="258">
        <f t="shared" si="378"/>
        <v>0.36575210336206115</v>
      </c>
      <c r="BC508" s="197">
        <f t="shared" si="379"/>
        <v>2.2380490766334034E-2</v>
      </c>
      <c r="BD508" s="197">
        <f t="shared" si="412"/>
        <v>4.4760981532668068E-3</v>
      </c>
      <c r="BE508" s="197">
        <f t="shared" si="413"/>
        <v>2.6856588919600841E-2</v>
      </c>
      <c r="BF508" s="197">
        <f t="shared" si="380"/>
        <v>0.20773291256157633</v>
      </c>
      <c r="BG508" s="197">
        <f t="shared" si="381"/>
        <v>5.4608303342508187E-4</v>
      </c>
      <c r="BH508" s="197">
        <f t="shared" si="382"/>
        <v>3.5336687086656722E-2</v>
      </c>
      <c r="BI508" s="197">
        <f t="shared" si="414"/>
        <v>0.44730899017824427</v>
      </c>
      <c r="BJ508" s="197">
        <f t="shared" si="383"/>
        <v>6.769615024661003</v>
      </c>
      <c r="BK508" s="288">
        <f t="shared" si="384"/>
        <v>0.93392401361838984</v>
      </c>
      <c r="BL508" s="197">
        <f t="shared" si="385"/>
        <v>0.37608972359227794</v>
      </c>
      <c r="BM508" s="197">
        <f t="shared" si="386"/>
        <v>7.4353030976985271E-2</v>
      </c>
      <c r="BN508" s="197">
        <f t="shared" si="387"/>
        <v>54.461181858619113</v>
      </c>
      <c r="BO508" s="197">
        <f t="shared" si="415"/>
        <v>0.2082789955950014</v>
      </c>
      <c r="BP508" s="197">
        <f t="shared" si="388"/>
        <v>65.620924669625111</v>
      </c>
      <c r="BQ508" s="197">
        <f t="shared" si="389"/>
        <v>9.9596940000000009E-2</v>
      </c>
      <c r="BR508" s="288">
        <f t="shared" si="390"/>
        <v>0.16008975919012108</v>
      </c>
      <c r="BS508" s="197">
        <f t="shared" si="391"/>
        <v>0.11660930017110901</v>
      </c>
      <c r="BT508" s="197">
        <f t="shared" si="392"/>
        <v>0.36419974881911377</v>
      </c>
      <c r="BU508" s="197">
        <f t="shared" si="393"/>
        <v>0.1713930788771201</v>
      </c>
      <c r="BV508" s="197">
        <f t="shared" si="394"/>
        <v>0.53530306917875781</v>
      </c>
      <c r="BW508" s="194"/>
      <c r="BX508" s="194"/>
      <c r="BY508" s="194"/>
      <c r="BZ508" s="194"/>
      <c r="CA508" s="194"/>
      <c r="CB508" s="194"/>
      <c r="CC508" s="194"/>
      <c r="CD508" s="194"/>
      <c r="CE508" s="194"/>
      <c r="CF508" s="194"/>
      <c r="CG508" s="194"/>
      <c r="CH508" s="194"/>
      <c r="CI508" s="194"/>
      <c r="CJ508" s="194"/>
      <c r="CK508" s="194"/>
      <c r="CL508" s="194"/>
      <c r="CM508" s="194"/>
      <c r="CN508" s="194"/>
      <c r="CO508" s="194"/>
      <c r="CP508" s="194"/>
      <c r="CQ508" s="194"/>
      <c r="CR508" s="194"/>
      <c r="CS508" s="194"/>
      <c r="CT508" s="194"/>
      <c r="CU508" s="194"/>
      <c r="CV508" s="194"/>
      <c r="CW508" s="194"/>
      <c r="CX508" s="194"/>
      <c r="CY508" s="194"/>
      <c r="CZ508" s="194"/>
      <c r="DA508" s="194"/>
      <c r="DB508" s="194"/>
      <c r="DC508" s="194"/>
      <c r="DD508" s="194"/>
      <c r="DE508" s="194"/>
      <c r="DF508" s="194"/>
    </row>
    <row r="509" spans="2:110" s="192" customFormat="1" hidden="1" x14ac:dyDescent="0.35">
      <c r="B509" s="289"/>
      <c r="C509" s="289"/>
      <c r="Q509" s="193"/>
      <c r="R509" s="194">
        <f t="shared" si="395"/>
        <v>18</v>
      </c>
      <c r="S509" s="197">
        <f t="shared" si="361"/>
        <v>0.3888888888888889</v>
      </c>
      <c r="T509" s="194">
        <f t="shared" si="416"/>
        <v>0.69</v>
      </c>
      <c r="U509" s="194">
        <f t="shared" si="417"/>
        <v>1.4999999999999999E-4</v>
      </c>
      <c r="V509" s="197">
        <f t="shared" si="396"/>
        <v>0.3888888888888889</v>
      </c>
      <c r="W509" s="197">
        <f t="shared" si="362"/>
        <v>4.3555555555555561E-3</v>
      </c>
      <c r="X509" s="286">
        <f t="shared" si="363"/>
        <v>1</v>
      </c>
      <c r="Y509" s="286">
        <f t="shared" si="364"/>
        <v>0.17335969315081967</v>
      </c>
      <c r="Z509" s="286">
        <f t="shared" si="365"/>
        <v>0.54964853345132902</v>
      </c>
      <c r="AA509" s="286">
        <f t="shared" si="397"/>
        <v>0.17335969315081967</v>
      </c>
      <c r="AB509" s="197">
        <f t="shared" si="366"/>
        <v>0.36419974881911377</v>
      </c>
      <c r="AC509" s="287">
        <f t="shared" si="367"/>
        <v>4.4451203372005044E-7</v>
      </c>
      <c r="AD509" s="197">
        <f t="shared" si="398"/>
        <v>11.693936048110356</v>
      </c>
      <c r="AE509" s="197">
        <f t="shared" si="399"/>
        <v>35.08180814433107</v>
      </c>
      <c r="AF509" s="197">
        <f t="shared" si="400"/>
        <v>8.5178571428571423E-2</v>
      </c>
      <c r="AG509" s="197">
        <f t="shared" si="401"/>
        <v>0.25553571428571431</v>
      </c>
      <c r="AH509" s="197">
        <f t="shared" si="368"/>
        <v>0.11660930017110901</v>
      </c>
      <c r="AI509" s="197">
        <f t="shared" si="402"/>
        <v>0.11660930017110901</v>
      </c>
      <c r="AJ509" s="218">
        <f t="shared" si="369"/>
        <v>390.00000000000006</v>
      </c>
      <c r="AK509" s="197">
        <f t="shared" si="403"/>
        <v>6.0930617977437734E-2</v>
      </c>
      <c r="AL509" s="197">
        <f t="shared" si="404"/>
        <v>9.6203707235237593E-2</v>
      </c>
      <c r="AM509" s="197">
        <f t="shared" si="405"/>
        <v>4.0790371867740751E-3</v>
      </c>
      <c r="AN509" s="197">
        <f t="shared" si="370"/>
        <v>24.05</v>
      </c>
      <c r="AO509" s="197">
        <f t="shared" si="371"/>
        <v>21.69</v>
      </c>
      <c r="AP509" s="197">
        <f t="shared" si="406"/>
        <v>7.4093290390420161E-2</v>
      </c>
      <c r="AQ509" s="197">
        <f t="shared" si="407"/>
        <v>0.42250439890466829</v>
      </c>
      <c r="AR509" s="197">
        <f t="shared" si="408"/>
        <v>0.30589509873355925</v>
      </c>
      <c r="AS509" s="258">
        <f t="shared" si="409"/>
        <v>0.15228632177729159</v>
      </c>
      <c r="AT509" s="197">
        <f t="shared" si="372"/>
        <v>2.5974058656511614E-4</v>
      </c>
      <c r="AU509" s="194">
        <f t="shared" si="373"/>
        <v>21.19</v>
      </c>
      <c r="AV509" s="197">
        <f t="shared" si="374"/>
        <v>2.7E-2</v>
      </c>
      <c r="AW509" s="197">
        <f t="shared" si="375"/>
        <v>3.4260000000000002E-3</v>
      </c>
      <c r="AX509" s="197">
        <f t="shared" si="410"/>
        <v>6.1668000000000001E-2</v>
      </c>
      <c r="AY509" s="197">
        <f t="shared" si="376"/>
        <v>2.8867476000000005E-3</v>
      </c>
      <c r="AZ509" s="197">
        <f t="shared" si="377"/>
        <v>0</v>
      </c>
      <c r="BA509" s="197">
        <f t="shared" si="411"/>
        <v>7.2596940000000013E-2</v>
      </c>
      <c r="BB509" s="258">
        <f t="shared" si="378"/>
        <v>0.36575210336206115</v>
      </c>
      <c r="BC509" s="197">
        <f t="shared" si="379"/>
        <v>2.2380490766334034E-2</v>
      </c>
      <c r="BD509" s="197">
        <f t="shared" si="412"/>
        <v>4.4760981532668068E-3</v>
      </c>
      <c r="BE509" s="197">
        <f t="shared" si="413"/>
        <v>2.6856588919600841E-2</v>
      </c>
      <c r="BF509" s="197">
        <f t="shared" si="380"/>
        <v>0.20773291256157633</v>
      </c>
      <c r="BG509" s="197">
        <f t="shared" si="381"/>
        <v>5.4608303342508187E-4</v>
      </c>
      <c r="BH509" s="197">
        <f t="shared" si="382"/>
        <v>3.5336687086656722E-2</v>
      </c>
      <c r="BI509" s="197">
        <f t="shared" si="414"/>
        <v>0.44730899017824427</v>
      </c>
      <c r="BJ509" s="197">
        <f t="shared" si="383"/>
        <v>6.769615024661003</v>
      </c>
      <c r="BK509" s="288">
        <f t="shared" si="384"/>
        <v>0.93392401361838984</v>
      </c>
      <c r="BL509" s="197">
        <f t="shared" si="385"/>
        <v>0.37608972359227794</v>
      </c>
      <c r="BM509" s="197">
        <f t="shared" si="386"/>
        <v>7.4353030976985271E-2</v>
      </c>
      <c r="BN509" s="197">
        <f t="shared" si="387"/>
        <v>54.461181858619113</v>
      </c>
      <c r="BO509" s="197">
        <f t="shared" si="415"/>
        <v>0.2082789955950014</v>
      </c>
      <c r="BP509" s="197">
        <f t="shared" si="388"/>
        <v>65.620924669625111</v>
      </c>
      <c r="BQ509" s="197">
        <f t="shared" si="389"/>
        <v>9.9596940000000009E-2</v>
      </c>
      <c r="BR509" s="288">
        <f t="shared" si="390"/>
        <v>0.16008975919012108</v>
      </c>
      <c r="BS509" s="197">
        <f t="shared" si="391"/>
        <v>0.11660930017110901</v>
      </c>
      <c r="BT509" s="197">
        <f t="shared" si="392"/>
        <v>0.36419974881911377</v>
      </c>
      <c r="BU509" s="197">
        <f t="shared" si="393"/>
        <v>0.1713930788771201</v>
      </c>
      <c r="BV509" s="197">
        <f t="shared" si="394"/>
        <v>0.53530306917875781</v>
      </c>
      <c r="BW509" s="194"/>
      <c r="BX509" s="194"/>
      <c r="BY509" s="194"/>
      <c r="BZ509" s="194"/>
      <c r="CA509" s="194"/>
      <c r="CB509" s="194"/>
      <c r="CC509" s="194"/>
      <c r="CD509" s="194"/>
      <c r="CE509" s="194"/>
      <c r="CF509" s="194"/>
      <c r="CG509" s="194"/>
      <c r="CH509" s="194"/>
      <c r="CI509" s="194"/>
      <c r="CJ509" s="194"/>
      <c r="CK509" s="194"/>
      <c r="CL509" s="194"/>
      <c r="CM509" s="194"/>
      <c r="CN509" s="194"/>
      <c r="CO509" s="194"/>
      <c r="CP509" s="194"/>
      <c r="CQ509" s="194"/>
      <c r="CR509" s="194"/>
      <c r="CS509" s="194"/>
      <c r="CT509" s="194"/>
      <c r="CU509" s="194"/>
      <c r="CV509" s="194"/>
      <c r="CW509" s="194"/>
      <c r="CX509" s="194"/>
      <c r="CY509" s="194"/>
      <c r="CZ509" s="194"/>
      <c r="DA509" s="194"/>
      <c r="DB509" s="194"/>
      <c r="DC509" s="194"/>
      <c r="DD509" s="194"/>
      <c r="DE509" s="194"/>
      <c r="DF509" s="194"/>
    </row>
    <row r="510" spans="2:110" s="192" customFormat="1" hidden="1" x14ac:dyDescent="0.35">
      <c r="B510" s="289"/>
      <c r="C510" s="289"/>
      <c r="Q510" s="193"/>
      <c r="R510" s="194">
        <f t="shared" si="395"/>
        <v>18</v>
      </c>
      <c r="S510" s="197">
        <f t="shared" si="361"/>
        <v>0.3888888888888889</v>
      </c>
      <c r="T510" s="194">
        <f t="shared" si="416"/>
        <v>0.69</v>
      </c>
      <c r="U510" s="194">
        <f t="shared" si="417"/>
        <v>1.4999999999999999E-4</v>
      </c>
      <c r="V510" s="197">
        <f t="shared" si="396"/>
        <v>0.3888888888888889</v>
      </c>
      <c r="W510" s="197">
        <f t="shared" si="362"/>
        <v>4.3555555555555561E-3</v>
      </c>
      <c r="X510" s="286">
        <f t="shared" si="363"/>
        <v>1</v>
      </c>
      <c r="Y510" s="286">
        <f t="shared" si="364"/>
        <v>0.17335969315081967</v>
      </c>
      <c r="Z510" s="286">
        <f t="shared" si="365"/>
        <v>0.54964853345132902</v>
      </c>
      <c r="AA510" s="286">
        <f t="shared" si="397"/>
        <v>0.17335969315081967</v>
      </c>
      <c r="AB510" s="197">
        <f t="shared" si="366"/>
        <v>0.36419974881911377</v>
      </c>
      <c r="AC510" s="287">
        <f t="shared" si="367"/>
        <v>4.4451203372005044E-7</v>
      </c>
      <c r="AD510" s="197">
        <f t="shared" si="398"/>
        <v>11.693936048110356</v>
      </c>
      <c r="AE510" s="197">
        <f t="shared" si="399"/>
        <v>35.08180814433107</v>
      </c>
      <c r="AF510" s="197">
        <f t="shared" si="400"/>
        <v>8.5178571428571423E-2</v>
      </c>
      <c r="AG510" s="197">
        <f t="shared" si="401"/>
        <v>0.25553571428571431</v>
      </c>
      <c r="AH510" s="197">
        <f t="shared" si="368"/>
        <v>0.11660930017110901</v>
      </c>
      <c r="AI510" s="197">
        <f t="shared" si="402"/>
        <v>0.11660930017110901</v>
      </c>
      <c r="AJ510" s="218">
        <f t="shared" si="369"/>
        <v>390.00000000000006</v>
      </c>
      <c r="AK510" s="197">
        <f t="shared" si="403"/>
        <v>6.0930617977437734E-2</v>
      </c>
      <c r="AL510" s="197">
        <f t="shared" si="404"/>
        <v>9.6203707235237593E-2</v>
      </c>
      <c r="AM510" s="197">
        <f t="shared" si="405"/>
        <v>4.0790371867740751E-3</v>
      </c>
      <c r="AN510" s="197">
        <f t="shared" si="370"/>
        <v>24.05</v>
      </c>
      <c r="AO510" s="197">
        <f t="shared" si="371"/>
        <v>21.69</v>
      </c>
      <c r="AP510" s="197">
        <f t="shared" si="406"/>
        <v>7.4093290390420161E-2</v>
      </c>
      <c r="AQ510" s="197">
        <f t="shared" si="407"/>
        <v>0.42250439890466829</v>
      </c>
      <c r="AR510" s="197">
        <f t="shared" si="408"/>
        <v>0.30589509873355925</v>
      </c>
      <c r="AS510" s="258">
        <f t="shared" si="409"/>
        <v>0.15228632177729159</v>
      </c>
      <c r="AT510" s="197">
        <f t="shared" si="372"/>
        <v>2.5974058656511614E-4</v>
      </c>
      <c r="AU510" s="194">
        <f t="shared" si="373"/>
        <v>21.19</v>
      </c>
      <c r="AV510" s="197">
        <f t="shared" si="374"/>
        <v>2.7E-2</v>
      </c>
      <c r="AW510" s="197">
        <f t="shared" si="375"/>
        <v>3.4260000000000002E-3</v>
      </c>
      <c r="AX510" s="197">
        <f t="shared" si="410"/>
        <v>6.1668000000000001E-2</v>
      </c>
      <c r="AY510" s="197">
        <f t="shared" si="376"/>
        <v>2.8867476000000005E-3</v>
      </c>
      <c r="AZ510" s="197">
        <f t="shared" si="377"/>
        <v>0</v>
      </c>
      <c r="BA510" s="197">
        <f t="shared" si="411"/>
        <v>7.2596940000000013E-2</v>
      </c>
      <c r="BB510" s="258">
        <f t="shared" si="378"/>
        <v>0.36575210336206115</v>
      </c>
      <c r="BC510" s="197">
        <f t="shared" si="379"/>
        <v>2.2380490766334034E-2</v>
      </c>
      <c r="BD510" s="197">
        <f t="shared" si="412"/>
        <v>4.4760981532668068E-3</v>
      </c>
      <c r="BE510" s="197">
        <f t="shared" si="413"/>
        <v>2.6856588919600841E-2</v>
      </c>
      <c r="BF510" s="197">
        <f t="shared" si="380"/>
        <v>0.20773291256157633</v>
      </c>
      <c r="BG510" s="197">
        <f t="shared" si="381"/>
        <v>5.4608303342508187E-4</v>
      </c>
      <c r="BH510" s="197">
        <f t="shared" si="382"/>
        <v>3.5336687086656722E-2</v>
      </c>
      <c r="BI510" s="197">
        <f t="shared" si="414"/>
        <v>0.44730899017824427</v>
      </c>
      <c r="BJ510" s="197">
        <f t="shared" si="383"/>
        <v>6.769615024661003</v>
      </c>
      <c r="BK510" s="288">
        <f t="shared" si="384"/>
        <v>0.93392401361838984</v>
      </c>
      <c r="BL510" s="197">
        <f t="shared" si="385"/>
        <v>0.37608972359227794</v>
      </c>
      <c r="BM510" s="197">
        <f t="shared" si="386"/>
        <v>7.4353030976985271E-2</v>
      </c>
      <c r="BN510" s="197">
        <f t="shared" si="387"/>
        <v>54.461181858619113</v>
      </c>
      <c r="BO510" s="197">
        <f t="shared" si="415"/>
        <v>0.2082789955950014</v>
      </c>
      <c r="BP510" s="197">
        <f t="shared" si="388"/>
        <v>65.620924669625111</v>
      </c>
      <c r="BQ510" s="197">
        <f t="shared" si="389"/>
        <v>9.9596940000000009E-2</v>
      </c>
      <c r="BR510" s="288">
        <f t="shared" si="390"/>
        <v>0.16008975919012108</v>
      </c>
      <c r="BS510" s="197">
        <f t="shared" si="391"/>
        <v>0.11660930017110901</v>
      </c>
      <c r="BT510" s="197">
        <f t="shared" si="392"/>
        <v>0.36419974881911377</v>
      </c>
      <c r="BU510" s="197">
        <f t="shared" si="393"/>
        <v>0.1713930788771201</v>
      </c>
      <c r="BV510" s="197">
        <f t="shared" si="394"/>
        <v>0.53530306917875781</v>
      </c>
      <c r="BW510" s="194"/>
      <c r="BX510" s="194"/>
      <c r="BY510" s="194"/>
      <c r="BZ510" s="194"/>
      <c r="CA510" s="194"/>
      <c r="CB510" s="194"/>
      <c r="CC510" s="194"/>
      <c r="CD510" s="194"/>
      <c r="CE510" s="194"/>
      <c r="CF510" s="194"/>
      <c r="CG510" s="194"/>
      <c r="CH510" s="194"/>
      <c r="CI510" s="194"/>
      <c r="CJ510" s="194"/>
      <c r="CK510" s="194"/>
      <c r="CL510" s="194"/>
      <c r="CM510" s="194"/>
      <c r="CN510" s="194"/>
      <c r="CO510" s="194"/>
      <c r="CP510" s="194"/>
      <c r="CQ510" s="194"/>
      <c r="CR510" s="194"/>
      <c r="CS510" s="194"/>
      <c r="CT510" s="194"/>
      <c r="CU510" s="194"/>
      <c r="CV510" s="194"/>
      <c r="CW510" s="194"/>
      <c r="CX510" s="194"/>
      <c r="CY510" s="194"/>
      <c r="CZ510" s="194"/>
      <c r="DA510" s="194"/>
      <c r="DB510" s="194"/>
      <c r="DC510" s="194"/>
      <c r="DD510" s="194"/>
      <c r="DE510" s="194"/>
      <c r="DF510" s="194"/>
    </row>
    <row r="511" spans="2:110" s="192" customFormat="1" hidden="1" x14ac:dyDescent="0.35">
      <c r="B511" s="289"/>
      <c r="C511" s="289"/>
      <c r="Q511" s="193"/>
      <c r="R511" s="194">
        <f t="shared" si="395"/>
        <v>18</v>
      </c>
      <c r="S511" s="197">
        <f t="shared" si="361"/>
        <v>0.3888888888888889</v>
      </c>
      <c r="T511" s="194">
        <f t="shared" si="416"/>
        <v>0.69</v>
      </c>
      <c r="U511" s="194">
        <f t="shared" si="417"/>
        <v>1.4999999999999999E-4</v>
      </c>
      <c r="V511" s="197">
        <f t="shared" si="396"/>
        <v>0.3888888888888889</v>
      </c>
      <c r="W511" s="197">
        <f t="shared" si="362"/>
        <v>4.3555555555555561E-3</v>
      </c>
      <c r="X511" s="286">
        <f t="shared" si="363"/>
        <v>1</v>
      </c>
      <c r="Y511" s="286">
        <f t="shared" si="364"/>
        <v>0.17335969315081967</v>
      </c>
      <c r="Z511" s="286">
        <f t="shared" si="365"/>
        <v>0.54964853345132902</v>
      </c>
      <c r="AA511" s="286">
        <f t="shared" si="397"/>
        <v>0.17335969315081967</v>
      </c>
      <c r="AB511" s="197">
        <f t="shared" si="366"/>
        <v>0.36419974881911377</v>
      </c>
      <c r="AC511" s="287">
        <f t="shared" si="367"/>
        <v>4.4451203372005044E-7</v>
      </c>
      <c r="AD511" s="197">
        <f t="shared" si="398"/>
        <v>11.693936048110356</v>
      </c>
      <c r="AE511" s="197">
        <f t="shared" si="399"/>
        <v>35.08180814433107</v>
      </c>
      <c r="AF511" s="197">
        <f t="shared" si="400"/>
        <v>8.5178571428571423E-2</v>
      </c>
      <c r="AG511" s="197">
        <f t="shared" si="401"/>
        <v>0.25553571428571431</v>
      </c>
      <c r="AH511" s="197">
        <f t="shared" si="368"/>
        <v>0.11660930017110901</v>
      </c>
      <c r="AI511" s="197">
        <f t="shared" si="402"/>
        <v>0.11660930017110901</v>
      </c>
      <c r="AJ511" s="218">
        <f t="shared" si="369"/>
        <v>390.00000000000006</v>
      </c>
      <c r="AK511" s="197">
        <f t="shared" si="403"/>
        <v>6.0930617977437734E-2</v>
      </c>
      <c r="AL511" s="197">
        <f t="shared" si="404"/>
        <v>9.6203707235237593E-2</v>
      </c>
      <c r="AM511" s="197">
        <f t="shared" si="405"/>
        <v>4.0790371867740751E-3</v>
      </c>
      <c r="AN511" s="197">
        <f t="shared" si="370"/>
        <v>24.05</v>
      </c>
      <c r="AO511" s="197">
        <f t="shared" si="371"/>
        <v>21.69</v>
      </c>
      <c r="AP511" s="197">
        <f t="shared" si="406"/>
        <v>7.4093290390420161E-2</v>
      </c>
      <c r="AQ511" s="197">
        <f t="shared" si="407"/>
        <v>0.42250439890466829</v>
      </c>
      <c r="AR511" s="197">
        <f t="shared" si="408"/>
        <v>0.30589509873355925</v>
      </c>
      <c r="AS511" s="258">
        <f t="shared" si="409"/>
        <v>0.15228632177729159</v>
      </c>
      <c r="AT511" s="197">
        <f t="shared" si="372"/>
        <v>2.5974058656511614E-4</v>
      </c>
      <c r="AU511" s="194">
        <f t="shared" si="373"/>
        <v>21.19</v>
      </c>
      <c r="AV511" s="197">
        <f t="shared" si="374"/>
        <v>2.7E-2</v>
      </c>
      <c r="AW511" s="197">
        <f t="shared" si="375"/>
        <v>3.4260000000000002E-3</v>
      </c>
      <c r="AX511" s="197">
        <f t="shared" si="410"/>
        <v>6.1668000000000001E-2</v>
      </c>
      <c r="AY511" s="197">
        <f t="shared" si="376"/>
        <v>2.8867476000000005E-3</v>
      </c>
      <c r="AZ511" s="197">
        <f t="shared" si="377"/>
        <v>0</v>
      </c>
      <c r="BA511" s="197">
        <f t="shared" si="411"/>
        <v>7.2596940000000013E-2</v>
      </c>
      <c r="BB511" s="258">
        <f t="shared" si="378"/>
        <v>0.36575210336206115</v>
      </c>
      <c r="BC511" s="197">
        <f t="shared" si="379"/>
        <v>2.2380490766334034E-2</v>
      </c>
      <c r="BD511" s="197">
        <f t="shared" si="412"/>
        <v>4.4760981532668068E-3</v>
      </c>
      <c r="BE511" s="197">
        <f t="shared" si="413"/>
        <v>2.6856588919600841E-2</v>
      </c>
      <c r="BF511" s="197">
        <f t="shared" si="380"/>
        <v>0.20773291256157633</v>
      </c>
      <c r="BG511" s="197">
        <f t="shared" si="381"/>
        <v>5.4608303342508187E-4</v>
      </c>
      <c r="BH511" s="197">
        <f t="shared" si="382"/>
        <v>3.5336687086656722E-2</v>
      </c>
      <c r="BI511" s="197">
        <f t="shared" si="414"/>
        <v>0.44730899017824427</v>
      </c>
      <c r="BJ511" s="197">
        <f t="shared" si="383"/>
        <v>6.769615024661003</v>
      </c>
      <c r="BK511" s="288">
        <f t="shared" si="384"/>
        <v>0.93392401361838984</v>
      </c>
      <c r="BL511" s="197">
        <f t="shared" si="385"/>
        <v>0.37608972359227794</v>
      </c>
      <c r="BM511" s="197">
        <f t="shared" si="386"/>
        <v>7.4353030976985271E-2</v>
      </c>
      <c r="BN511" s="197">
        <f t="shared" si="387"/>
        <v>54.461181858619113</v>
      </c>
      <c r="BO511" s="197">
        <f t="shared" si="415"/>
        <v>0.2082789955950014</v>
      </c>
      <c r="BP511" s="197">
        <f t="shared" si="388"/>
        <v>65.620924669625111</v>
      </c>
      <c r="BQ511" s="197">
        <f t="shared" si="389"/>
        <v>9.9596940000000009E-2</v>
      </c>
      <c r="BR511" s="288">
        <f t="shared" si="390"/>
        <v>0.16008975919012108</v>
      </c>
      <c r="BS511" s="197">
        <f t="shared" si="391"/>
        <v>0.11660930017110901</v>
      </c>
      <c r="BT511" s="197">
        <f t="shared" si="392"/>
        <v>0.36419974881911377</v>
      </c>
      <c r="BU511" s="197">
        <f t="shared" si="393"/>
        <v>0.1713930788771201</v>
      </c>
      <c r="BV511" s="197">
        <f t="shared" si="394"/>
        <v>0.53530306917875781</v>
      </c>
      <c r="BW511" s="194"/>
      <c r="BX511" s="194"/>
      <c r="BY511" s="194"/>
      <c r="BZ511" s="194"/>
      <c r="CA511" s="194"/>
      <c r="CB511" s="194"/>
      <c r="CC511" s="194"/>
      <c r="CD511" s="194"/>
      <c r="CE511" s="194"/>
      <c r="CF511" s="194"/>
      <c r="CG511" s="194"/>
      <c r="CH511" s="194"/>
      <c r="CI511" s="194"/>
      <c r="CJ511" s="194"/>
      <c r="CK511" s="194"/>
      <c r="CL511" s="194"/>
      <c r="CM511" s="194"/>
      <c r="CN511" s="194"/>
      <c r="CO511" s="194"/>
      <c r="CP511" s="194"/>
      <c r="CQ511" s="194"/>
      <c r="CR511" s="194"/>
      <c r="CS511" s="194"/>
      <c r="CT511" s="194"/>
      <c r="CU511" s="194"/>
      <c r="CV511" s="194"/>
      <c r="CW511" s="194"/>
      <c r="CX511" s="194"/>
      <c r="CY511" s="194"/>
      <c r="CZ511" s="194"/>
      <c r="DA511" s="194"/>
      <c r="DB511" s="194"/>
      <c r="DC511" s="194"/>
      <c r="DD511" s="194"/>
      <c r="DE511" s="194"/>
      <c r="DF511" s="194"/>
    </row>
    <row r="512" spans="2:110" s="192" customFormat="1" hidden="1" x14ac:dyDescent="0.35">
      <c r="B512" s="289"/>
      <c r="C512" s="289"/>
      <c r="Q512" s="193"/>
      <c r="R512" s="194">
        <f t="shared" si="395"/>
        <v>18</v>
      </c>
      <c r="S512" s="197">
        <f t="shared" si="361"/>
        <v>0.3888888888888889</v>
      </c>
      <c r="T512" s="194">
        <f t="shared" si="416"/>
        <v>0.69</v>
      </c>
      <c r="U512" s="194">
        <f t="shared" si="417"/>
        <v>1.4999999999999999E-4</v>
      </c>
      <c r="V512" s="197">
        <f t="shared" si="396"/>
        <v>0.3888888888888889</v>
      </c>
      <c r="W512" s="197">
        <f t="shared" si="362"/>
        <v>4.3555555555555561E-3</v>
      </c>
      <c r="X512" s="286">
        <f t="shared" si="363"/>
        <v>1</v>
      </c>
      <c r="Y512" s="286">
        <f t="shared" si="364"/>
        <v>0.17335969315081967</v>
      </c>
      <c r="Z512" s="286">
        <f t="shared" si="365"/>
        <v>0.54964853345132902</v>
      </c>
      <c r="AA512" s="286">
        <f t="shared" si="397"/>
        <v>0.17335969315081967</v>
      </c>
      <c r="AB512" s="197">
        <f t="shared" si="366"/>
        <v>0.36419974881911377</v>
      </c>
      <c r="AC512" s="287">
        <f t="shared" si="367"/>
        <v>4.4451203372005044E-7</v>
      </c>
      <c r="AD512" s="197">
        <f t="shared" si="398"/>
        <v>11.693936048110356</v>
      </c>
      <c r="AE512" s="197">
        <f t="shared" si="399"/>
        <v>35.08180814433107</v>
      </c>
      <c r="AF512" s="197">
        <f t="shared" si="400"/>
        <v>8.5178571428571423E-2</v>
      </c>
      <c r="AG512" s="197">
        <f t="shared" si="401"/>
        <v>0.25553571428571431</v>
      </c>
      <c r="AH512" s="197">
        <f t="shared" si="368"/>
        <v>0.11660930017110901</v>
      </c>
      <c r="AI512" s="197">
        <f t="shared" si="402"/>
        <v>0.11660930017110901</v>
      </c>
      <c r="AJ512" s="218">
        <f t="shared" si="369"/>
        <v>390.00000000000006</v>
      </c>
      <c r="AK512" s="197">
        <f t="shared" si="403"/>
        <v>6.0930617977437734E-2</v>
      </c>
      <c r="AL512" s="197">
        <f t="shared" si="404"/>
        <v>9.6203707235237593E-2</v>
      </c>
      <c r="AM512" s="197">
        <f t="shared" si="405"/>
        <v>4.0790371867740751E-3</v>
      </c>
      <c r="AN512" s="197">
        <f t="shared" si="370"/>
        <v>24.05</v>
      </c>
      <c r="AO512" s="197">
        <f t="shared" si="371"/>
        <v>21.69</v>
      </c>
      <c r="AP512" s="197">
        <f t="shared" si="406"/>
        <v>7.4093290390420161E-2</v>
      </c>
      <c r="AQ512" s="197">
        <f t="shared" si="407"/>
        <v>0.42250439890466829</v>
      </c>
      <c r="AR512" s="197">
        <f t="shared" si="408"/>
        <v>0.30589509873355925</v>
      </c>
      <c r="AS512" s="258">
        <f t="shared" si="409"/>
        <v>0.15228632177729159</v>
      </c>
      <c r="AT512" s="197">
        <f t="shared" si="372"/>
        <v>2.5974058656511614E-4</v>
      </c>
      <c r="AU512" s="194">
        <f t="shared" si="373"/>
        <v>21.19</v>
      </c>
      <c r="AV512" s="197">
        <f t="shared" si="374"/>
        <v>2.7E-2</v>
      </c>
      <c r="AW512" s="197">
        <f t="shared" si="375"/>
        <v>3.4260000000000002E-3</v>
      </c>
      <c r="AX512" s="197">
        <f t="shared" si="410"/>
        <v>6.1668000000000001E-2</v>
      </c>
      <c r="AY512" s="197">
        <f t="shared" si="376"/>
        <v>2.8867476000000005E-3</v>
      </c>
      <c r="AZ512" s="197">
        <f t="shared" si="377"/>
        <v>0</v>
      </c>
      <c r="BA512" s="197">
        <f t="shared" si="411"/>
        <v>7.2596940000000013E-2</v>
      </c>
      <c r="BB512" s="258">
        <f t="shared" si="378"/>
        <v>0.36575210336206115</v>
      </c>
      <c r="BC512" s="197">
        <f t="shared" si="379"/>
        <v>2.2380490766334034E-2</v>
      </c>
      <c r="BD512" s="197">
        <f t="shared" si="412"/>
        <v>4.4760981532668068E-3</v>
      </c>
      <c r="BE512" s="197">
        <f t="shared" si="413"/>
        <v>2.6856588919600841E-2</v>
      </c>
      <c r="BF512" s="197">
        <f t="shared" si="380"/>
        <v>0.20773291256157633</v>
      </c>
      <c r="BG512" s="197">
        <f t="shared" si="381"/>
        <v>5.4608303342508187E-4</v>
      </c>
      <c r="BH512" s="197">
        <f t="shared" si="382"/>
        <v>3.5336687086656722E-2</v>
      </c>
      <c r="BI512" s="197">
        <f t="shared" si="414"/>
        <v>0.44730899017824427</v>
      </c>
      <c r="BJ512" s="197">
        <f t="shared" si="383"/>
        <v>6.769615024661003</v>
      </c>
      <c r="BK512" s="288">
        <f t="shared" si="384"/>
        <v>0.93392401361838984</v>
      </c>
      <c r="BL512" s="197">
        <f t="shared" si="385"/>
        <v>0.37608972359227794</v>
      </c>
      <c r="BM512" s="197">
        <f t="shared" si="386"/>
        <v>7.4353030976985271E-2</v>
      </c>
      <c r="BN512" s="197">
        <f t="shared" si="387"/>
        <v>54.461181858619113</v>
      </c>
      <c r="BO512" s="197">
        <f t="shared" si="415"/>
        <v>0.2082789955950014</v>
      </c>
      <c r="BP512" s="197">
        <f t="shared" si="388"/>
        <v>65.620924669625111</v>
      </c>
      <c r="BQ512" s="197">
        <f t="shared" si="389"/>
        <v>9.9596940000000009E-2</v>
      </c>
      <c r="BR512" s="288">
        <f t="shared" si="390"/>
        <v>0.16008975919012108</v>
      </c>
      <c r="BS512" s="197">
        <f t="shared" si="391"/>
        <v>0.11660930017110901</v>
      </c>
      <c r="BT512" s="197">
        <f t="shared" si="392"/>
        <v>0.36419974881911377</v>
      </c>
      <c r="BU512" s="197">
        <f t="shared" si="393"/>
        <v>0.1713930788771201</v>
      </c>
      <c r="BV512" s="197">
        <f t="shared" si="394"/>
        <v>0.53530306917875781</v>
      </c>
      <c r="BW512" s="194"/>
      <c r="BX512" s="194"/>
      <c r="BY512" s="194"/>
      <c r="BZ512" s="194"/>
      <c r="CA512" s="194"/>
      <c r="CB512" s="194"/>
      <c r="CC512" s="194"/>
      <c r="CD512" s="194"/>
      <c r="CE512" s="194"/>
      <c r="CF512" s="194"/>
      <c r="CG512" s="194"/>
      <c r="CH512" s="194"/>
      <c r="CI512" s="194"/>
      <c r="CJ512" s="194"/>
      <c r="CK512" s="194"/>
      <c r="CL512" s="194"/>
      <c r="CM512" s="194"/>
      <c r="CN512" s="194"/>
      <c r="CO512" s="194"/>
      <c r="CP512" s="194"/>
      <c r="CQ512" s="194"/>
      <c r="CR512" s="194"/>
      <c r="CS512" s="194"/>
      <c r="CT512" s="194"/>
      <c r="CU512" s="194"/>
      <c r="CV512" s="194"/>
      <c r="CW512" s="194"/>
      <c r="CX512" s="194"/>
      <c r="CY512" s="194"/>
      <c r="CZ512" s="194"/>
      <c r="DA512" s="194"/>
      <c r="DB512" s="194"/>
      <c r="DC512" s="194"/>
      <c r="DD512" s="194"/>
      <c r="DE512" s="194"/>
      <c r="DF512" s="194"/>
    </row>
    <row r="513" spans="2:110" s="192" customFormat="1" hidden="1" x14ac:dyDescent="0.35">
      <c r="B513" s="289"/>
      <c r="C513" s="289"/>
      <c r="Q513" s="193"/>
      <c r="R513" s="194">
        <f t="shared" si="395"/>
        <v>18</v>
      </c>
      <c r="S513" s="197">
        <f t="shared" si="361"/>
        <v>0.3888888888888889</v>
      </c>
      <c r="T513" s="194">
        <f t="shared" si="416"/>
        <v>0.69</v>
      </c>
      <c r="U513" s="194">
        <f t="shared" si="417"/>
        <v>1.4999999999999999E-4</v>
      </c>
      <c r="V513" s="197">
        <f t="shared" si="396"/>
        <v>0.3888888888888889</v>
      </c>
      <c r="W513" s="197">
        <f t="shared" si="362"/>
        <v>4.3555555555555561E-3</v>
      </c>
      <c r="X513" s="286">
        <f t="shared" si="363"/>
        <v>1</v>
      </c>
      <c r="Y513" s="286">
        <f t="shared" si="364"/>
        <v>0.17335969315081967</v>
      </c>
      <c r="Z513" s="286">
        <f t="shared" si="365"/>
        <v>0.54964853345132902</v>
      </c>
      <c r="AA513" s="286">
        <f t="shared" si="397"/>
        <v>0.17335969315081967</v>
      </c>
      <c r="AB513" s="197">
        <f t="shared" si="366"/>
        <v>0.36419974881911377</v>
      </c>
      <c r="AC513" s="287">
        <f t="shared" si="367"/>
        <v>4.4451203372005044E-7</v>
      </c>
      <c r="AD513" s="197">
        <f t="shared" si="398"/>
        <v>11.693936048110356</v>
      </c>
      <c r="AE513" s="197">
        <f t="shared" si="399"/>
        <v>35.08180814433107</v>
      </c>
      <c r="AF513" s="197">
        <f t="shared" si="400"/>
        <v>8.5178571428571423E-2</v>
      </c>
      <c r="AG513" s="197">
        <f t="shared" si="401"/>
        <v>0.25553571428571431</v>
      </c>
      <c r="AH513" s="197">
        <f t="shared" si="368"/>
        <v>0.11660930017110901</v>
      </c>
      <c r="AI513" s="197">
        <f t="shared" si="402"/>
        <v>0.11660930017110901</v>
      </c>
      <c r="AJ513" s="218">
        <f t="shared" si="369"/>
        <v>390.00000000000006</v>
      </c>
      <c r="AK513" s="197">
        <f t="shared" si="403"/>
        <v>6.0930617977437734E-2</v>
      </c>
      <c r="AL513" s="197">
        <f t="shared" si="404"/>
        <v>9.6203707235237593E-2</v>
      </c>
      <c r="AM513" s="197">
        <f t="shared" si="405"/>
        <v>4.0790371867740751E-3</v>
      </c>
      <c r="AN513" s="197">
        <f t="shared" si="370"/>
        <v>24.05</v>
      </c>
      <c r="AO513" s="197">
        <f t="shared" si="371"/>
        <v>21.69</v>
      </c>
      <c r="AP513" s="197">
        <f t="shared" si="406"/>
        <v>7.4093290390420161E-2</v>
      </c>
      <c r="AQ513" s="197">
        <f t="shared" si="407"/>
        <v>0.42250439890466829</v>
      </c>
      <c r="AR513" s="197">
        <f t="shared" si="408"/>
        <v>0.30589509873355925</v>
      </c>
      <c r="AS513" s="258">
        <f t="shared" si="409"/>
        <v>0.15228632177729159</v>
      </c>
      <c r="AT513" s="197">
        <f t="shared" si="372"/>
        <v>2.5974058656511614E-4</v>
      </c>
      <c r="AU513" s="194">
        <f t="shared" si="373"/>
        <v>21.19</v>
      </c>
      <c r="AV513" s="197">
        <f t="shared" si="374"/>
        <v>2.7E-2</v>
      </c>
      <c r="AW513" s="197">
        <f t="shared" si="375"/>
        <v>3.4260000000000002E-3</v>
      </c>
      <c r="AX513" s="197">
        <f t="shared" si="410"/>
        <v>6.1668000000000001E-2</v>
      </c>
      <c r="AY513" s="197">
        <f t="shared" si="376"/>
        <v>2.8867476000000005E-3</v>
      </c>
      <c r="AZ513" s="197">
        <f t="shared" si="377"/>
        <v>0</v>
      </c>
      <c r="BA513" s="197">
        <f t="shared" si="411"/>
        <v>7.2596940000000013E-2</v>
      </c>
      <c r="BB513" s="258">
        <f t="shared" si="378"/>
        <v>0.36575210336206115</v>
      </c>
      <c r="BC513" s="197">
        <f t="shared" si="379"/>
        <v>2.2380490766334034E-2</v>
      </c>
      <c r="BD513" s="197">
        <f t="shared" si="412"/>
        <v>4.4760981532668068E-3</v>
      </c>
      <c r="BE513" s="197">
        <f t="shared" si="413"/>
        <v>2.6856588919600841E-2</v>
      </c>
      <c r="BF513" s="197">
        <f t="shared" si="380"/>
        <v>0.20773291256157633</v>
      </c>
      <c r="BG513" s="197">
        <f t="shared" si="381"/>
        <v>5.4608303342508187E-4</v>
      </c>
      <c r="BH513" s="197">
        <f t="shared" si="382"/>
        <v>3.5336687086656722E-2</v>
      </c>
      <c r="BI513" s="197">
        <f t="shared" si="414"/>
        <v>0.44730899017824427</v>
      </c>
      <c r="BJ513" s="197">
        <f t="shared" si="383"/>
        <v>6.769615024661003</v>
      </c>
      <c r="BK513" s="288">
        <f t="shared" si="384"/>
        <v>0.93392401361838984</v>
      </c>
      <c r="BL513" s="197">
        <f t="shared" si="385"/>
        <v>0.37608972359227794</v>
      </c>
      <c r="BM513" s="197">
        <f t="shared" si="386"/>
        <v>7.4353030976985271E-2</v>
      </c>
      <c r="BN513" s="197">
        <f t="shared" si="387"/>
        <v>54.461181858619113</v>
      </c>
      <c r="BO513" s="197">
        <f t="shared" si="415"/>
        <v>0.2082789955950014</v>
      </c>
      <c r="BP513" s="197">
        <f t="shared" si="388"/>
        <v>65.620924669625111</v>
      </c>
      <c r="BQ513" s="197">
        <f t="shared" si="389"/>
        <v>9.9596940000000009E-2</v>
      </c>
      <c r="BR513" s="288">
        <f t="shared" si="390"/>
        <v>0.16008975919012108</v>
      </c>
      <c r="BS513" s="197">
        <f t="shared" si="391"/>
        <v>0.11660930017110901</v>
      </c>
      <c r="BT513" s="197">
        <f t="shared" si="392"/>
        <v>0.36419974881911377</v>
      </c>
      <c r="BU513" s="197">
        <f t="shared" si="393"/>
        <v>0.1713930788771201</v>
      </c>
      <c r="BV513" s="197">
        <f t="shared" si="394"/>
        <v>0.53530306917875781</v>
      </c>
      <c r="BW513" s="194"/>
      <c r="BX513" s="194"/>
      <c r="BY513" s="194"/>
      <c r="BZ513" s="194"/>
      <c r="CA513" s="194"/>
      <c r="CB513" s="194"/>
      <c r="CC513" s="194"/>
      <c r="CD513" s="194"/>
      <c r="CE513" s="194"/>
      <c r="CF513" s="194"/>
      <c r="CG513" s="194"/>
      <c r="CH513" s="194"/>
      <c r="CI513" s="194"/>
      <c r="CJ513" s="194"/>
      <c r="CK513" s="194"/>
      <c r="CL513" s="194"/>
      <c r="CM513" s="194"/>
      <c r="CN513" s="194"/>
      <c r="CO513" s="194"/>
      <c r="CP513" s="194"/>
      <c r="CQ513" s="194"/>
      <c r="CR513" s="194"/>
      <c r="CS513" s="194"/>
      <c r="CT513" s="194"/>
      <c r="CU513" s="194"/>
      <c r="CV513" s="194"/>
      <c r="CW513" s="194"/>
      <c r="CX513" s="194"/>
      <c r="CY513" s="194"/>
      <c r="CZ513" s="194"/>
      <c r="DA513" s="194"/>
      <c r="DB513" s="194"/>
      <c r="DC513" s="194"/>
      <c r="DD513" s="194"/>
      <c r="DE513" s="194"/>
      <c r="DF513" s="194"/>
    </row>
    <row r="514" spans="2:110" s="192" customFormat="1" hidden="1" x14ac:dyDescent="0.35">
      <c r="B514" s="289"/>
      <c r="C514" s="289"/>
      <c r="Q514" s="193"/>
      <c r="R514" s="194">
        <f t="shared" si="395"/>
        <v>18</v>
      </c>
      <c r="S514" s="197">
        <f t="shared" si="361"/>
        <v>0.3888888888888889</v>
      </c>
      <c r="T514" s="194">
        <f t="shared" si="416"/>
        <v>0.69</v>
      </c>
      <c r="U514" s="194">
        <f t="shared" si="417"/>
        <v>1.4999999999999999E-4</v>
      </c>
      <c r="V514" s="197">
        <f t="shared" si="396"/>
        <v>0.3888888888888889</v>
      </c>
      <c r="W514" s="197">
        <f t="shared" si="362"/>
        <v>4.3555555555555561E-3</v>
      </c>
      <c r="X514" s="286">
        <f t="shared" si="363"/>
        <v>1</v>
      </c>
      <c r="Y514" s="286">
        <f t="shared" si="364"/>
        <v>0.17335969315081967</v>
      </c>
      <c r="Z514" s="286">
        <f t="shared" si="365"/>
        <v>0.54964853345132902</v>
      </c>
      <c r="AA514" s="286">
        <f t="shared" si="397"/>
        <v>0.17335969315081967</v>
      </c>
      <c r="AB514" s="197">
        <f t="shared" si="366"/>
        <v>0.36419974881911377</v>
      </c>
      <c r="AC514" s="287">
        <f t="shared" si="367"/>
        <v>4.4451203372005044E-7</v>
      </c>
      <c r="AD514" s="197">
        <f t="shared" si="398"/>
        <v>11.693936048110356</v>
      </c>
      <c r="AE514" s="197">
        <f t="shared" si="399"/>
        <v>35.08180814433107</v>
      </c>
      <c r="AF514" s="197">
        <f t="shared" si="400"/>
        <v>8.5178571428571423E-2</v>
      </c>
      <c r="AG514" s="197">
        <f t="shared" si="401"/>
        <v>0.25553571428571431</v>
      </c>
      <c r="AH514" s="197">
        <f t="shared" si="368"/>
        <v>0.11660930017110901</v>
      </c>
      <c r="AI514" s="197">
        <f t="shared" si="402"/>
        <v>0.11660930017110901</v>
      </c>
      <c r="AJ514" s="218">
        <f t="shared" si="369"/>
        <v>390.00000000000006</v>
      </c>
      <c r="AK514" s="197">
        <f t="shared" si="403"/>
        <v>6.0930617977437734E-2</v>
      </c>
      <c r="AL514" s="197">
        <f t="shared" si="404"/>
        <v>9.6203707235237593E-2</v>
      </c>
      <c r="AM514" s="197">
        <f t="shared" si="405"/>
        <v>4.0790371867740751E-3</v>
      </c>
      <c r="AN514" s="197">
        <f t="shared" si="370"/>
        <v>24.05</v>
      </c>
      <c r="AO514" s="197">
        <f t="shared" si="371"/>
        <v>21.69</v>
      </c>
      <c r="AP514" s="197">
        <f t="shared" si="406"/>
        <v>7.4093290390420161E-2</v>
      </c>
      <c r="AQ514" s="197">
        <f t="shared" si="407"/>
        <v>0.42250439890466829</v>
      </c>
      <c r="AR514" s="197">
        <f t="shared" si="408"/>
        <v>0.30589509873355925</v>
      </c>
      <c r="AS514" s="258">
        <f t="shared" si="409"/>
        <v>0.15228632177729159</v>
      </c>
      <c r="AT514" s="197">
        <f t="shared" si="372"/>
        <v>2.5974058656511614E-4</v>
      </c>
      <c r="AU514" s="194">
        <f t="shared" si="373"/>
        <v>21.19</v>
      </c>
      <c r="AV514" s="197">
        <f t="shared" si="374"/>
        <v>2.7E-2</v>
      </c>
      <c r="AW514" s="197">
        <f t="shared" si="375"/>
        <v>3.4260000000000002E-3</v>
      </c>
      <c r="AX514" s="197">
        <f t="shared" si="410"/>
        <v>6.1668000000000001E-2</v>
      </c>
      <c r="AY514" s="197">
        <f t="shared" si="376"/>
        <v>2.8867476000000005E-3</v>
      </c>
      <c r="AZ514" s="197">
        <f t="shared" si="377"/>
        <v>0</v>
      </c>
      <c r="BA514" s="197">
        <f t="shared" si="411"/>
        <v>7.2596940000000013E-2</v>
      </c>
      <c r="BB514" s="258">
        <f t="shared" si="378"/>
        <v>0.36575210336206115</v>
      </c>
      <c r="BC514" s="197">
        <f t="shared" si="379"/>
        <v>2.2380490766334034E-2</v>
      </c>
      <c r="BD514" s="197">
        <f t="shared" si="412"/>
        <v>4.4760981532668068E-3</v>
      </c>
      <c r="BE514" s="197">
        <f t="shared" si="413"/>
        <v>2.6856588919600841E-2</v>
      </c>
      <c r="BF514" s="197">
        <f t="shared" si="380"/>
        <v>0.20773291256157633</v>
      </c>
      <c r="BG514" s="197">
        <f t="shared" si="381"/>
        <v>5.4608303342508187E-4</v>
      </c>
      <c r="BH514" s="197">
        <f t="shared" si="382"/>
        <v>3.5336687086656722E-2</v>
      </c>
      <c r="BI514" s="197">
        <f t="shared" si="414"/>
        <v>0.44730899017824427</v>
      </c>
      <c r="BJ514" s="197">
        <f t="shared" si="383"/>
        <v>6.769615024661003</v>
      </c>
      <c r="BK514" s="288">
        <f t="shared" si="384"/>
        <v>0.93392401361838984</v>
      </c>
      <c r="BL514" s="197">
        <f t="shared" si="385"/>
        <v>0.37608972359227794</v>
      </c>
      <c r="BM514" s="197">
        <f t="shared" si="386"/>
        <v>7.4353030976985271E-2</v>
      </c>
      <c r="BN514" s="197">
        <f t="shared" si="387"/>
        <v>54.461181858619113</v>
      </c>
      <c r="BO514" s="197">
        <f t="shared" si="415"/>
        <v>0.2082789955950014</v>
      </c>
      <c r="BP514" s="197">
        <f t="shared" si="388"/>
        <v>65.620924669625111</v>
      </c>
      <c r="BQ514" s="197">
        <f t="shared" si="389"/>
        <v>9.9596940000000009E-2</v>
      </c>
      <c r="BR514" s="288">
        <f t="shared" si="390"/>
        <v>0.16008975919012108</v>
      </c>
      <c r="BS514" s="197">
        <f t="shared" si="391"/>
        <v>0.11660930017110901</v>
      </c>
      <c r="BT514" s="197">
        <f t="shared" si="392"/>
        <v>0.36419974881911377</v>
      </c>
      <c r="BU514" s="197">
        <f t="shared" si="393"/>
        <v>0.1713930788771201</v>
      </c>
      <c r="BV514" s="197">
        <f t="shared" si="394"/>
        <v>0.53530306917875781</v>
      </c>
      <c r="BW514" s="194"/>
      <c r="BX514" s="194"/>
      <c r="BY514" s="194"/>
      <c r="BZ514" s="194"/>
      <c r="CA514" s="194"/>
      <c r="CB514" s="194"/>
      <c r="CC514" s="194"/>
      <c r="CD514" s="194"/>
      <c r="CE514" s="194"/>
      <c r="CF514" s="194"/>
      <c r="CG514" s="194"/>
      <c r="CH514" s="194"/>
      <c r="CI514" s="194"/>
      <c r="CJ514" s="194"/>
      <c r="CK514" s="194"/>
      <c r="CL514" s="194"/>
      <c r="CM514" s="194"/>
      <c r="CN514" s="194"/>
      <c r="CO514" s="194"/>
      <c r="CP514" s="194"/>
      <c r="CQ514" s="194"/>
      <c r="CR514" s="194"/>
      <c r="CS514" s="194"/>
      <c r="CT514" s="194"/>
      <c r="CU514" s="194"/>
      <c r="CV514" s="194"/>
      <c r="CW514" s="194"/>
      <c r="CX514" s="194"/>
      <c r="CY514" s="194"/>
      <c r="CZ514" s="194"/>
      <c r="DA514" s="194"/>
      <c r="DB514" s="194"/>
      <c r="DC514" s="194"/>
      <c r="DD514" s="194"/>
      <c r="DE514" s="194"/>
      <c r="DF514" s="194"/>
    </row>
    <row r="515" spans="2:110" s="192" customFormat="1" hidden="1" x14ac:dyDescent="0.35">
      <c r="B515" s="289"/>
      <c r="C515" s="289"/>
      <c r="Q515" s="193"/>
      <c r="R515" s="194">
        <f t="shared" si="395"/>
        <v>18</v>
      </c>
      <c r="S515" s="197">
        <f t="shared" si="361"/>
        <v>0.3888888888888889</v>
      </c>
      <c r="T515" s="194">
        <f t="shared" si="416"/>
        <v>0.69</v>
      </c>
      <c r="U515" s="194">
        <f t="shared" si="417"/>
        <v>1.4999999999999999E-4</v>
      </c>
      <c r="V515" s="197">
        <f t="shared" si="396"/>
        <v>0.3888888888888889</v>
      </c>
      <c r="W515" s="197">
        <f t="shared" si="362"/>
        <v>4.3555555555555561E-3</v>
      </c>
      <c r="X515" s="286">
        <f t="shared" si="363"/>
        <v>1</v>
      </c>
      <c r="Y515" s="286">
        <f t="shared" si="364"/>
        <v>0.17335969315081967</v>
      </c>
      <c r="Z515" s="286">
        <f t="shared" si="365"/>
        <v>0.54964853345132902</v>
      </c>
      <c r="AA515" s="286">
        <f t="shared" si="397"/>
        <v>0.17335969315081967</v>
      </c>
      <c r="AB515" s="197">
        <f t="shared" si="366"/>
        <v>0.36419974881911377</v>
      </c>
      <c r="AC515" s="287">
        <f t="shared" si="367"/>
        <v>4.4451203372005044E-7</v>
      </c>
      <c r="AD515" s="197">
        <f t="shared" si="398"/>
        <v>11.693936048110356</v>
      </c>
      <c r="AE515" s="197">
        <f t="shared" si="399"/>
        <v>35.08180814433107</v>
      </c>
      <c r="AF515" s="197">
        <f t="shared" si="400"/>
        <v>8.5178571428571423E-2</v>
      </c>
      <c r="AG515" s="197">
        <f t="shared" si="401"/>
        <v>0.25553571428571431</v>
      </c>
      <c r="AH515" s="197">
        <f t="shared" si="368"/>
        <v>0.11660930017110901</v>
      </c>
      <c r="AI515" s="197">
        <f t="shared" si="402"/>
        <v>0.11660930017110901</v>
      </c>
      <c r="AJ515" s="218">
        <f t="shared" si="369"/>
        <v>390.00000000000006</v>
      </c>
      <c r="AK515" s="197">
        <f t="shared" si="403"/>
        <v>6.0930617977437734E-2</v>
      </c>
      <c r="AL515" s="197">
        <f t="shared" si="404"/>
        <v>9.6203707235237593E-2</v>
      </c>
      <c r="AM515" s="197">
        <f t="shared" si="405"/>
        <v>4.0790371867740751E-3</v>
      </c>
      <c r="AN515" s="197">
        <f t="shared" si="370"/>
        <v>24.05</v>
      </c>
      <c r="AO515" s="197">
        <f t="shared" si="371"/>
        <v>21.69</v>
      </c>
      <c r="AP515" s="197">
        <f t="shared" si="406"/>
        <v>7.4093290390420161E-2</v>
      </c>
      <c r="AQ515" s="197">
        <f t="shared" si="407"/>
        <v>0.42250439890466829</v>
      </c>
      <c r="AR515" s="197">
        <f t="shared" si="408"/>
        <v>0.30589509873355925</v>
      </c>
      <c r="AS515" s="258">
        <f t="shared" si="409"/>
        <v>0.15228632177729159</v>
      </c>
      <c r="AT515" s="197">
        <f t="shared" si="372"/>
        <v>2.5974058656511614E-4</v>
      </c>
      <c r="AU515" s="194">
        <f t="shared" si="373"/>
        <v>21.19</v>
      </c>
      <c r="AV515" s="197">
        <f t="shared" si="374"/>
        <v>2.7E-2</v>
      </c>
      <c r="AW515" s="197">
        <f t="shared" si="375"/>
        <v>3.4260000000000002E-3</v>
      </c>
      <c r="AX515" s="197">
        <f t="shared" si="410"/>
        <v>6.1668000000000001E-2</v>
      </c>
      <c r="AY515" s="197">
        <f t="shared" si="376"/>
        <v>2.8867476000000005E-3</v>
      </c>
      <c r="AZ515" s="197">
        <f t="shared" si="377"/>
        <v>0</v>
      </c>
      <c r="BA515" s="197">
        <f t="shared" si="411"/>
        <v>7.2596940000000013E-2</v>
      </c>
      <c r="BB515" s="258">
        <f t="shared" si="378"/>
        <v>0.36575210336206115</v>
      </c>
      <c r="BC515" s="197">
        <f t="shared" si="379"/>
        <v>2.2380490766334034E-2</v>
      </c>
      <c r="BD515" s="197">
        <f t="shared" si="412"/>
        <v>4.4760981532668068E-3</v>
      </c>
      <c r="BE515" s="197">
        <f t="shared" si="413"/>
        <v>2.6856588919600841E-2</v>
      </c>
      <c r="BF515" s="197">
        <f t="shared" si="380"/>
        <v>0.20773291256157633</v>
      </c>
      <c r="BG515" s="197">
        <f t="shared" si="381"/>
        <v>5.4608303342508187E-4</v>
      </c>
      <c r="BH515" s="197">
        <f t="shared" si="382"/>
        <v>3.5336687086656722E-2</v>
      </c>
      <c r="BI515" s="197">
        <f t="shared" si="414"/>
        <v>0.44730899017824427</v>
      </c>
      <c r="BJ515" s="197">
        <f t="shared" si="383"/>
        <v>6.769615024661003</v>
      </c>
      <c r="BK515" s="288">
        <f t="shared" si="384"/>
        <v>0.93392401361838984</v>
      </c>
      <c r="BL515" s="197">
        <f t="shared" si="385"/>
        <v>0.37608972359227794</v>
      </c>
      <c r="BM515" s="197">
        <f t="shared" si="386"/>
        <v>7.4353030976985271E-2</v>
      </c>
      <c r="BN515" s="197">
        <f t="shared" si="387"/>
        <v>54.461181858619113</v>
      </c>
      <c r="BO515" s="197">
        <f t="shared" si="415"/>
        <v>0.2082789955950014</v>
      </c>
      <c r="BP515" s="197">
        <f t="shared" si="388"/>
        <v>65.620924669625111</v>
      </c>
      <c r="BQ515" s="197">
        <f t="shared" si="389"/>
        <v>9.9596940000000009E-2</v>
      </c>
      <c r="BR515" s="288">
        <f t="shared" si="390"/>
        <v>0.16008975919012108</v>
      </c>
      <c r="BS515" s="197">
        <f t="shared" si="391"/>
        <v>0.11660930017110901</v>
      </c>
      <c r="BT515" s="197">
        <f t="shared" si="392"/>
        <v>0.36419974881911377</v>
      </c>
      <c r="BU515" s="197">
        <f t="shared" si="393"/>
        <v>0.1713930788771201</v>
      </c>
      <c r="BV515" s="197">
        <f t="shared" si="394"/>
        <v>0.53530306917875781</v>
      </c>
      <c r="BW515" s="194"/>
      <c r="BX515" s="194"/>
      <c r="BY515" s="194"/>
      <c r="BZ515" s="194"/>
      <c r="CA515" s="194"/>
      <c r="CB515" s="194"/>
      <c r="CC515" s="194"/>
      <c r="CD515" s="194"/>
      <c r="CE515" s="194"/>
      <c r="CF515" s="194"/>
      <c r="CG515" s="194"/>
      <c r="CH515" s="194"/>
      <c r="CI515" s="194"/>
      <c r="CJ515" s="194"/>
      <c r="CK515" s="194"/>
      <c r="CL515" s="194"/>
      <c r="CM515" s="194"/>
      <c r="CN515" s="194"/>
      <c r="CO515" s="194"/>
      <c r="CP515" s="194"/>
      <c r="CQ515" s="194"/>
      <c r="CR515" s="194"/>
      <c r="CS515" s="194"/>
      <c r="CT515" s="194"/>
      <c r="CU515" s="194"/>
      <c r="CV515" s="194"/>
      <c r="CW515" s="194"/>
      <c r="CX515" s="194"/>
      <c r="CY515" s="194"/>
      <c r="CZ515" s="194"/>
      <c r="DA515" s="194"/>
      <c r="DB515" s="194"/>
      <c r="DC515" s="194"/>
      <c r="DD515" s="194"/>
      <c r="DE515" s="194"/>
      <c r="DF515" s="194"/>
    </row>
    <row r="516" spans="2:110" s="192" customFormat="1" hidden="1" x14ac:dyDescent="0.35">
      <c r="B516" s="289"/>
      <c r="C516" s="289"/>
      <c r="Q516" s="193"/>
      <c r="R516" s="194">
        <f t="shared" si="395"/>
        <v>18</v>
      </c>
      <c r="S516" s="197">
        <f t="shared" si="361"/>
        <v>0.3888888888888889</v>
      </c>
      <c r="T516" s="194">
        <f t="shared" si="416"/>
        <v>0.69</v>
      </c>
      <c r="U516" s="194">
        <f t="shared" si="417"/>
        <v>1.4999999999999999E-4</v>
      </c>
      <c r="V516" s="197">
        <f t="shared" si="396"/>
        <v>0.3888888888888889</v>
      </c>
      <c r="W516" s="197">
        <f t="shared" si="362"/>
        <v>4.3555555555555561E-3</v>
      </c>
      <c r="X516" s="286">
        <f t="shared" si="363"/>
        <v>1</v>
      </c>
      <c r="Y516" s="286">
        <f t="shared" si="364"/>
        <v>0.17335969315081967</v>
      </c>
      <c r="Z516" s="286">
        <f t="shared" si="365"/>
        <v>0.54964853345132902</v>
      </c>
      <c r="AA516" s="286">
        <f t="shared" si="397"/>
        <v>0.17335969315081967</v>
      </c>
      <c r="AB516" s="197">
        <f t="shared" si="366"/>
        <v>0.36419974881911377</v>
      </c>
      <c r="AC516" s="287">
        <f t="shared" si="367"/>
        <v>4.4451203372005044E-7</v>
      </c>
      <c r="AD516" s="197">
        <f t="shared" si="398"/>
        <v>11.693936048110356</v>
      </c>
      <c r="AE516" s="197">
        <f t="shared" si="399"/>
        <v>35.08180814433107</v>
      </c>
      <c r="AF516" s="197">
        <f t="shared" si="400"/>
        <v>8.5178571428571423E-2</v>
      </c>
      <c r="AG516" s="197">
        <f t="shared" si="401"/>
        <v>0.25553571428571431</v>
      </c>
      <c r="AH516" s="197">
        <f t="shared" si="368"/>
        <v>0.11660930017110901</v>
      </c>
      <c r="AI516" s="197">
        <f t="shared" si="402"/>
        <v>0.11660930017110901</v>
      </c>
      <c r="AJ516" s="218">
        <f t="shared" si="369"/>
        <v>390.00000000000006</v>
      </c>
      <c r="AK516" s="197">
        <f t="shared" si="403"/>
        <v>6.0930617977437734E-2</v>
      </c>
      <c r="AL516" s="197">
        <f t="shared" si="404"/>
        <v>9.6203707235237593E-2</v>
      </c>
      <c r="AM516" s="197">
        <f t="shared" si="405"/>
        <v>4.0790371867740751E-3</v>
      </c>
      <c r="AN516" s="197">
        <f t="shared" si="370"/>
        <v>24.05</v>
      </c>
      <c r="AO516" s="197">
        <f t="shared" si="371"/>
        <v>21.69</v>
      </c>
      <c r="AP516" s="197">
        <f t="shared" si="406"/>
        <v>7.4093290390420161E-2</v>
      </c>
      <c r="AQ516" s="197">
        <f t="shared" si="407"/>
        <v>0.42250439890466829</v>
      </c>
      <c r="AR516" s="197">
        <f t="shared" si="408"/>
        <v>0.30589509873355925</v>
      </c>
      <c r="AS516" s="258">
        <f t="shared" si="409"/>
        <v>0.15228632177729159</v>
      </c>
      <c r="AT516" s="197">
        <f t="shared" si="372"/>
        <v>2.5974058656511614E-4</v>
      </c>
      <c r="AU516" s="194">
        <f t="shared" si="373"/>
        <v>21.19</v>
      </c>
      <c r="AV516" s="197">
        <f t="shared" si="374"/>
        <v>2.7E-2</v>
      </c>
      <c r="AW516" s="197">
        <f t="shared" si="375"/>
        <v>3.4260000000000002E-3</v>
      </c>
      <c r="AX516" s="197">
        <f t="shared" si="410"/>
        <v>6.1668000000000001E-2</v>
      </c>
      <c r="AY516" s="197">
        <f t="shared" si="376"/>
        <v>2.8867476000000005E-3</v>
      </c>
      <c r="AZ516" s="197">
        <f t="shared" si="377"/>
        <v>0</v>
      </c>
      <c r="BA516" s="197">
        <f t="shared" si="411"/>
        <v>7.2596940000000013E-2</v>
      </c>
      <c r="BB516" s="258">
        <f t="shared" si="378"/>
        <v>0.36575210336206115</v>
      </c>
      <c r="BC516" s="197">
        <f t="shared" si="379"/>
        <v>2.2380490766334034E-2</v>
      </c>
      <c r="BD516" s="197">
        <f t="shared" si="412"/>
        <v>4.4760981532668068E-3</v>
      </c>
      <c r="BE516" s="197">
        <f t="shared" si="413"/>
        <v>2.6856588919600841E-2</v>
      </c>
      <c r="BF516" s="197">
        <f t="shared" si="380"/>
        <v>0.20773291256157633</v>
      </c>
      <c r="BG516" s="197">
        <f t="shared" si="381"/>
        <v>5.4608303342508187E-4</v>
      </c>
      <c r="BH516" s="197">
        <f t="shared" si="382"/>
        <v>3.5336687086656722E-2</v>
      </c>
      <c r="BI516" s="197">
        <f t="shared" si="414"/>
        <v>0.44730899017824427</v>
      </c>
      <c r="BJ516" s="197">
        <f t="shared" si="383"/>
        <v>6.769615024661003</v>
      </c>
      <c r="BK516" s="288">
        <f t="shared" si="384"/>
        <v>0.93392401361838984</v>
      </c>
      <c r="BL516" s="197">
        <f t="shared" si="385"/>
        <v>0.37608972359227794</v>
      </c>
      <c r="BM516" s="197">
        <f t="shared" si="386"/>
        <v>7.4353030976985271E-2</v>
      </c>
      <c r="BN516" s="197">
        <f t="shared" si="387"/>
        <v>54.461181858619113</v>
      </c>
      <c r="BO516" s="197">
        <f t="shared" si="415"/>
        <v>0.2082789955950014</v>
      </c>
      <c r="BP516" s="197">
        <f t="shared" si="388"/>
        <v>65.620924669625111</v>
      </c>
      <c r="BQ516" s="197">
        <f t="shared" si="389"/>
        <v>9.9596940000000009E-2</v>
      </c>
      <c r="BR516" s="288">
        <f t="shared" si="390"/>
        <v>0.16008975919012108</v>
      </c>
      <c r="BS516" s="197">
        <f t="shared" si="391"/>
        <v>0.11660930017110901</v>
      </c>
      <c r="BT516" s="197">
        <f t="shared" si="392"/>
        <v>0.36419974881911377</v>
      </c>
      <c r="BU516" s="197">
        <f t="shared" si="393"/>
        <v>0.1713930788771201</v>
      </c>
      <c r="BV516" s="197">
        <f t="shared" si="394"/>
        <v>0.53530306917875781</v>
      </c>
      <c r="BW516" s="194"/>
      <c r="BX516" s="194"/>
      <c r="BY516" s="194"/>
      <c r="BZ516" s="194"/>
      <c r="CA516" s="194"/>
      <c r="CB516" s="194"/>
      <c r="CC516" s="194"/>
      <c r="CD516" s="194"/>
      <c r="CE516" s="194"/>
      <c r="CF516" s="194"/>
      <c r="CG516" s="194"/>
      <c r="CH516" s="194"/>
      <c r="CI516" s="194"/>
      <c r="CJ516" s="194"/>
      <c r="CK516" s="194"/>
      <c r="CL516" s="194"/>
      <c r="CM516" s="194"/>
      <c r="CN516" s="194"/>
      <c r="CO516" s="194"/>
      <c r="CP516" s="194"/>
      <c r="CQ516" s="194"/>
      <c r="CR516" s="194"/>
      <c r="CS516" s="194"/>
      <c r="CT516" s="194"/>
      <c r="CU516" s="194"/>
      <c r="CV516" s="194"/>
      <c r="CW516" s="194"/>
      <c r="CX516" s="194"/>
      <c r="CY516" s="194"/>
      <c r="CZ516" s="194"/>
      <c r="DA516" s="194"/>
      <c r="DB516" s="194"/>
      <c r="DC516" s="194"/>
      <c r="DD516" s="194"/>
      <c r="DE516" s="194"/>
      <c r="DF516" s="194"/>
    </row>
    <row r="517" spans="2:110" s="192" customFormat="1" hidden="1" x14ac:dyDescent="0.35">
      <c r="B517" s="289"/>
      <c r="C517" s="289"/>
      <c r="Q517" s="193"/>
      <c r="R517" s="194">
        <f t="shared" si="395"/>
        <v>18</v>
      </c>
      <c r="S517" s="197">
        <f t="shared" si="361"/>
        <v>0.3888888888888889</v>
      </c>
      <c r="T517" s="194">
        <f t="shared" si="416"/>
        <v>0.69</v>
      </c>
      <c r="U517" s="194">
        <f t="shared" si="417"/>
        <v>1.4999999999999999E-4</v>
      </c>
      <c r="V517" s="197">
        <f t="shared" si="396"/>
        <v>0.3888888888888889</v>
      </c>
      <c r="W517" s="197">
        <f t="shared" si="362"/>
        <v>4.3555555555555561E-3</v>
      </c>
      <c r="X517" s="286">
        <f t="shared" si="363"/>
        <v>1</v>
      </c>
      <c r="Y517" s="286">
        <f t="shared" si="364"/>
        <v>0.17335969315081967</v>
      </c>
      <c r="Z517" s="286">
        <f t="shared" si="365"/>
        <v>0.54964853345132902</v>
      </c>
      <c r="AA517" s="286">
        <f t="shared" si="397"/>
        <v>0.17335969315081967</v>
      </c>
      <c r="AB517" s="197">
        <f t="shared" si="366"/>
        <v>0.36419974881911377</v>
      </c>
      <c r="AC517" s="287">
        <f t="shared" si="367"/>
        <v>4.4451203372005044E-7</v>
      </c>
      <c r="AD517" s="197">
        <f t="shared" si="398"/>
        <v>11.693936048110356</v>
      </c>
      <c r="AE517" s="197">
        <f t="shared" si="399"/>
        <v>35.08180814433107</v>
      </c>
      <c r="AF517" s="197">
        <f t="shared" si="400"/>
        <v>8.5178571428571423E-2</v>
      </c>
      <c r="AG517" s="197">
        <f t="shared" si="401"/>
        <v>0.25553571428571431</v>
      </c>
      <c r="AH517" s="197">
        <f t="shared" si="368"/>
        <v>0.11660930017110901</v>
      </c>
      <c r="AI517" s="197">
        <f t="shared" si="402"/>
        <v>0.11660930017110901</v>
      </c>
      <c r="AJ517" s="218">
        <f t="shared" si="369"/>
        <v>390.00000000000006</v>
      </c>
      <c r="AK517" s="197">
        <f t="shared" si="403"/>
        <v>6.0930617977437734E-2</v>
      </c>
      <c r="AL517" s="197">
        <f t="shared" si="404"/>
        <v>9.6203707235237593E-2</v>
      </c>
      <c r="AM517" s="197">
        <f t="shared" si="405"/>
        <v>4.0790371867740751E-3</v>
      </c>
      <c r="AN517" s="197">
        <f t="shared" si="370"/>
        <v>24.05</v>
      </c>
      <c r="AO517" s="197">
        <f t="shared" si="371"/>
        <v>21.69</v>
      </c>
      <c r="AP517" s="197">
        <f t="shared" si="406"/>
        <v>7.4093290390420161E-2</v>
      </c>
      <c r="AQ517" s="197">
        <f t="shared" si="407"/>
        <v>0.42250439890466829</v>
      </c>
      <c r="AR517" s="197">
        <f t="shared" si="408"/>
        <v>0.30589509873355925</v>
      </c>
      <c r="AS517" s="258">
        <f t="shared" si="409"/>
        <v>0.15228632177729159</v>
      </c>
      <c r="AT517" s="197">
        <f t="shared" si="372"/>
        <v>2.5974058656511614E-4</v>
      </c>
      <c r="AU517" s="194">
        <f t="shared" si="373"/>
        <v>21.19</v>
      </c>
      <c r="AV517" s="197">
        <f t="shared" si="374"/>
        <v>2.7E-2</v>
      </c>
      <c r="AW517" s="197">
        <f t="shared" si="375"/>
        <v>3.4260000000000002E-3</v>
      </c>
      <c r="AX517" s="197">
        <f t="shared" si="410"/>
        <v>6.1668000000000001E-2</v>
      </c>
      <c r="AY517" s="197">
        <f t="shared" si="376"/>
        <v>2.8867476000000005E-3</v>
      </c>
      <c r="AZ517" s="197">
        <f t="shared" si="377"/>
        <v>0</v>
      </c>
      <c r="BA517" s="197">
        <f t="shared" si="411"/>
        <v>7.2596940000000013E-2</v>
      </c>
      <c r="BB517" s="258">
        <f t="shared" si="378"/>
        <v>0.36575210336206115</v>
      </c>
      <c r="BC517" s="197">
        <f t="shared" si="379"/>
        <v>2.2380490766334034E-2</v>
      </c>
      <c r="BD517" s="197">
        <f t="shared" si="412"/>
        <v>4.4760981532668068E-3</v>
      </c>
      <c r="BE517" s="197">
        <f t="shared" si="413"/>
        <v>2.6856588919600841E-2</v>
      </c>
      <c r="BF517" s="197">
        <f t="shared" si="380"/>
        <v>0.20773291256157633</v>
      </c>
      <c r="BG517" s="197">
        <f t="shared" si="381"/>
        <v>5.4608303342508187E-4</v>
      </c>
      <c r="BH517" s="197">
        <f t="shared" si="382"/>
        <v>3.5336687086656722E-2</v>
      </c>
      <c r="BI517" s="197">
        <f t="shared" si="414"/>
        <v>0.44730899017824427</v>
      </c>
      <c r="BJ517" s="197">
        <f t="shared" si="383"/>
        <v>6.769615024661003</v>
      </c>
      <c r="BK517" s="288">
        <f t="shared" si="384"/>
        <v>0.93392401361838984</v>
      </c>
      <c r="BL517" s="197">
        <f t="shared" si="385"/>
        <v>0.37608972359227794</v>
      </c>
      <c r="BM517" s="197">
        <f t="shared" si="386"/>
        <v>7.4353030976985271E-2</v>
      </c>
      <c r="BN517" s="197">
        <f t="shared" si="387"/>
        <v>54.461181858619113</v>
      </c>
      <c r="BO517" s="197">
        <f t="shared" si="415"/>
        <v>0.2082789955950014</v>
      </c>
      <c r="BP517" s="197">
        <f t="shared" si="388"/>
        <v>65.620924669625111</v>
      </c>
      <c r="BQ517" s="197">
        <f t="shared" si="389"/>
        <v>9.9596940000000009E-2</v>
      </c>
      <c r="BR517" s="288">
        <f t="shared" si="390"/>
        <v>0.16008975919012108</v>
      </c>
      <c r="BS517" s="197">
        <f t="shared" si="391"/>
        <v>0.11660930017110901</v>
      </c>
      <c r="BT517" s="197">
        <f t="shared" si="392"/>
        <v>0.36419974881911377</v>
      </c>
      <c r="BU517" s="197">
        <f t="shared" si="393"/>
        <v>0.1713930788771201</v>
      </c>
      <c r="BV517" s="197">
        <f t="shared" si="394"/>
        <v>0.53530306917875781</v>
      </c>
      <c r="BW517" s="194"/>
      <c r="BX517" s="194"/>
      <c r="BY517" s="194"/>
      <c r="BZ517" s="194"/>
      <c r="CA517" s="194"/>
      <c r="CB517" s="194"/>
      <c r="CC517" s="194"/>
      <c r="CD517" s="194"/>
      <c r="CE517" s="194"/>
      <c r="CF517" s="194"/>
      <c r="CG517" s="194"/>
      <c r="CH517" s="194"/>
      <c r="CI517" s="194"/>
      <c r="CJ517" s="194"/>
      <c r="CK517" s="194"/>
      <c r="CL517" s="194"/>
      <c r="CM517" s="194"/>
      <c r="CN517" s="194"/>
      <c r="CO517" s="194"/>
      <c r="CP517" s="194"/>
      <c r="CQ517" s="194"/>
      <c r="CR517" s="194"/>
      <c r="CS517" s="194"/>
      <c r="CT517" s="194"/>
      <c r="CU517" s="194"/>
      <c r="CV517" s="194"/>
      <c r="CW517" s="194"/>
      <c r="CX517" s="194"/>
      <c r="CY517" s="194"/>
      <c r="CZ517" s="194"/>
      <c r="DA517" s="194"/>
      <c r="DB517" s="194"/>
      <c r="DC517" s="194"/>
      <c r="DD517" s="194"/>
      <c r="DE517" s="194"/>
      <c r="DF517" s="194"/>
    </row>
    <row r="518" spans="2:110" s="192" customFormat="1" hidden="1" x14ac:dyDescent="0.35">
      <c r="B518" s="289"/>
      <c r="C518" s="289"/>
      <c r="Q518" s="193"/>
      <c r="R518" s="194">
        <f t="shared" si="395"/>
        <v>18</v>
      </c>
      <c r="S518" s="197">
        <f t="shared" si="361"/>
        <v>0.3888888888888889</v>
      </c>
      <c r="T518" s="194">
        <f t="shared" si="416"/>
        <v>0.69</v>
      </c>
      <c r="U518" s="194">
        <f t="shared" si="417"/>
        <v>1.4999999999999999E-4</v>
      </c>
      <c r="V518" s="197">
        <f t="shared" si="396"/>
        <v>0.3888888888888889</v>
      </c>
      <c r="W518" s="197">
        <f t="shared" si="362"/>
        <v>4.3555555555555561E-3</v>
      </c>
      <c r="X518" s="286">
        <f t="shared" si="363"/>
        <v>1</v>
      </c>
      <c r="Y518" s="286">
        <f t="shared" si="364"/>
        <v>0.17335969315081967</v>
      </c>
      <c r="Z518" s="286">
        <f t="shared" si="365"/>
        <v>0.54964853345132902</v>
      </c>
      <c r="AA518" s="286">
        <f t="shared" si="397"/>
        <v>0.17335969315081967</v>
      </c>
      <c r="AB518" s="197">
        <f t="shared" si="366"/>
        <v>0.36419974881911377</v>
      </c>
      <c r="AC518" s="287">
        <f t="shared" si="367"/>
        <v>4.4451203372005044E-7</v>
      </c>
      <c r="AD518" s="197">
        <f t="shared" si="398"/>
        <v>11.693936048110356</v>
      </c>
      <c r="AE518" s="197">
        <f t="shared" si="399"/>
        <v>35.08180814433107</v>
      </c>
      <c r="AF518" s="197">
        <f t="shared" si="400"/>
        <v>8.5178571428571423E-2</v>
      </c>
      <c r="AG518" s="197">
        <f t="shared" si="401"/>
        <v>0.25553571428571431</v>
      </c>
      <c r="AH518" s="197">
        <f t="shared" si="368"/>
        <v>0.11660930017110901</v>
      </c>
      <c r="AI518" s="197">
        <f t="shared" si="402"/>
        <v>0.11660930017110901</v>
      </c>
      <c r="AJ518" s="218">
        <f t="shared" si="369"/>
        <v>390.00000000000006</v>
      </c>
      <c r="AK518" s="197">
        <f t="shared" si="403"/>
        <v>6.0930617977437734E-2</v>
      </c>
      <c r="AL518" s="197">
        <f t="shared" si="404"/>
        <v>9.6203707235237593E-2</v>
      </c>
      <c r="AM518" s="197">
        <f t="shared" si="405"/>
        <v>4.0790371867740751E-3</v>
      </c>
      <c r="AN518" s="197">
        <f t="shared" si="370"/>
        <v>24.05</v>
      </c>
      <c r="AO518" s="197">
        <f t="shared" si="371"/>
        <v>21.69</v>
      </c>
      <c r="AP518" s="197">
        <f t="shared" si="406"/>
        <v>7.4093290390420161E-2</v>
      </c>
      <c r="AQ518" s="197">
        <f t="shared" si="407"/>
        <v>0.42250439890466829</v>
      </c>
      <c r="AR518" s="197">
        <f t="shared" si="408"/>
        <v>0.30589509873355925</v>
      </c>
      <c r="AS518" s="258">
        <f t="shared" si="409"/>
        <v>0.15228632177729159</v>
      </c>
      <c r="AT518" s="197">
        <f t="shared" si="372"/>
        <v>2.5974058656511614E-4</v>
      </c>
      <c r="AU518" s="194">
        <f t="shared" si="373"/>
        <v>21.19</v>
      </c>
      <c r="AV518" s="197">
        <f t="shared" si="374"/>
        <v>2.7E-2</v>
      </c>
      <c r="AW518" s="197">
        <f t="shared" si="375"/>
        <v>3.4260000000000002E-3</v>
      </c>
      <c r="AX518" s="197">
        <f t="shared" si="410"/>
        <v>6.1668000000000001E-2</v>
      </c>
      <c r="AY518" s="197">
        <f t="shared" si="376"/>
        <v>2.8867476000000005E-3</v>
      </c>
      <c r="AZ518" s="197">
        <f t="shared" si="377"/>
        <v>0</v>
      </c>
      <c r="BA518" s="197">
        <f t="shared" si="411"/>
        <v>7.2596940000000013E-2</v>
      </c>
      <c r="BB518" s="258">
        <f t="shared" si="378"/>
        <v>0.36575210336206115</v>
      </c>
      <c r="BC518" s="197">
        <f t="shared" si="379"/>
        <v>2.2380490766334034E-2</v>
      </c>
      <c r="BD518" s="197">
        <f t="shared" si="412"/>
        <v>4.4760981532668068E-3</v>
      </c>
      <c r="BE518" s="197">
        <f t="shared" si="413"/>
        <v>2.6856588919600841E-2</v>
      </c>
      <c r="BF518" s="197">
        <f t="shared" si="380"/>
        <v>0.20773291256157633</v>
      </c>
      <c r="BG518" s="197">
        <f t="shared" si="381"/>
        <v>5.4608303342508187E-4</v>
      </c>
      <c r="BH518" s="197">
        <f t="shared" si="382"/>
        <v>3.5336687086656722E-2</v>
      </c>
      <c r="BI518" s="197">
        <f t="shared" si="414"/>
        <v>0.44730899017824427</v>
      </c>
      <c r="BJ518" s="197">
        <f t="shared" si="383"/>
        <v>6.769615024661003</v>
      </c>
      <c r="BK518" s="288">
        <f t="shared" si="384"/>
        <v>0.93392401361838984</v>
      </c>
      <c r="BL518" s="197">
        <f t="shared" si="385"/>
        <v>0.37608972359227794</v>
      </c>
      <c r="BM518" s="197">
        <f t="shared" si="386"/>
        <v>7.4353030976985271E-2</v>
      </c>
      <c r="BN518" s="197">
        <f t="shared" si="387"/>
        <v>54.461181858619113</v>
      </c>
      <c r="BO518" s="197">
        <f t="shared" si="415"/>
        <v>0.2082789955950014</v>
      </c>
      <c r="BP518" s="197">
        <f t="shared" si="388"/>
        <v>65.620924669625111</v>
      </c>
      <c r="BQ518" s="197">
        <f t="shared" si="389"/>
        <v>9.9596940000000009E-2</v>
      </c>
      <c r="BR518" s="288">
        <f t="shared" si="390"/>
        <v>0.16008975919012108</v>
      </c>
      <c r="BS518" s="197">
        <f t="shared" si="391"/>
        <v>0.11660930017110901</v>
      </c>
      <c r="BT518" s="197">
        <f t="shared" si="392"/>
        <v>0.36419974881911377</v>
      </c>
      <c r="BU518" s="197">
        <f t="shared" si="393"/>
        <v>0.1713930788771201</v>
      </c>
      <c r="BV518" s="197">
        <f t="shared" si="394"/>
        <v>0.53530306917875781</v>
      </c>
      <c r="BW518" s="194"/>
      <c r="BX518" s="194"/>
      <c r="BY518" s="194"/>
      <c r="BZ518" s="194"/>
      <c r="CA518" s="194"/>
      <c r="CB518" s="194"/>
      <c r="CC518" s="194"/>
      <c r="CD518" s="194"/>
      <c r="CE518" s="194"/>
      <c r="CF518" s="194"/>
      <c r="CG518" s="194"/>
      <c r="CH518" s="194"/>
      <c r="CI518" s="194"/>
      <c r="CJ518" s="194"/>
      <c r="CK518" s="194"/>
      <c r="CL518" s="194"/>
      <c r="CM518" s="194"/>
      <c r="CN518" s="194"/>
      <c r="CO518" s="194"/>
      <c r="CP518" s="194"/>
      <c r="CQ518" s="194"/>
      <c r="CR518" s="194"/>
      <c r="CS518" s="194"/>
      <c r="CT518" s="194"/>
      <c r="CU518" s="194"/>
      <c r="CV518" s="194"/>
      <c r="CW518" s="194"/>
      <c r="CX518" s="194"/>
      <c r="CY518" s="194"/>
      <c r="CZ518" s="194"/>
      <c r="DA518" s="194"/>
      <c r="DB518" s="194"/>
      <c r="DC518" s="194"/>
      <c r="DD518" s="194"/>
      <c r="DE518" s="194"/>
      <c r="DF518" s="194"/>
    </row>
    <row r="519" spans="2:110" s="192" customFormat="1" hidden="1" x14ac:dyDescent="0.35">
      <c r="B519" s="289"/>
      <c r="C519" s="289"/>
      <c r="Q519" s="193"/>
      <c r="R519" s="194">
        <f t="shared" si="395"/>
        <v>18</v>
      </c>
      <c r="S519" s="197">
        <f t="shared" si="361"/>
        <v>0.3888888888888889</v>
      </c>
      <c r="T519" s="194">
        <f t="shared" si="416"/>
        <v>0.69</v>
      </c>
      <c r="U519" s="194">
        <f t="shared" si="417"/>
        <v>1.4999999999999999E-4</v>
      </c>
      <c r="V519" s="197">
        <f t="shared" si="396"/>
        <v>0.3888888888888889</v>
      </c>
      <c r="W519" s="197">
        <f t="shared" si="362"/>
        <v>4.3555555555555561E-3</v>
      </c>
      <c r="X519" s="286">
        <f t="shared" si="363"/>
        <v>1</v>
      </c>
      <c r="Y519" s="286">
        <f t="shared" si="364"/>
        <v>0.17335969315081967</v>
      </c>
      <c r="Z519" s="286">
        <f t="shared" si="365"/>
        <v>0.54964853345132902</v>
      </c>
      <c r="AA519" s="286">
        <f t="shared" si="397"/>
        <v>0.17335969315081967</v>
      </c>
      <c r="AB519" s="197">
        <f t="shared" si="366"/>
        <v>0.36419974881911377</v>
      </c>
      <c r="AC519" s="287">
        <f t="shared" si="367"/>
        <v>4.4451203372005044E-7</v>
      </c>
      <c r="AD519" s="197">
        <f t="shared" si="398"/>
        <v>11.693936048110356</v>
      </c>
      <c r="AE519" s="197">
        <f t="shared" si="399"/>
        <v>35.08180814433107</v>
      </c>
      <c r="AF519" s="197">
        <f t="shared" si="400"/>
        <v>8.5178571428571423E-2</v>
      </c>
      <c r="AG519" s="197">
        <f t="shared" si="401"/>
        <v>0.25553571428571431</v>
      </c>
      <c r="AH519" s="197">
        <f t="shared" si="368"/>
        <v>0.11660930017110901</v>
      </c>
      <c r="AI519" s="197">
        <f t="shared" si="402"/>
        <v>0.11660930017110901</v>
      </c>
      <c r="AJ519" s="218">
        <f t="shared" si="369"/>
        <v>390.00000000000006</v>
      </c>
      <c r="AK519" s="197">
        <f t="shared" si="403"/>
        <v>6.0930617977437734E-2</v>
      </c>
      <c r="AL519" s="197">
        <f t="shared" si="404"/>
        <v>9.6203707235237593E-2</v>
      </c>
      <c r="AM519" s="197">
        <f t="shared" si="405"/>
        <v>4.0790371867740751E-3</v>
      </c>
      <c r="AN519" s="197">
        <f t="shared" si="370"/>
        <v>24.05</v>
      </c>
      <c r="AO519" s="197">
        <f t="shared" si="371"/>
        <v>21.69</v>
      </c>
      <c r="AP519" s="197">
        <f t="shared" si="406"/>
        <v>7.4093290390420161E-2</v>
      </c>
      <c r="AQ519" s="197">
        <f t="shared" si="407"/>
        <v>0.42250439890466829</v>
      </c>
      <c r="AR519" s="197">
        <f t="shared" si="408"/>
        <v>0.30589509873355925</v>
      </c>
      <c r="AS519" s="258">
        <f t="shared" si="409"/>
        <v>0.15228632177729159</v>
      </c>
      <c r="AT519" s="197">
        <f t="shared" si="372"/>
        <v>2.5974058656511614E-4</v>
      </c>
      <c r="AU519" s="194">
        <f t="shared" si="373"/>
        <v>21.19</v>
      </c>
      <c r="AV519" s="197">
        <f t="shared" si="374"/>
        <v>2.7E-2</v>
      </c>
      <c r="AW519" s="197">
        <f t="shared" si="375"/>
        <v>3.4260000000000002E-3</v>
      </c>
      <c r="AX519" s="197">
        <f t="shared" si="410"/>
        <v>6.1668000000000001E-2</v>
      </c>
      <c r="AY519" s="197">
        <f t="shared" si="376"/>
        <v>2.8867476000000005E-3</v>
      </c>
      <c r="AZ519" s="197">
        <f t="shared" si="377"/>
        <v>0</v>
      </c>
      <c r="BA519" s="197">
        <f t="shared" si="411"/>
        <v>7.2596940000000013E-2</v>
      </c>
      <c r="BB519" s="258">
        <f t="shared" si="378"/>
        <v>0.36575210336206115</v>
      </c>
      <c r="BC519" s="197">
        <f t="shared" si="379"/>
        <v>2.2380490766334034E-2</v>
      </c>
      <c r="BD519" s="197">
        <f t="shared" si="412"/>
        <v>4.4760981532668068E-3</v>
      </c>
      <c r="BE519" s="197">
        <f t="shared" si="413"/>
        <v>2.6856588919600841E-2</v>
      </c>
      <c r="BF519" s="197">
        <f t="shared" si="380"/>
        <v>0.20773291256157633</v>
      </c>
      <c r="BG519" s="197">
        <f t="shared" si="381"/>
        <v>5.4608303342508187E-4</v>
      </c>
      <c r="BH519" s="197">
        <f t="shared" si="382"/>
        <v>3.5336687086656722E-2</v>
      </c>
      <c r="BI519" s="197">
        <f t="shared" si="414"/>
        <v>0.44730899017824427</v>
      </c>
      <c r="BJ519" s="197">
        <f t="shared" si="383"/>
        <v>6.769615024661003</v>
      </c>
      <c r="BK519" s="288">
        <f t="shared" si="384"/>
        <v>0.93392401361838984</v>
      </c>
      <c r="BL519" s="197">
        <f t="shared" si="385"/>
        <v>0.37608972359227794</v>
      </c>
      <c r="BM519" s="197">
        <f t="shared" si="386"/>
        <v>7.4353030976985271E-2</v>
      </c>
      <c r="BN519" s="197">
        <f t="shared" si="387"/>
        <v>54.461181858619113</v>
      </c>
      <c r="BO519" s="197">
        <f t="shared" si="415"/>
        <v>0.2082789955950014</v>
      </c>
      <c r="BP519" s="197">
        <f t="shared" si="388"/>
        <v>65.620924669625111</v>
      </c>
      <c r="BQ519" s="197">
        <f t="shared" si="389"/>
        <v>9.9596940000000009E-2</v>
      </c>
      <c r="BR519" s="288">
        <f t="shared" si="390"/>
        <v>0.16008975919012108</v>
      </c>
      <c r="BS519" s="197">
        <f t="shared" si="391"/>
        <v>0.11660930017110901</v>
      </c>
      <c r="BT519" s="197">
        <f t="shared" si="392"/>
        <v>0.36419974881911377</v>
      </c>
      <c r="BU519" s="197">
        <f t="shared" si="393"/>
        <v>0.1713930788771201</v>
      </c>
      <c r="BV519" s="197">
        <f t="shared" si="394"/>
        <v>0.53530306917875781</v>
      </c>
      <c r="BW519" s="194"/>
      <c r="BX519" s="194"/>
      <c r="BY519" s="194"/>
      <c r="BZ519" s="194"/>
      <c r="CA519" s="194"/>
      <c r="CB519" s="194"/>
      <c r="CC519" s="194"/>
      <c r="CD519" s="194"/>
      <c r="CE519" s="194"/>
      <c r="CF519" s="194"/>
      <c r="CG519" s="194"/>
      <c r="CH519" s="194"/>
      <c r="CI519" s="194"/>
      <c r="CJ519" s="194"/>
      <c r="CK519" s="194"/>
      <c r="CL519" s="194"/>
      <c r="CM519" s="194"/>
      <c r="CN519" s="194"/>
      <c r="CO519" s="194"/>
      <c r="CP519" s="194"/>
      <c r="CQ519" s="194"/>
      <c r="CR519" s="194"/>
      <c r="CS519" s="194"/>
      <c r="CT519" s="194"/>
      <c r="CU519" s="194"/>
      <c r="CV519" s="194"/>
      <c r="CW519" s="194"/>
      <c r="CX519" s="194"/>
      <c r="CY519" s="194"/>
      <c r="CZ519" s="194"/>
      <c r="DA519" s="194"/>
      <c r="DB519" s="194"/>
      <c r="DC519" s="194"/>
      <c r="DD519" s="194"/>
      <c r="DE519" s="194"/>
      <c r="DF519" s="194"/>
    </row>
    <row r="520" spans="2:110" s="192" customFormat="1" hidden="1" x14ac:dyDescent="0.35">
      <c r="B520" s="289"/>
      <c r="C520" s="289"/>
      <c r="Q520" s="193"/>
      <c r="R520" s="194">
        <f t="shared" si="395"/>
        <v>18</v>
      </c>
      <c r="S520" s="197">
        <f t="shared" si="361"/>
        <v>0.3888888888888889</v>
      </c>
      <c r="T520" s="194">
        <f t="shared" si="416"/>
        <v>0.69</v>
      </c>
      <c r="U520" s="194">
        <f t="shared" si="417"/>
        <v>1.4999999999999999E-4</v>
      </c>
      <c r="V520" s="197">
        <f t="shared" si="396"/>
        <v>0.3888888888888889</v>
      </c>
      <c r="W520" s="197">
        <f t="shared" si="362"/>
        <v>4.3555555555555561E-3</v>
      </c>
      <c r="X520" s="286">
        <f t="shared" si="363"/>
        <v>1</v>
      </c>
      <c r="Y520" s="286">
        <f t="shared" si="364"/>
        <v>0.17335969315081967</v>
      </c>
      <c r="Z520" s="286">
        <f t="shared" si="365"/>
        <v>0.54964853345132902</v>
      </c>
      <c r="AA520" s="286">
        <f t="shared" si="397"/>
        <v>0.17335969315081967</v>
      </c>
      <c r="AB520" s="197">
        <f t="shared" si="366"/>
        <v>0.36419974881911377</v>
      </c>
      <c r="AC520" s="287">
        <f t="shared" si="367"/>
        <v>4.4451203372005044E-7</v>
      </c>
      <c r="AD520" s="197">
        <f t="shared" si="398"/>
        <v>11.693936048110356</v>
      </c>
      <c r="AE520" s="197">
        <f t="shared" si="399"/>
        <v>35.08180814433107</v>
      </c>
      <c r="AF520" s="197">
        <f t="shared" si="400"/>
        <v>8.5178571428571423E-2</v>
      </c>
      <c r="AG520" s="197">
        <f t="shared" si="401"/>
        <v>0.25553571428571431</v>
      </c>
      <c r="AH520" s="197">
        <f t="shared" si="368"/>
        <v>0.11660930017110901</v>
      </c>
      <c r="AI520" s="197">
        <f t="shared" si="402"/>
        <v>0.11660930017110901</v>
      </c>
      <c r="AJ520" s="218">
        <f t="shared" si="369"/>
        <v>390.00000000000006</v>
      </c>
      <c r="AK520" s="197">
        <f t="shared" si="403"/>
        <v>6.0930617977437734E-2</v>
      </c>
      <c r="AL520" s="197">
        <f t="shared" si="404"/>
        <v>9.6203707235237593E-2</v>
      </c>
      <c r="AM520" s="197">
        <f t="shared" si="405"/>
        <v>4.0790371867740751E-3</v>
      </c>
      <c r="AN520" s="197">
        <f t="shared" si="370"/>
        <v>24.05</v>
      </c>
      <c r="AO520" s="197">
        <f t="shared" si="371"/>
        <v>21.69</v>
      </c>
      <c r="AP520" s="197">
        <f t="shared" si="406"/>
        <v>7.4093290390420161E-2</v>
      </c>
      <c r="AQ520" s="197">
        <f t="shared" si="407"/>
        <v>0.42250439890466829</v>
      </c>
      <c r="AR520" s="197">
        <f t="shared" si="408"/>
        <v>0.30589509873355925</v>
      </c>
      <c r="AS520" s="258">
        <f t="shared" si="409"/>
        <v>0.15228632177729159</v>
      </c>
      <c r="AT520" s="197">
        <f t="shared" si="372"/>
        <v>2.5974058656511614E-4</v>
      </c>
      <c r="AU520" s="194">
        <f t="shared" si="373"/>
        <v>21.19</v>
      </c>
      <c r="AV520" s="197">
        <f t="shared" si="374"/>
        <v>2.7E-2</v>
      </c>
      <c r="AW520" s="197">
        <f t="shared" si="375"/>
        <v>3.4260000000000002E-3</v>
      </c>
      <c r="AX520" s="197">
        <f t="shared" si="410"/>
        <v>6.1668000000000001E-2</v>
      </c>
      <c r="AY520" s="197">
        <f t="shared" si="376"/>
        <v>2.8867476000000005E-3</v>
      </c>
      <c r="AZ520" s="197">
        <f t="shared" si="377"/>
        <v>0</v>
      </c>
      <c r="BA520" s="197">
        <f t="shared" si="411"/>
        <v>7.2596940000000013E-2</v>
      </c>
      <c r="BB520" s="258">
        <f t="shared" si="378"/>
        <v>0.36575210336206115</v>
      </c>
      <c r="BC520" s="197">
        <f t="shared" si="379"/>
        <v>2.2380490766334034E-2</v>
      </c>
      <c r="BD520" s="197">
        <f t="shared" si="412"/>
        <v>4.4760981532668068E-3</v>
      </c>
      <c r="BE520" s="197">
        <f t="shared" si="413"/>
        <v>2.6856588919600841E-2</v>
      </c>
      <c r="BF520" s="197">
        <f t="shared" si="380"/>
        <v>0.20773291256157633</v>
      </c>
      <c r="BG520" s="197">
        <f t="shared" si="381"/>
        <v>5.4608303342508187E-4</v>
      </c>
      <c r="BH520" s="197">
        <f t="shared" si="382"/>
        <v>3.5336687086656722E-2</v>
      </c>
      <c r="BI520" s="197">
        <f t="shared" si="414"/>
        <v>0.44730899017824427</v>
      </c>
      <c r="BJ520" s="197">
        <f t="shared" si="383"/>
        <v>6.769615024661003</v>
      </c>
      <c r="BK520" s="288">
        <f t="shared" si="384"/>
        <v>0.93392401361838984</v>
      </c>
      <c r="BL520" s="197">
        <f t="shared" si="385"/>
        <v>0.37608972359227794</v>
      </c>
      <c r="BM520" s="197">
        <f t="shared" si="386"/>
        <v>7.4353030976985271E-2</v>
      </c>
      <c r="BN520" s="197">
        <f t="shared" si="387"/>
        <v>54.461181858619113</v>
      </c>
      <c r="BO520" s="197">
        <f t="shared" si="415"/>
        <v>0.2082789955950014</v>
      </c>
      <c r="BP520" s="197">
        <f t="shared" si="388"/>
        <v>65.620924669625111</v>
      </c>
      <c r="BQ520" s="197">
        <f t="shared" si="389"/>
        <v>9.9596940000000009E-2</v>
      </c>
      <c r="BR520" s="288">
        <f t="shared" si="390"/>
        <v>0.16008975919012108</v>
      </c>
      <c r="BS520" s="197">
        <f t="shared" si="391"/>
        <v>0.11660930017110901</v>
      </c>
      <c r="BT520" s="197">
        <f t="shared" si="392"/>
        <v>0.36419974881911377</v>
      </c>
      <c r="BU520" s="197">
        <f t="shared" si="393"/>
        <v>0.1713930788771201</v>
      </c>
      <c r="BV520" s="197">
        <f t="shared" si="394"/>
        <v>0.53530306917875781</v>
      </c>
      <c r="BW520" s="194"/>
      <c r="BX520" s="194"/>
      <c r="BY520" s="194"/>
      <c r="BZ520" s="194"/>
      <c r="CA520" s="194"/>
      <c r="CB520" s="194"/>
      <c r="CC520" s="194"/>
      <c r="CD520" s="194"/>
      <c r="CE520" s="194"/>
      <c r="CF520" s="194"/>
      <c r="CG520" s="194"/>
      <c r="CH520" s="194"/>
      <c r="CI520" s="194"/>
      <c r="CJ520" s="194"/>
      <c r="CK520" s="194"/>
      <c r="CL520" s="194"/>
      <c r="CM520" s="194"/>
      <c r="CN520" s="194"/>
      <c r="CO520" s="194"/>
      <c r="CP520" s="194"/>
      <c r="CQ520" s="194"/>
      <c r="CR520" s="194"/>
      <c r="CS520" s="194"/>
      <c r="CT520" s="194"/>
      <c r="CU520" s="194"/>
      <c r="CV520" s="194"/>
      <c r="CW520" s="194"/>
      <c r="CX520" s="194"/>
      <c r="CY520" s="194"/>
      <c r="CZ520" s="194"/>
      <c r="DA520" s="194"/>
      <c r="DB520" s="194"/>
      <c r="DC520" s="194"/>
      <c r="DD520" s="194"/>
      <c r="DE520" s="194"/>
      <c r="DF520" s="194"/>
    </row>
    <row r="521" spans="2:110" s="192" customFormat="1" hidden="1" x14ac:dyDescent="0.35">
      <c r="B521" s="289"/>
      <c r="C521" s="289"/>
      <c r="Q521" s="193"/>
      <c r="R521" s="194">
        <f t="shared" si="395"/>
        <v>18</v>
      </c>
      <c r="S521" s="197">
        <f t="shared" si="361"/>
        <v>0.3888888888888889</v>
      </c>
      <c r="T521" s="194">
        <f t="shared" si="416"/>
        <v>0.69</v>
      </c>
      <c r="U521" s="194">
        <f t="shared" si="417"/>
        <v>1.4999999999999999E-4</v>
      </c>
      <c r="V521" s="197">
        <f t="shared" si="396"/>
        <v>0.3888888888888889</v>
      </c>
      <c r="W521" s="197">
        <f t="shared" si="362"/>
        <v>4.3555555555555561E-3</v>
      </c>
      <c r="X521" s="286">
        <f t="shared" si="363"/>
        <v>1</v>
      </c>
      <c r="Y521" s="286">
        <f t="shared" si="364"/>
        <v>0.17335969315081967</v>
      </c>
      <c r="Z521" s="286">
        <f t="shared" si="365"/>
        <v>0.54964853345132902</v>
      </c>
      <c r="AA521" s="286">
        <f t="shared" si="397"/>
        <v>0.17335969315081967</v>
      </c>
      <c r="AB521" s="197">
        <f t="shared" si="366"/>
        <v>0.36419974881911377</v>
      </c>
      <c r="AC521" s="287">
        <f t="shared" si="367"/>
        <v>4.4451203372005044E-7</v>
      </c>
      <c r="AD521" s="197">
        <f t="shared" si="398"/>
        <v>11.693936048110356</v>
      </c>
      <c r="AE521" s="197">
        <f t="shared" si="399"/>
        <v>35.08180814433107</v>
      </c>
      <c r="AF521" s="197">
        <f t="shared" si="400"/>
        <v>8.5178571428571423E-2</v>
      </c>
      <c r="AG521" s="197">
        <f t="shared" si="401"/>
        <v>0.25553571428571431</v>
      </c>
      <c r="AH521" s="197">
        <f t="shared" si="368"/>
        <v>0.11660930017110901</v>
      </c>
      <c r="AI521" s="197">
        <f t="shared" si="402"/>
        <v>0.11660930017110901</v>
      </c>
      <c r="AJ521" s="218">
        <f t="shared" si="369"/>
        <v>390.00000000000006</v>
      </c>
      <c r="AK521" s="197">
        <f t="shared" si="403"/>
        <v>6.0930617977437734E-2</v>
      </c>
      <c r="AL521" s="197">
        <f t="shared" si="404"/>
        <v>9.6203707235237593E-2</v>
      </c>
      <c r="AM521" s="197">
        <f t="shared" si="405"/>
        <v>4.0790371867740751E-3</v>
      </c>
      <c r="AN521" s="197">
        <f t="shared" si="370"/>
        <v>24.05</v>
      </c>
      <c r="AO521" s="197">
        <f t="shared" si="371"/>
        <v>21.69</v>
      </c>
      <c r="AP521" s="197">
        <f t="shared" si="406"/>
        <v>7.4093290390420161E-2</v>
      </c>
      <c r="AQ521" s="197">
        <f t="shared" si="407"/>
        <v>0.42250439890466829</v>
      </c>
      <c r="AR521" s="197">
        <f t="shared" si="408"/>
        <v>0.30589509873355925</v>
      </c>
      <c r="AS521" s="258">
        <f t="shared" si="409"/>
        <v>0.15228632177729159</v>
      </c>
      <c r="AT521" s="197">
        <f t="shared" si="372"/>
        <v>2.5974058656511614E-4</v>
      </c>
      <c r="AU521" s="194">
        <f t="shared" si="373"/>
        <v>21.19</v>
      </c>
      <c r="AV521" s="197">
        <f t="shared" si="374"/>
        <v>2.7E-2</v>
      </c>
      <c r="AW521" s="197">
        <f t="shared" si="375"/>
        <v>3.4260000000000002E-3</v>
      </c>
      <c r="AX521" s="197">
        <f t="shared" si="410"/>
        <v>6.1668000000000001E-2</v>
      </c>
      <c r="AY521" s="197">
        <f t="shared" si="376"/>
        <v>2.8867476000000005E-3</v>
      </c>
      <c r="AZ521" s="197">
        <f t="shared" si="377"/>
        <v>0</v>
      </c>
      <c r="BA521" s="197">
        <f t="shared" si="411"/>
        <v>7.2596940000000013E-2</v>
      </c>
      <c r="BB521" s="258">
        <f t="shared" si="378"/>
        <v>0.36575210336206115</v>
      </c>
      <c r="BC521" s="197">
        <f t="shared" si="379"/>
        <v>2.2380490766334034E-2</v>
      </c>
      <c r="BD521" s="197">
        <f t="shared" si="412"/>
        <v>4.4760981532668068E-3</v>
      </c>
      <c r="BE521" s="197">
        <f t="shared" si="413"/>
        <v>2.6856588919600841E-2</v>
      </c>
      <c r="BF521" s="197">
        <f t="shared" si="380"/>
        <v>0.20773291256157633</v>
      </c>
      <c r="BG521" s="197">
        <f t="shared" si="381"/>
        <v>5.4608303342508187E-4</v>
      </c>
      <c r="BH521" s="197">
        <f t="shared" si="382"/>
        <v>3.5336687086656722E-2</v>
      </c>
      <c r="BI521" s="197">
        <f t="shared" si="414"/>
        <v>0.44730899017824427</v>
      </c>
      <c r="BJ521" s="197">
        <f t="shared" si="383"/>
        <v>6.769615024661003</v>
      </c>
      <c r="BK521" s="288">
        <f t="shared" si="384"/>
        <v>0.93392401361838984</v>
      </c>
      <c r="BL521" s="197">
        <f t="shared" si="385"/>
        <v>0.37608972359227794</v>
      </c>
      <c r="BM521" s="197">
        <f t="shared" si="386"/>
        <v>7.4353030976985271E-2</v>
      </c>
      <c r="BN521" s="197">
        <f t="shared" si="387"/>
        <v>54.461181858619113</v>
      </c>
      <c r="BO521" s="197">
        <f t="shared" si="415"/>
        <v>0.2082789955950014</v>
      </c>
      <c r="BP521" s="197">
        <f t="shared" si="388"/>
        <v>65.620924669625111</v>
      </c>
      <c r="BQ521" s="197">
        <f t="shared" si="389"/>
        <v>9.9596940000000009E-2</v>
      </c>
      <c r="BR521" s="288">
        <f t="shared" si="390"/>
        <v>0.16008975919012108</v>
      </c>
      <c r="BS521" s="197">
        <f t="shared" si="391"/>
        <v>0.11660930017110901</v>
      </c>
      <c r="BT521" s="197">
        <f t="shared" si="392"/>
        <v>0.36419974881911377</v>
      </c>
      <c r="BU521" s="197">
        <f t="shared" si="393"/>
        <v>0.1713930788771201</v>
      </c>
      <c r="BV521" s="197">
        <f t="shared" si="394"/>
        <v>0.53530306917875781</v>
      </c>
      <c r="BW521" s="194"/>
      <c r="BX521" s="194"/>
      <c r="BY521" s="194"/>
      <c r="BZ521" s="194"/>
      <c r="CA521" s="194"/>
      <c r="CB521" s="194"/>
      <c r="CC521" s="194"/>
      <c r="CD521" s="194"/>
      <c r="CE521" s="194"/>
      <c r="CF521" s="194"/>
      <c r="CG521" s="194"/>
      <c r="CH521" s="194"/>
      <c r="CI521" s="194"/>
      <c r="CJ521" s="194"/>
      <c r="CK521" s="194"/>
      <c r="CL521" s="194"/>
      <c r="CM521" s="194"/>
      <c r="CN521" s="194"/>
      <c r="CO521" s="194"/>
      <c r="CP521" s="194"/>
      <c r="CQ521" s="194"/>
      <c r="CR521" s="194"/>
      <c r="CS521" s="194"/>
      <c r="CT521" s="194"/>
      <c r="CU521" s="194"/>
      <c r="CV521" s="194"/>
      <c r="CW521" s="194"/>
      <c r="CX521" s="194"/>
      <c r="CY521" s="194"/>
      <c r="CZ521" s="194"/>
      <c r="DA521" s="194"/>
      <c r="DB521" s="194"/>
      <c r="DC521" s="194"/>
      <c r="DD521" s="194"/>
      <c r="DE521" s="194"/>
      <c r="DF521" s="194"/>
    </row>
    <row r="522" spans="2:110" s="192" customFormat="1" hidden="1" x14ac:dyDescent="0.35">
      <c r="B522" s="289"/>
      <c r="C522" s="289"/>
      <c r="Q522" s="193"/>
      <c r="R522" s="194">
        <f t="shared" si="395"/>
        <v>18</v>
      </c>
      <c r="S522" s="197">
        <f t="shared" si="361"/>
        <v>0.3888888888888889</v>
      </c>
      <c r="T522" s="194">
        <f t="shared" si="416"/>
        <v>0.69</v>
      </c>
      <c r="U522" s="194">
        <f t="shared" si="417"/>
        <v>1.4999999999999999E-4</v>
      </c>
      <c r="V522" s="197">
        <f t="shared" si="396"/>
        <v>0.3888888888888889</v>
      </c>
      <c r="W522" s="197">
        <f t="shared" si="362"/>
        <v>4.3555555555555561E-3</v>
      </c>
      <c r="X522" s="286">
        <f t="shared" si="363"/>
        <v>1</v>
      </c>
      <c r="Y522" s="286">
        <f t="shared" si="364"/>
        <v>0.17335969315081967</v>
      </c>
      <c r="Z522" s="286">
        <f t="shared" si="365"/>
        <v>0.54964853345132902</v>
      </c>
      <c r="AA522" s="286">
        <f t="shared" si="397"/>
        <v>0.17335969315081967</v>
      </c>
      <c r="AB522" s="197">
        <f t="shared" si="366"/>
        <v>0.36419974881911377</v>
      </c>
      <c r="AC522" s="287">
        <f t="shared" si="367"/>
        <v>4.4451203372005044E-7</v>
      </c>
      <c r="AD522" s="197">
        <f t="shared" si="398"/>
        <v>11.693936048110356</v>
      </c>
      <c r="AE522" s="197">
        <f t="shared" si="399"/>
        <v>35.08180814433107</v>
      </c>
      <c r="AF522" s="197">
        <f t="shared" si="400"/>
        <v>8.5178571428571423E-2</v>
      </c>
      <c r="AG522" s="197">
        <f t="shared" si="401"/>
        <v>0.25553571428571431</v>
      </c>
      <c r="AH522" s="197">
        <f t="shared" si="368"/>
        <v>0.11660930017110901</v>
      </c>
      <c r="AI522" s="197">
        <f t="shared" si="402"/>
        <v>0.11660930017110901</v>
      </c>
      <c r="AJ522" s="218">
        <f t="shared" si="369"/>
        <v>390.00000000000006</v>
      </c>
      <c r="AK522" s="197">
        <f t="shared" si="403"/>
        <v>6.0930617977437734E-2</v>
      </c>
      <c r="AL522" s="197">
        <f t="shared" si="404"/>
        <v>9.6203707235237593E-2</v>
      </c>
      <c r="AM522" s="197">
        <f t="shared" si="405"/>
        <v>4.0790371867740751E-3</v>
      </c>
      <c r="AN522" s="197">
        <f t="shared" si="370"/>
        <v>24.05</v>
      </c>
      <c r="AO522" s="197">
        <f t="shared" si="371"/>
        <v>21.69</v>
      </c>
      <c r="AP522" s="197">
        <f t="shared" si="406"/>
        <v>7.4093290390420161E-2</v>
      </c>
      <c r="AQ522" s="197">
        <f t="shared" si="407"/>
        <v>0.42250439890466829</v>
      </c>
      <c r="AR522" s="197">
        <f t="shared" si="408"/>
        <v>0.30589509873355925</v>
      </c>
      <c r="AS522" s="258">
        <f t="shared" si="409"/>
        <v>0.15228632177729159</v>
      </c>
      <c r="AT522" s="197">
        <f t="shared" si="372"/>
        <v>2.5974058656511614E-4</v>
      </c>
      <c r="AU522" s="194">
        <f t="shared" si="373"/>
        <v>21.19</v>
      </c>
      <c r="AV522" s="197">
        <f t="shared" si="374"/>
        <v>2.7E-2</v>
      </c>
      <c r="AW522" s="197">
        <f t="shared" si="375"/>
        <v>3.4260000000000002E-3</v>
      </c>
      <c r="AX522" s="197">
        <f t="shared" si="410"/>
        <v>6.1668000000000001E-2</v>
      </c>
      <c r="AY522" s="197">
        <f t="shared" si="376"/>
        <v>2.8867476000000005E-3</v>
      </c>
      <c r="AZ522" s="197">
        <f t="shared" si="377"/>
        <v>0</v>
      </c>
      <c r="BA522" s="197">
        <f t="shared" si="411"/>
        <v>7.2596940000000013E-2</v>
      </c>
      <c r="BB522" s="258">
        <f t="shared" si="378"/>
        <v>0.36575210336206115</v>
      </c>
      <c r="BC522" s="197">
        <f t="shared" si="379"/>
        <v>2.2380490766334034E-2</v>
      </c>
      <c r="BD522" s="197">
        <f t="shared" si="412"/>
        <v>4.4760981532668068E-3</v>
      </c>
      <c r="BE522" s="197">
        <f t="shared" si="413"/>
        <v>2.6856588919600841E-2</v>
      </c>
      <c r="BF522" s="197">
        <f t="shared" si="380"/>
        <v>0.20773291256157633</v>
      </c>
      <c r="BG522" s="197">
        <f t="shared" si="381"/>
        <v>5.4608303342508187E-4</v>
      </c>
      <c r="BH522" s="197">
        <f t="shared" si="382"/>
        <v>3.5336687086656722E-2</v>
      </c>
      <c r="BI522" s="197">
        <f t="shared" si="414"/>
        <v>0.44730899017824427</v>
      </c>
      <c r="BJ522" s="197">
        <f t="shared" si="383"/>
        <v>6.769615024661003</v>
      </c>
      <c r="BK522" s="288">
        <f t="shared" si="384"/>
        <v>0.93392401361838984</v>
      </c>
      <c r="BL522" s="197">
        <f t="shared" si="385"/>
        <v>0.37608972359227794</v>
      </c>
      <c r="BM522" s="197">
        <f t="shared" si="386"/>
        <v>7.4353030976985271E-2</v>
      </c>
      <c r="BN522" s="197">
        <f t="shared" si="387"/>
        <v>54.461181858619113</v>
      </c>
      <c r="BO522" s="197">
        <f t="shared" si="415"/>
        <v>0.2082789955950014</v>
      </c>
      <c r="BP522" s="197">
        <f t="shared" si="388"/>
        <v>65.620924669625111</v>
      </c>
      <c r="BQ522" s="197">
        <f t="shared" si="389"/>
        <v>9.9596940000000009E-2</v>
      </c>
      <c r="BR522" s="288">
        <f t="shared" si="390"/>
        <v>0.16008975919012108</v>
      </c>
      <c r="BS522" s="197">
        <f t="shared" si="391"/>
        <v>0.11660930017110901</v>
      </c>
      <c r="BT522" s="197">
        <f t="shared" si="392"/>
        <v>0.36419974881911377</v>
      </c>
      <c r="BU522" s="197">
        <f t="shared" si="393"/>
        <v>0.1713930788771201</v>
      </c>
      <c r="BV522" s="197">
        <f t="shared" si="394"/>
        <v>0.53530306917875781</v>
      </c>
      <c r="BW522" s="194"/>
      <c r="BX522" s="194"/>
      <c r="BY522" s="194"/>
      <c r="BZ522" s="194"/>
      <c r="CA522" s="194"/>
      <c r="CB522" s="194"/>
      <c r="CC522" s="194"/>
      <c r="CD522" s="194"/>
      <c r="CE522" s="194"/>
      <c r="CF522" s="194"/>
      <c r="CG522" s="194"/>
      <c r="CH522" s="194"/>
      <c r="CI522" s="194"/>
      <c r="CJ522" s="194"/>
      <c r="CK522" s="194"/>
      <c r="CL522" s="194"/>
      <c r="CM522" s="194"/>
      <c r="CN522" s="194"/>
      <c r="CO522" s="194"/>
      <c r="CP522" s="194"/>
      <c r="CQ522" s="194"/>
      <c r="CR522" s="194"/>
      <c r="CS522" s="194"/>
      <c r="CT522" s="194"/>
      <c r="CU522" s="194"/>
      <c r="CV522" s="194"/>
      <c r="CW522" s="194"/>
      <c r="CX522" s="194"/>
      <c r="CY522" s="194"/>
      <c r="CZ522" s="194"/>
      <c r="DA522" s="194"/>
      <c r="DB522" s="194"/>
      <c r="DC522" s="194"/>
      <c r="DD522" s="194"/>
      <c r="DE522" s="194"/>
      <c r="DF522" s="194"/>
    </row>
    <row r="523" spans="2:110" s="192" customFormat="1" hidden="1" x14ac:dyDescent="0.35">
      <c r="B523" s="289"/>
      <c r="C523" s="289"/>
      <c r="Q523" s="193"/>
      <c r="R523" s="194">
        <f t="shared" si="395"/>
        <v>18</v>
      </c>
      <c r="S523" s="197">
        <f t="shared" si="361"/>
        <v>0.3888888888888889</v>
      </c>
      <c r="T523" s="194">
        <f t="shared" si="416"/>
        <v>0.69</v>
      </c>
      <c r="U523" s="194">
        <f t="shared" si="417"/>
        <v>1.4999999999999999E-4</v>
      </c>
      <c r="V523" s="197">
        <f t="shared" si="396"/>
        <v>0.3888888888888889</v>
      </c>
      <c r="W523" s="197">
        <f t="shared" si="362"/>
        <v>4.3555555555555561E-3</v>
      </c>
      <c r="X523" s="286">
        <f t="shared" si="363"/>
        <v>1</v>
      </c>
      <c r="Y523" s="286">
        <f t="shared" si="364"/>
        <v>0.17335969315081967</v>
      </c>
      <c r="Z523" s="286">
        <f t="shared" si="365"/>
        <v>0.54964853345132902</v>
      </c>
      <c r="AA523" s="286">
        <f t="shared" si="397"/>
        <v>0.17335969315081967</v>
      </c>
      <c r="AB523" s="197">
        <f t="shared" si="366"/>
        <v>0.36419974881911377</v>
      </c>
      <c r="AC523" s="287">
        <f t="shared" si="367"/>
        <v>4.4451203372005044E-7</v>
      </c>
      <c r="AD523" s="197">
        <f t="shared" si="398"/>
        <v>11.693936048110356</v>
      </c>
      <c r="AE523" s="197">
        <f t="shared" si="399"/>
        <v>35.08180814433107</v>
      </c>
      <c r="AF523" s="197">
        <f t="shared" si="400"/>
        <v>8.5178571428571423E-2</v>
      </c>
      <c r="AG523" s="197">
        <f t="shared" si="401"/>
        <v>0.25553571428571431</v>
      </c>
      <c r="AH523" s="197">
        <f t="shared" si="368"/>
        <v>0.11660930017110901</v>
      </c>
      <c r="AI523" s="197">
        <f t="shared" si="402"/>
        <v>0.11660930017110901</v>
      </c>
      <c r="AJ523" s="218">
        <f t="shared" si="369"/>
        <v>390.00000000000006</v>
      </c>
      <c r="AK523" s="197">
        <f t="shared" si="403"/>
        <v>6.0930617977437734E-2</v>
      </c>
      <c r="AL523" s="197">
        <f t="shared" si="404"/>
        <v>9.6203707235237593E-2</v>
      </c>
      <c r="AM523" s="197">
        <f t="shared" si="405"/>
        <v>4.0790371867740751E-3</v>
      </c>
      <c r="AN523" s="197">
        <f t="shared" si="370"/>
        <v>24.05</v>
      </c>
      <c r="AO523" s="197">
        <f t="shared" si="371"/>
        <v>21.69</v>
      </c>
      <c r="AP523" s="197">
        <f t="shared" si="406"/>
        <v>7.4093290390420161E-2</v>
      </c>
      <c r="AQ523" s="197">
        <f t="shared" si="407"/>
        <v>0.42250439890466829</v>
      </c>
      <c r="AR523" s="197">
        <f t="shared" si="408"/>
        <v>0.30589509873355925</v>
      </c>
      <c r="AS523" s="258">
        <f t="shared" si="409"/>
        <v>0.15228632177729159</v>
      </c>
      <c r="AT523" s="197">
        <f t="shared" si="372"/>
        <v>2.5974058656511614E-4</v>
      </c>
      <c r="AU523" s="194">
        <f t="shared" si="373"/>
        <v>21.19</v>
      </c>
      <c r="AV523" s="197">
        <f t="shared" si="374"/>
        <v>2.7E-2</v>
      </c>
      <c r="AW523" s="197">
        <f t="shared" si="375"/>
        <v>3.4260000000000002E-3</v>
      </c>
      <c r="AX523" s="197">
        <f t="shared" si="410"/>
        <v>6.1668000000000001E-2</v>
      </c>
      <c r="AY523" s="197">
        <f t="shared" si="376"/>
        <v>2.8867476000000005E-3</v>
      </c>
      <c r="AZ523" s="197">
        <f t="shared" si="377"/>
        <v>0</v>
      </c>
      <c r="BA523" s="197">
        <f t="shared" si="411"/>
        <v>7.2596940000000013E-2</v>
      </c>
      <c r="BB523" s="258">
        <f t="shared" si="378"/>
        <v>0.36575210336206115</v>
      </c>
      <c r="BC523" s="197">
        <f t="shared" si="379"/>
        <v>2.2380490766334034E-2</v>
      </c>
      <c r="BD523" s="197">
        <f t="shared" si="412"/>
        <v>4.4760981532668068E-3</v>
      </c>
      <c r="BE523" s="197">
        <f t="shared" si="413"/>
        <v>2.6856588919600841E-2</v>
      </c>
      <c r="BF523" s="197">
        <f t="shared" si="380"/>
        <v>0.20773291256157633</v>
      </c>
      <c r="BG523" s="197">
        <f t="shared" si="381"/>
        <v>5.4608303342508187E-4</v>
      </c>
      <c r="BH523" s="197">
        <f t="shared" si="382"/>
        <v>3.5336687086656722E-2</v>
      </c>
      <c r="BI523" s="197">
        <f t="shared" si="414"/>
        <v>0.44730899017824427</v>
      </c>
      <c r="BJ523" s="197">
        <f t="shared" si="383"/>
        <v>6.769615024661003</v>
      </c>
      <c r="BK523" s="288">
        <f t="shared" si="384"/>
        <v>0.93392401361838984</v>
      </c>
      <c r="BL523" s="197">
        <f t="shared" si="385"/>
        <v>0.37608972359227794</v>
      </c>
      <c r="BM523" s="197">
        <f t="shared" si="386"/>
        <v>7.4353030976985271E-2</v>
      </c>
      <c r="BN523" s="197">
        <f t="shared" si="387"/>
        <v>54.461181858619113</v>
      </c>
      <c r="BO523" s="197">
        <f t="shared" si="415"/>
        <v>0.2082789955950014</v>
      </c>
      <c r="BP523" s="197">
        <f t="shared" si="388"/>
        <v>65.620924669625111</v>
      </c>
      <c r="BQ523" s="197">
        <f t="shared" si="389"/>
        <v>9.9596940000000009E-2</v>
      </c>
      <c r="BR523" s="288">
        <f t="shared" si="390"/>
        <v>0.16008975919012108</v>
      </c>
      <c r="BS523" s="197">
        <f t="shared" si="391"/>
        <v>0.11660930017110901</v>
      </c>
      <c r="BT523" s="197">
        <f t="shared" si="392"/>
        <v>0.36419974881911377</v>
      </c>
      <c r="BU523" s="197">
        <f t="shared" si="393"/>
        <v>0.1713930788771201</v>
      </c>
      <c r="BV523" s="197">
        <f t="shared" si="394"/>
        <v>0.53530306917875781</v>
      </c>
      <c r="BW523" s="194"/>
      <c r="BX523" s="194"/>
      <c r="BY523" s="194"/>
      <c r="BZ523" s="194"/>
      <c r="CA523" s="194"/>
      <c r="CB523" s="194"/>
      <c r="CC523" s="194"/>
      <c r="CD523" s="194"/>
      <c r="CE523" s="194"/>
      <c r="CF523" s="194"/>
      <c r="CG523" s="194"/>
      <c r="CH523" s="194"/>
      <c r="CI523" s="194"/>
      <c r="CJ523" s="194"/>
      <c r="CK523" s="194"/>
      <c r="CL523" s="194"/>
      <c r="CM523" s="194"/>
      <c r="CN523" s="194"/>
      <c r="CO523" s="194"/>
      <c r="CP523" s="194"/>
      <c r="CQ523" s="194"/>
      <c r="CR523" s="194"/>
      <c r="CS523" s="194"/>
      <c r="CT523" s="194"/>
      <c r="CU523" s="194"/>
      <c r="CV523" s="194"/>
      <c r="CW523" s="194"/>
      <c r="CX523" s="194"/>
      <c r="CY523" s="194"/>
      <c r="CZ523" s="194"/>
      <c r="DA523" s="194"/>
      <c r="DB523" s="194"/>
      <c r="DC523" s="194"/>
      <c r="DD523" s="194"/>
      <c r="DE523" s="194"/>
      <c r="DF523" s="194"/>
    </row>
    <row r="524" spans="2:110" s="192" customFormat="1" hidden="1" x14ac:dyDescent="0.35">
      <c r="B524" s="289"/>
      <c r="C524" s="289"/>
      <c r="Q524" s="193"/>
      <c r="R524" s="194">
        <f t="shared" si="395"/>
        <v>18</v>
      </c>
      <c r="S524" s="197">
        <f t="shared" si="361"/>
        <v>0.3888888888888889</v>
      </c>
      <c r="T524" s="194">
        <f t="shared" si="416"/>
        <v>0.69</v>
      </c>
      <c r="U524" s="194">
        <f t="shared" si="417"/>
        <v>1.4999999999999999E-4</v>
      </c>
      <c r="V524" s="197">
        <f t="shared" si="396"/>
        <v>0.3888888888888889</v>
      </c>
      <c r="W524" s="197">
        <f t="shared" si="362"/>
        <v>4.3555555555555561E-3</v>
      </c>
      <c r="X524" s="286">
        <f t="shared" si="363"/>
        <v>1</v>
      </c>
      <c r="Y524" s="286">
        <f t="shared" si="364"/>
        <v>0.17335969315081967</v>
      </c>
      <c r="Z524" s="286">
        <f t="shared" si="365"/>
        <v>0.54964853345132902</v>
      </c>
      <c r="AA524" s="286">
        <f t="shared" si="397"/>
        <v>0.17335969315081967</v>
      </c>
      <c r="AB524" s="197">
        <f t="shared" si="366"/>
        <v>0.36419974881911377</v>
      </c>
      <c r="AC524" s="287">
        <f t="shared" si="367"/>
        <v>4.4451203372005044E-7</v>
      </c>
      <c r="AD524" s="197">
        <f t="shared" si="398"/>
        <v>11.693936048110356</v>
      </c>
      <c r="AE524" s="197">
        <f t="shared" si="399"/>
        <v>35.08180814433107</v>
      </c>
      <c r="AF524" s="197">
        <f t="shared" si="400"/>
        <v>8.5178571428571423E-2</v>
      </c>
      <c r="AG524" s="197">
        <f t="shared" si="401"/>
        <v>0.25553571428571431</v>
      </c>
      <c r="AH524" s="197">
        <f t="shared" si="368"/>
        <v>0.11660930017110901</v>
      </c>
      <c r="AI524" s="197">
        <f t="shared" si="402"/>
        <v>0.11660930017110901</v>
      </c>
      <c r="AJ524" s="218">
        <f t="shared" si="369"/>
        <v>390.00000000000006</v>
      </c>
      <c r="AK524" s="197">
        <f t="shared" si="403"/>
        <v>6.0930617977437734E-2</v>
      </c>
      <c r="AL524" s="197">
        <f t="shared" si="404"/>
        <v>9.6203707235237593E-2</v>
      </c>
      <c r="AM524" s="197">
        <f t="shared" si="405"/>
        <v>4.0790371867740751E-3</v>
      </c>
      <c r="AN524" s="197">
        <f t="shared" si="370"/>
        <v>24.05</v>
      </c>
      <c r="AO524" s="197">
        <f t="shared" si="371"/>
        <v>21.69</v>
      </c>
      <c r="AP524" s="197">
        <f t="shared" si="406"/>
        <v>7.4093290390420161E-2</v>
      </c>
      <c r="AQ524" s="197">
        <f t="shared" si="407"/>
        <v>0.42250439890466829</v>
      </c>
      <c r="AR524" s="197">
        <f t="shared" si="408"/>
        <v>0.30589509873355925</v>
      </c>
      <c r="AS524" s="258">
        <f t="shared" si="409"/>
        <v>0.15228632177729159</v>
      </c>
      <c r="AT524" s="197">
        <f t="shared" si="372"/>
        <v>2.5974058656511614E-4</v>
      </c>
      <c r="AU524" s="194">
        <f t="shared" si="373"/>
        <v>21.19</v>
      </c>
      <c r="AV524" s="197">
        <f t="shared" si="374"/>
        <v>2.7E-2</v>
      </c>
      <c r="AW524" s="197">
        <f t="shared" si="375"/>
        <v>3.4260000000000002E-3</v>
      </c>
      <c r="AX524" s="197">
        <f t="shared" si="410"/>
        <v>6.1668000000000001E-2</v>
      </c>
      <c r="AY524" s="197">
        <f t="shared" si="376"/>
        <v>2.8867476000000005E-3</v>
      </c>
      <c r="AZ524" s="197">
        <f t="shared" si="377"/>
        <v>0</v>
      </c>
      <c r="BA524" s="197">
        <f t="shared" si="411"/>
        <v>7.2596940000000013E-2</v>
      </c>
      <c r="BB524" s="258">
        <f t="shared" si="378"/>
        <v>0.36575210336206115</v>
      </c>
      <c r="BC524" s="197">
        <f t="shared" si="379"/>
        <v>2.2380490766334034E-2</v>
      </c>
      <c r="BD524" s="197">
        <f t="shared" si="412"/>
        <v>4.4760981532668068E-3</v>
      </c>
      <c r="BE524" s="197">
        <f t="shared" si="413"/>
        <v>2.6856588919600841E-2</v>
      </c>
      <c r="BF524" s="197">
        <f t="shared" si="380"/>
        <v>0.20773291256157633</v>
      </c>
      <c r="BG524" s="197">
        <f t="shared" si="381"/>
        <v>5.4608303342508187E-4</v>
      </c>
      <c r="BH524" s="197">
        <f t="shared" si="382"/>
        <v>3.5336687086656722E-2</v>
      </c>
      <c r="BI524" s="197">
        <f t="shared" si="414"/>
        <v>0.44730899017824427</v>
      </c>
      <c r="BJ524" s="197">
        <f t="shared" si="383"/>
        <v>6.769615024661003</v>
      </c>
      <c r="BK524" s="288">
        <f t="shared" si="384"/>
        <v>0.93392401361838984</v>
      </c>
      <c r="BL524" s="197">
        <f t="shared" si="385"/>
        <v>0.37608972359227794</v>
      </c>
      <c r="BM524" s="197">
        <f t="shared" si="386"/>
        <v>7.4353030976985271E-2</v>
      </c>
      <c r="BN524" s="197">
        <f t="shared" si="387"/>
        <v>54.461181858619113</v>
      </c>
      <c r="BO524" s="197">
        <f t="shared" si="415"/>
        <v>0.2082789955950014</v>
      </c>
      <c r="BP524" s="197">
        <f t="shared" si="388"/>
        <v>65.620924669625111</v>
      </c>
      <c r="BQ524" s="197">
        <f t="shared" si="389"/>
        <v>9.9596940000000009E-2</v>
      </c>
      <c r="BR524" s="288">
        <f t="shared" si="390"/>
        <v>0.16008975919012108</v>
      </c>
      <c r="BS524" s="197">
        <f t="shared" si="391"/>
        <v>0.11660930017110901</v>
      </c>
      <c r="BT524" s="197">
        <f t="shared" si="392"/>
        <v>0.36419974881911377</v>
      </c>
      <c r="BU524" s="197">
        <f t="shared" si="393"/>
        <v>0.1713930788771201</v>
      </c>
      <c r="BV524" s="197">
        <f t="shared" si="394"/>
        <v>0.53530306917875781</v>
      </c>
      <c r="BW524" s="194"/>
      <c r="BX524" s="194"/>
      <c r="BY524" s="194"/>
      <c r="BZ524" s="194"/>
      <c r="CA524" s="194"/>
      <c r="CB524" s="194"/>
      <c r="CC524" s="194"/>
      <c r="CD524" s="194"/>
      <c r="CE524" s="194"/>
      <c r="CF524" s="194"/>
      <c r="CG524" s="194"/>
      <c r="CH524" s="194"/>
      <c r="CI524" s="194"/>
      <c r="CJ524" s="194"/>
      <c r="CK524" s="194"/>
      <c r="CL524" s="194"/>
      <c r="CM524" s="194"/>
      <c r="CN524" s="194"/>
      <c r="CO524" s="194"/>
      <c r="CP524" s="194"/>
      <c r="CQ524" s="194"/>
      <c r="CR524" s="194"/>
      <c r="CS524" s="194"/>
      <c r="CT524" s="194"/>
      <c r="CU524" s="194"/>
      <c r="CV524" s="194"/>
      <c r="CW524" s="194"/>
      <c r="CX524" s="194"/>
      <c r="CY524" s="194"/>
      <c r="CZ524" s="194"/>
      <c r="DA524" s="194"/>
      <c r="DB524" s="194"/>
      <c r="DC524" s="194"/>
      <c r="DD524" s="194"/>
      <c r="DE524" s="194"/>
      <c r="DF524" s="194"/>
    </row>
    <row r="525" spans="2:110" s="192" customFormat="1" hidden="1" x14ac:dyDescent="0.35">
      <c r="B525" s="289"/>
      <c r="C525" s="289"/>
      <c r="Q525" s="193"/>
      <c r="R525" s="194">
        <f t="shared" si="395"/>
        <v>18</v>
      </c>
      <c r="S525" s="197">
        <f t="shared" si="361"/>
        <v>0.3888888888888889</v>
      </c>
      <c r="T525" s="194">
        <f t="shared" si="416"/>
        <v>0.69</v>
      </c>
      <c r="U525" s="194">
        <f t="shared" si="417"/>
        <v>1.4999999999999999E-4</v>
      </c>
      <c r="V525" s="197">
        <f t="shared" si="396"/>
        <v>0.3888888888888889</v>
      </c>
      <c r="W525" s="197">
        <f t="shared" si="362"/>
        <v>4.3555555555555561E-3</v>
      </c>
      <c r="X525" s="286">
        <f t="shared" si="363"/>
        <v>1</v>
      </c>
      <c r="Y525" s="286">
        <f t="shared" si="364"/>
        <v>0.17335969315081967</v>
      </c>
      <c r="Z525" s="286">
        <f t="shared" si="365"/>
        <v>0.54964853345132902</v>
      </c>
      <c r="AA525" s="286">
        <f t="shared" si="397"/>
        <v>0.17335969315081967</v>
      </c>
      <c r="AB525" s="197">
        <f t="shared" si="366"/>
        <v>0.36419974881911377</v>
      </c>
      <c r="AC525" s="287">
        <f t="shared" si="367"/>
        <v>4.4451203372005044E-7</v>
      </c>
      <c r="AD525" s="197">
        <f t="shared" si="398"/>
        <v>11.693936048110356</v>
      </c>
      <c r="AE525" s="197">
        <f t="shared" si="399"/>
        <v>35.08180814433107</v>
      </c>
      <c r="AF525" s="197">
        <f t="shared" si="400"/>
        <v>8.5178571428571423E-2</v>
      </c>
      <c r="AG525" s="197">
        <f t="shared" si="401"/>
        <v>0.25553571428571431</v>
      </c>
      <c r="AH525" s="197">
        <f t="shared" si="368"/>
        <v>0.11660930017110901</v>
      </c>
      <c r="AI525" s="197">
        <f t="shared" si="402"/>
        <v>0.11660930017110901</v>
      </c>
      <c r="AJ525" s="218">
        <f t="shared" si="369"/>
        <v>390.00000000000006</v>
      </c>
      <c r="AK525" s="197">
        <f t="shared" si="403"/>
        <v>6.0930617977437734E-2</v>
      </c>
      <c r="AL525" s="197">
        <f t="shared" si="404"/>
        <v>9.6203707235237593E-2</v>
      </c>
      <c r="AM525" s="197">
        <f t="shared" si="405"/>
        <v>4.0790371867740751E-3</v>
      </c>
      <c r="AN525" s="197">
        <f t="shared" si="370"/>
        <v>24.05</v>
      </c>
      <c r="AO525" s="197">
        <f t="shared" si="371"/>
        <v>21.69</v>
      </c>
      <c r="AP525" s="197">
        <f t="shared" si="406"/>
        <v>7.4093290390420161E-2</v>
      </c>
      <c r="AQ525" s="197">
        <f t="shared" si="407"/>
        <v>0.42250439890466829</v>
      </c>
      <c r="AR525" s="197">
        <f t="shared" si="408"/>
        <v>0.30589509873355925</v>
      </c>
      <c r="AS525" s="258">
        <f t="shared" si="409"/>
        <v>0.15228632177729159</v>
      </c>
      <c r="AT525" s="197">
        <f t="shared" si="372"/>
        <v>2.5974058656511614E-4</v>
      </c>
      <c r="AU525" s="194">
        <f t="shared" si="373"/>
        <v>21.19</v>
      </c>
      <c r="AV525" s="197">
        <f t="shared" si="374"/>
        <v>2.7E-2</v>
      </c>
      <c r="AW525" s="197">
        <f t="shared" si="375"/>
        <v>3.4260000000000002E-3</v>
      </c>
      <c r="AX525" s="197">
        <f t="shared" si="410"/>
        <v>6.1668000000000001E-2</v>
      </c>
      <c r="AY525" s="197">
        <f t="shared" si="376"/>
        <v>2.8867476000000005E-3</v>
      </c>
      <c r="AZ525" s="197">
        <f t="shared" si="377"/>
        <v>0</v>
      </c>
      <c r="BA525" s="197">
        <f t="shared" si="411"/>
        <v>7.2596940000000013E-2</v>
      </c>
      <c r="BB525" s="258">
        <f t="shared" si="378"/>
        <v>0.36575210336206115</v>
      </c>
      <c r="BC525" s="197">
        <f t="shared" si="379"/>
        <v>2.2380490766334034E-2</v>
      </c>
      <c r="BD525" s="197">
        <f t="shared" si="412"/>
        <v>4.4760981532668068E-3</v>
      </c>
      <c r="BE525" s="197">
        <f t="shared" si="413"/>
        <v>2.6856588919600841E-2</v>
      </c>
      <c r="BF525" s="197">
        <f t="shared" si="380"/>
        <v>0.20773291256157633</v>
      </c>
      <c r="BG525" s="197">
        <f t="shared" si="381"/>
        <v>5.4608303342508187E-4</v>
      </c>
      <c r="BH525" s="197">
        <f t="shared" si="382"/>
        <v>3.5336687086656722E-2</v>
      </c>
      <c r="BI525" s="197">
        <f t="shared" si="414"/>
        <v>0.44730899017824427</v>
      </c>
      <c r="BJ525" s="197">
        <f t="shared" si="383"/>
        <v>6.769615024661003</v>
      </c>
      <c r="BK525" s="288">
        <f t="shared" si="384"/>
        <v>0.93392401361838984</v>
      </c>
      <c r="BL525" s="197">
        <f t="shared" si="385"/>
        <v>0.37608972359227794</v>
      </c>
      <c r="BM525" s="197">
        <f t="shared" si="386"/>
        <v>7.4353030976985271E-2</v>
      </c>
      <c r="BN525" s="197">
        <f t="shared" si="387"/>
        <v>54.461181858619113</v>
      </c>
      <c r="BO525" s="197">
        <f t="shared" si="415"/>
        <v>0.2082789955950014</v>
      </c>
      <c r="BP525" s="197">
        <f t="shared" si="388"/>
        <v>65.620924669625111</v>
      </c>
      <c r="BQ525" s="197">
        <f t="shared" si="389"/>
        <v>9.9596940000000009E-2</v>
      </c>
      <c r="BR525" s="288">
        <f t="shared" si="390"/>
        <v>0.16008975919012108</v>
      </c>
      <c r="BS525" s="197">
        <f t="shared" si="391"/>
        <v>0.11660930017110901</v>
      </c>
      <c r="BT525" s="197">
        <f t="shared" si="392"/>
        <v>0.36419974881911377</v>
      </c>
      <c r="BU525" s="197">
        <f t="shared" si="393"/>
        <v>0.1713930788771201</v>
      </c>
      <c r="BV525" s="197">
        <f t="shared" si="394"/>
        <v>0.53530306917875781</v>
      </c>
      <c r="BW525" s="194"/>
      <c r="BX525" s="194"/>
      <c r="BY525" s="194"/>
      <c r="BZ525" s="194"/>
      <c r="CA525" s="194"/>
      <c r="CB525" s="194"/>
      <c r="CC525" s="194"/>
      <c r="CD525" s="194"/>
      <c r="CE525" s="194"/>
      <c r="CF525" s="194"/>
      <c r="CG525" s="194"/>
      <c r="CH525" s="194"/>
      <c r="CI525" s="194"/>
      <c r="CJ525" s="194"/>
      <c r="CK525" s="194"/>
      <c r="CL525" s="194"/>
      <c r="CM525" s="194"/>
      <c r="CN525" s="194"/>
      <c r="CO525" s="194"/>
      <c r="CP525" s="194"/>
      <c r="CQ525" s="194"/>
      <c r="CR525" s="194"/>
      <c r="CS525" s="194"/>
      <c r="CT525" s="194"/>
      <c r="CU525" s="194"/>
      <c r="CV525" s="194"/>
      <c r="CW525" s="194"/>
      <c r="CX525" s="194"/>
      <c r="CY525" s="194"/>
      <c r="CZ525" s="194"/>
      <c r="DA525" s="194"/>
      <c r="DB525" s="194"/>
      <c r="DC525" s="194"/>
      <c r="DD525" s="194"/>
      <c r="DE525" s="194"/>
      <c r="DF525" s="194"/>
    </row>
    <row r="526" spans="2:110" s="192" customFormat="1" hidden="1" x14ac:dyDescent="0.35">
      <c r="B526" s="289"/>
      <c r="C526" s="289"/>
      <c r="Q526" s="193"/>
      <c r="R526" s="194">
        <f t="shared" si="395"/>
        <v>18</v>
      </c>
      <c r="S526" s="197">
        <f t="shared" si="361"/>
        <v>0.3888888888888889</v>
      </c>
      <c r="T526" s="194">
        <f t="shared" si="416"/>
        <v>0.69</v>
      </c>
      <c r="U526" s="194">
        <f t="shared" si="417"/>
        <v>1.4999999999999999E-4</v>
      </c>
      <c r="V526" s="197">
        <f t="shared" si="396"/>
        <v>0.3888888888888889</v>
      </c>
      <c r="W526" s="197">
        <f t="shared" si="362"/>
        <v>4.3555555555555561E-3</v>
      </c>
      <c r="X526" s="286">
        <f t="shared" si="363"/>
        <v>1</v>
      </c>
      <c r="Y526" s="286">
        <f t="shared" si="364"/>
        <v>0.17335969315081967</v>
      </c>
      <c r="Z526" s="286">
        <f t="shared" si="365"/>
        <v>0.54964853345132902</v>
      </c>
      <c r="AA526" s="286">
        <f t="shared" si="397"/>
        <v>0.17335969315081967</v>
      </c>
      <c r="AB526" s="197">
        <f t="shared" si="366"/>
        <v>0.36419974881911377</v>
      </c>
      <c r="AC526" s="287">
        <f t="shared" si="367"/>
        <v>4.4451203372005044E-7</v>
      </c>
      <c r="AD526" s="197">
        <f t="shared" si="398"/>
        <v>11.693936048110356</v>
      </c>
      <c r="AE526" s="197">
        <f t="shared" si="399"/>
        <v>35.08180814433107</v>
      </c>
      <c r="AF526" s="197">
        <f t="shared" si="400"/>
        <v>8.5178571428571423E-2</v>
      </c>
      <c r="AG526" s="197">
        <f t="shared" si="401"/>
        <v>0.25553571428571431</v>
      </c>
      <c r="AH526" s="197">
        <f t="shared" si="368"/>
        <v>0.11660930017110901</v>
      </c>
      <c r="AI526" s="197">
        <f t="shared" si="402"/>
        <v>0.11660930017110901</v>
      </c>
      <c r="AJ526" s="218">
        <f t="shared" si="369"/>
        <v>390.00000000000006</v>
      </c>
      <c r="AK526" s="197">
        <f t="shared" si="403"/>
        <v>6.0930617977437734E-2</v>
      </c>
      <c r="AL526" s="197">
        <f t="shared" si="404"/>
        <v>9.6203707235237593E-2</v>
      </c>
      <c r="AM526" s="197">
        <f t="shared" si="405"/>
        <v>4.0790371867740751E-3</v>
      </c>
      <c r="AN526" s="197">
        <f t="shared" si="370"/>
        <v>24.05</v>
      </c>
      <c r="AO526" s="197">
        <f t="shared" si="371"/>
        <v>21.69</v>
      </c>
      <c r="AP526" s="197">
        <f t="shared" si="406"/>
        <v>7.4093290390420161E-2</v>
      </c>
      <c r="AQ526" s="197">
        <f t="shared" si="407"/>
        <v>0.42250439890466829</v>
      </c>
      <c r="AR526" s="197">
        <f t="shared" si="408"/>
        <v>0.30589509873355925</v>
      </c>
      <c r="AS526" s="258">
        <f t="shared" si="409"/>
        <v>0.15228632177729159</v>
      </c>
      <c r="AT526" s="197">
        <f t="shared" si="372"/>
        <v>2.5974058656511614E-4</v>
      </c>
      <c r="AU526" s="194">
        <f t="shared" si="373"/>
        <v>21.19</v>
      </c>
      <c r="AV526" s="197">
        <f t="shared" si="374"/>
        <v>2.7E-2</v>
      </c>
      <c r="AW526" s="197">
        <f t="shared" si="375"/>
        <v>3.4260000000000002E-3</v>
      </c>
      <c r="AX526" s="197">
        <f t="shared" si="410"/>
        <v>6.1668000000000001E-2</v>
      </c>
      <c r="AY526" s="197">
        <f t="shared" si="376"/>
        <v>2.8867476000000005E-3</v>
      </c>
      <c r="AZ526" s="197">
        <f t="shared" si="377"/>
        <v>0</v>
      </c>
      <c r="BA526" s="197">
        <f t="shared" si="411"/>
        <v>7.2596940000000013E-2</v>
      </c>
      <c r="BB526" s="258">
        <f t="shared" si="378"/>
        <v>0.36575210336206115</v>
      </c>
      <c r="BC526" s="197">
        <f t="shared" si="379"/>
        <v>2.2380490766334034E-2</v>
      </c>
      <c r="BD526" s="197">
        <f t="shared" si="412"/>
        <v>4.4760981532668068E-3</v>
      </c>
      <c r="BE526" s="197">
        <f t="shared" si="413"/>
        <v>2.6856588919600841E-2</v>
      </c>
      <c r="BF526" s="197">
        <f t="shared" si="380"/>
        <v>0.20773291256157633</v>
      </c>
      <c r="BG526" s="197">
        <f t="shared" si="381"/>
        <v>5.4608303342508187E-4</v>
      </c>
      <c r="BH526" s="197">
        <f t="shared" si="382"/>
        <v>3.5336687086656722E-2</v>
      </c>
      <c r="BI526" s="197">
        <f t="shared" si="414"/>
        <v>0.44730899017824427</v>
      </c>
      <c r="BJ526" s="197">
        <f t="shared" si="383"/>
        <v>6.769615024661003</v>
      </c>
      <c r="BK526" s="288">
        <f t="shared" si="384"/>
        <v>0.93392401361838984</v>
      </c>
      <c r="BL526" s="197">
        <f t="shared" si="385"/>
        <v>0.37608972359227794</v>
      </c>
      <c r="BM526" s="197">
        <f t="shared" si="386"/>
        <v>7.4353030976985271E-2</v>
      </c>
      <c r="BN526" s="197">
        <f t="shared" si="387"/>
        <v>54.461181858619113</v>
      </c>
      <c r="BO526" s="197">
        <f t="shared" si="415"/>
        <v>0.2082789955950014</v>
      </c>
      <c r="BP526" s="197">
        <f t="shared" si="388"/>
        <v>65.620924669625111</v>
      </c>
      <c r="BQ526" s="197">
        <f t="shared" si="389"/>
        <v>9.9596940000000009E-2</v>
      </c>
      <c r="BR526" s="288">
        <f t="shared" si="390"/>
        <v>0.16008975919012108</v>
      </c>
      <c r="BS526" s="197">
        <f t="shared" si="391"/>
        <v>0.11660930017110901</v>
      </c>
      <c r="BT526" s="197">
        <f t="shared" si="392"/>
        <v>0.36419974881911377</v>
      </c>
      <c r="BU526" s="197">
        <f t="shared" si="393"/>
        <v>0.1713930788771201</v>
      </c>
      <c r="BV526" s="197">
        <f t="shared" si="394"/>
        <v>0.53530306917875781</v>
      </c>
      <c r="BW526" s="194"/>
      <c r="BX526" s="194"/>
      <c r="BY526" s="194"/>
      <c r="BZ526" s="194"/>
      <c r="CA526" s="194"/>
      <c r="CB526" s="194"/>
      <c r="CC526" s="194"/>
      <c r="CD526" s="194"/>
      <c r="CE526" s="194"/>
      <c r="CF526" s="194"/>
      <c r="CG526" s="194"/>
      <c r="CH526" s="194"/>
      <c r="CI526" s="194"/>
      <c r="CJ526" s="194"/>
      <c r="CK526" s="194"/>
      <c r="CL526" s="194"/>
      <c r="CM526" s="194"/>
      <c r="CN526" s="194"/>
      <c r="CO526" s="194"/>
      <c r="CP526" s="194"/>
      <c r="CQ526" s="194"/>
      <c r="CR526" s="194"/>
      <c r="CS526" s="194"/>
      <c r="CT526" s="194"/>
      <c r="CU526" s="194"/>
      <c r="CV526" s="194"/>
      <c r="CW526" s="194"/>
      <c r="CX526" s="194"/>
      <c r="CY526" s="194"/>
      <c r="CZ526" s="194"/>
      <c r="DA526" s="194"/>
      <c r="DB526" s="194"/>
      <c r="DC526" s="194"/>
      <c r="DD526" s="194"/>
      <c r="DE526" s="194"/>
      <c r="DF526" s="194"/>
    </row>
    <row r="527" spans="2:110" s="192" customFormat="1" hidden="1" x14ac:dyDescent="0.35">
      <c r="B527" s="289"/>
      <c r="C527" s="289"/>
      <c r="Q527" s="193"/>
      <c r="R527" s="194">
        <f t="shared" si="395"/>
        <v>18</v>
      </c>
      <c r="S527" s="197">
        <f t="shared" si="361"/>
        <v>0.3888888888888889</v>
      </c>
      <c r="T527" s="194">
        <f t="shared" si="416"/>
        <v>0.69</v>
      </c>
      <c r="U527" s="194">
        <f t="shared" si="417"/>
        <v>1.4999999999999999E-4</v>
      </c>
      <c r="V527" s="197">
        <f t="shared" si="396"/>
        <v>0.3888888888888889</v>
      </c>
      <c r="W527" s="197">
        <f t="shared" si="362"/>
        <v>4.3555555555555561E-3</v>
      </c>
      <c r="X527" s="286">
        <f t="shared" si="363"/>
        <v>1</v>
      </c>
      <c r="Y527" s="286">
        <f t="shared" si="364"/>
        <v>0.17335969315081967</v>
      </c>
      <c r="Z527" s="286">
        <f t="shared" si="365"/>
        <v>0.54964853345132902</v>
      </c>
      <c r="AA527" s="286">
        <f t="shared" si="397"/>
        <v>0.17335969315081967</v>
      </c>
      <c r="AB527" s="197">
        <f t="shared" si="366"/>
        <v>0.36419974881911377</v>
      </c>
      <c r="AC527" s="287">
        <f t="shared" si="367"/>
        <v>4.4451203372005044E-7</v>
      </c>
      <c r="AD527" s="197">
        <f t="shared" si="398"/>
        <v>11.693936048110356</v>
      </c>
      <c r="AE527" s="197">
        <f t="shared" si="399"/>
        <v>35.08180814433107</v>
      </c>
      <c r="AF527" s="197">
        <f t="shared" si="400"/>
        <v>8.5178571428571423E-2</v>
      </c>
      <c r="AG527" s="197">
        <f t="shared" si="401"/>
        <v>0.25553571428571431</v>
      </c>
      <c r="AH527" s="197">
        <f t="shared" si="368"/>
        <v>0.11660930017110901</v>
      </c>
      <c r="AI527" s="197">
        <f t="shared" si="402"/>
        <v>0.11660930017110901</v>
      </c>
      <c r="AJ527" s="218">
        <f t="shared" si="369"/>
        <v>390.00000000000006</v>
      </c>
      <c r="AK527" s="197">
        <f t="shared" si="403"/>
        <v>6.0930617977437734E-2</v>
      </c>
      <c r="AL527" s="197">
        <f t="shared" si="404"/>
        <v>9.6203707235237593E-2</v>
      </c>
      <c r="AM527" s="197">
        <f t="shared" si="405"/>
        <v>4.0790371867740751E-3</v>
      </c>
      <c r="AN527" s="197">
        <f t="shared" si="370"/>
        <v>24.05</v>
      </c>
      <c r="AO527" s="197">
        <f t="shared" si="371"/>
        <v>21.69</v>
      </c>
      <c r="AP527" s="197">
        <f t="shared" si="406"/>
        <v>7.4093290390420161E-2</v>
      </c>
      <c r="AQ527" s="197">
        <f t="shared" si="407"/>
        <v>0.42250439890466829</v>
      </c>
      <c r="AR527" s="197">
        <f t="shared" si="408"/>
        <v>0.30589509873355925</v>
      </c>
      <c r="AS527" s="258">
        <f t="shared" si="409"/>
        <v>0.15228632177729159</v>
      </c>
      <c r="AT527" s="197">
        <f t="shared" si="372"/>
        <v>2.5974058656511614E-4</v>
      </c>
      <c r="AU527" s="194">
        <f t="shared" si="373"/>
        <v>21.19</v>
      </c>
      <c r="AV527" s="197">
        <f t="shared" si="374"/>
        <v>2.7E-2</v>
      </c>
      <c r="AW527" s="197">
        <f t="shared" si="375"/>
        <v>3.4260000000000002E-3</v>
      </c>
      <c r="AX527" s="197">
        <f t="shared" si="410"/>
        <v>6.1668000000000001E-2</v>
      </c>
      <c r="AY527" s="197">
        <f t="shared" si="376"/>
        <v>2.8867476000000005E-3</v>
      </c>
      <c r="AZ527" s="197">
        <f t="shared" si="377"/>
        <v>0</v>
      </c>
      <c r="BA527" s="197">
        <f t="shared" si="411"/>
        <v>7.2596940000000013E-2</v>
      </c>
      <c r="BB527" s="258">
        <f t="shared" si="378"/>
        <v>0.36575210336206115</v>
      </c>
      <c r="BC527" s="197">
        <f t="shared" si="379"/>
        <v>2.2380490766334034E-2</v>
      </c>
      <c r="BD527" s="197">
        <f t="shared" si="412"/>
        <v>4.4760981532668068E-3</v>
      </c>
      <c r="BE527" s="197">
        <f t="shared" si="413"/>
        <v>2.6856588919600841E-2</v>
      </c>
      <c r="BF527" s="197">
        <f t="shared" si="380"/>
        <v>0.20773291256157633</v>
      </c>
      <c r="BG527" s="197">
        <f t="shared" si="381"/>
        <v>5.4608303342508187E-4</v>
      </c>
      <c r="BH527" s="197">
        <f t="shared" si="382"/>
        <v>3.5336687086656722E-2</v>
      </c>
      <c r="BI527" s="197">
        <f t="shared" si="414"/>
        <v>0.44730899017824427</v>
      </c>
      <c r="BJ527" s="197">
        <f t="shared" si="383"/>
        <v>6.769615024661003</v>
      </c>
      <c r="BK527" s="288">
        <f t="shared" si="384"/>
        <v>0.93392401361838984</v>
      </c>
      <c r="BL527" s="197">
        <f t="shared" si="385"/>
        <v>0.37608972359227794</v>
      </c>
      <c r="BM527" s="197">
        <f t="shared" si="386"/>
        <v>7.4353030976985271E-2</v>
      </c>
      <c r="BN527" s="197">
        <f t="shared" si="387"/>
        <v>54.461181858619113</v>
      </c>
      <c r="BO527" s="197">
        <f t="shared" si="415"/>
        <v>0.2082789955950014</v>
      </c>
      <c r="BP527" s="197">
        <f t="shared" si="388"/>
        <v>65.620924669625111</v>
      </c>
      <c r="BQ527" s="197">
        <f t="shared" si="389"/>
        <v>9.9596940000000009E-2</v>
      </c>
      <c r="BR527" s="288">
        <f t="shared" si="390"/>
        <v>0.16008975919012108</v>
      </c>
      <c r="BS527" s="197">
        <f t="shared" si="391"/>
        <v>0.11660930017110901</v>
      </c>
      <c r="BT527" s="197">
        <f t="shared" si="392"/>
        <v>0.36419974881911377</v>
      </c>
      <c r="BU527" s="197">
        <f t="shared" si="393"/>
        <v>0.1713930788771201</v>
      </c>
      <c r="BV527" s="197">
        <f t="shared" si="394"/>
        <v>0.53530306917875781</v>
      </c>
      <c r="BW527" s="194"/>
      <c r="BX527" s="194"/>
      <c r="BY527" s="194"/>
      <c r="BZ527" s="194"/>
      <c r="CA527" s="194"/>
      <c r="CB527" s="194"/>
      <c r="CC527" s="194"/>
      <c r="CD527" s="194"/>
      <c r="CE527" s="194"/>
      <c r="CF527" s="194"/>
      <c r="CG527" s="194"/>
      <c r="CH527" s="194"/>
      <c r="CI527" s="194"/>
      <c r="CJ527" s="194"/>
      <c r="CK527" s="194"/>
      <c r="CL527" s="194"/>
      <c r="CM527" s="194"/>
      <c r="CN527" s="194"/>
      <c r="CO527" s="194"/>
      <c r="CP527" s="194"/>
      <c r="CQ527" s="194"/>
      <c r="CR527" s="194"/>
      <c r="CS527" s="194"/>
      <c r="CT527" s="194"/>
      <c r="CU527" s="194"/>
      <c r="CV527" s="194"/>
      <c r="CW527" s="194"/>
      <c r="CX527" s="194"/>
      <c r="CY527" s="194"/>
      <c r="CZ527" s="194"/>
      <c r="DA527" s="194"/>
      <c r="DB527" s="194"/>
      <c r="DC527" s="194"/>
      <c r="DD527" s="194"/>
      <c r="DE527" s="194"/>
      <c r="DF527" s="194"/>
    </row>
    <row r="528" spans="2:110" s="192" customFormat="1" hidden="1" x14ac:dyDescent="0.35">
      <c r="B528" s="289"/>
      <c r="C528" s="289"/>
      <c r="Q528" s="193"/>
      <c r="R528" s="194">
        <f t="shared" si="395"/>
        <v>18</v>
      </c>
      <c r="S528" s="197">
        <f t="shared" si="361"/>
        <v>0.3888888888888889</v>
      </c>
      <c r="T528" s="194">
        <f t="shared" si="416"/>
        <v>0.69</v>
      </c>
      <c r="U528" s="194">
        <f t="shared" si="417"/>
        <v>1.4999999999999999E-4</v>
      </c>
      <c r="V528" s="197">
        <f t="shared" si="396"/>
        <v>0.3888888888888889</v>
      </c>
      <c r="W528" s="197">
        <f t="shared" si="362"/>
        <v>4.3555555555555561E-3</v>
      </c>
      <c r="X528" s="286">
        <f t="shared" si="363"/>
        <v>1</v>
      </c>
      <c r="Y528" s="286">
        <f t="shared" si="364"/>
        <v>0.17335969315081967</v>
      </c>
      <c r="Z528" s="286">
        <f t="shared" si="365"/>
        <v>0.54964853345132902</v>
      </c>
      <c r="AA528" s="286">
        <f t="shared" si="397"/>
        <v>0.17335969315081967</v>
      </c>
      <c r="AB528" s="197">
        <f t="shared" si="366"/>
        <v>0.36419974881911377</v>
      </c>
      <c r="AC528" s="287">
        <f t="shared" si="367"/>
        <v>4.4451203372005044E-7</v>
      </c>
      <c r="AD528" s="197">
        <f t="shared" si="398"/>
        <v>11.693936048110356</v>
      </c>
      <c r="AE528" s="197">
        <f t="shared" si="399"/>
        <v>35.08180814433107</v>
      </c>
      <c r="AF528" s="197">
        <f t="shared" si="400"/>
        <v>8.5178571428571423E-2</v>
      </c>
      <c r="AG528" s="197">
        <f t="shared" si="401"/>
        <v>0.25553571428571431</v>
      </c>
      <c r="AH528" s="197">
        <f t="shared" si="368"/>
        <v>0.11660930017110901</v>
      </c>
      <c r="AI528" s="197">
        <f t="shared" si="402"/>
        <v>0.11660930017110901</v>
      </c>
      <c r="AJ528" s="218">
        <f t="shared" si="369"/>
        <v>390.00000000000006</v>
      </c>
      <c r="AK528" s="197">
        <f t="shared" si="403"/>
        <v>6.0930617977437734E-2</v>
      </c>
      <c r="AL528" s="197">
        <f t="shared" si="404"/>
        <v>9.6203707235237593E-2</v>
      </c>
      <c r="AM528" s="197">
        <f t="shared" si="405"/>
        <v>4.0790371867740751E-3</v>
      </c>
      <c r="AN528" s="197">
        <f t="shared" si="370"/>
        <v>24.05</v>
      </c>
      <c r="AO528" s="197">
        <f t="shared" si="371"/>
        <v>21.69</v>
      </c>
      <c r="AP528" s="197">
        <f t="shared" si="406"/>
        <v>7.4093290390420161E-2</v>
      </c>
      <c r="AQ528" s="197">
        <f t="shared" si="407"/>
        <v>0.42250439890466829</v>
      </c>
      <c r="AR528" s="197">
        <f t="shared" si="408"/>
        <v>0.30589509873355925</v>
      </c>
      <c r="AS528" s="258">
        <f t="shared" si="409"/>
        <v>0.15228632177729159</v>
      </c>
      <c r="AT528" s="197">
        <f t="shared" si="372"/>
        <v>2.5974058656511614E-4</v>
      </c>
      <c r="AU528" s="194">
        <f t="shared" si="373"/>
        <v>21.19</v>
      </c>
      <c r="AV528" s="197">
        <f t="shared" si="374"/>
        <v>2.7E-2</v>
      </c>
      <c r="AW528" s="197">
        <f t="shared" si="375"/>
        <v>3.4260000000000002E-3</v>
      </c>
      <c r="AX528" s="197">
        <f t="shared" si="410"/>
        <v>6.1668000000000001E-2</v>
      </c>
      <c r="AY528" s="197">
        <f t="shared" si="376"/>
        <v>2.8867476000000005E-3</v>
      </c>
      <c r="AZ528" s="197">
        <f t="shared" si="377"/>
        <v>0</v>
      </c>
      <c r="BA528" s="197">
        <f t="shared" si="411"/>
        <v>7.2596940000000013E-2</v>
      </c>
      <c r="BB528" s="258">
        <f t="shared" si="378"/>
        <v>0.36575210336206115</v>
      </c>
      <c r="BC528" s="197">
        <f t="shared" si="379"/>
        <v>2.2380490766334034E-2</v>
      </c>
      <c r="BD528" s="197">
        <f t="shared" si="412"/>
        <v>4.4760981532668068E-3</v>
      </c>
      <c r="BE528" s="197">
        <f t="shared" si="413"/>
        <v>2.6856588919600841E-2</v>
      </c>
      <c r="BF528" s="197">
        <f t="shared" si="380"/>
        <v>0.20773291256157633</v>
      </c>
      <c r="BG528" s="197">
        <f t="shared" si="381"/>
        <v>5.4608303342508187E-4</v>
      </c>
      <c r="BH528" s="197">
        <f t="shared" si="382"/>
        <v>3.5336687086656722E-2</v>
      </c>
      <c r="BI528" s="197">
        <f t="shared" si="414"/>
        <v>0.44730899017824427</v>
      </c>
      <c r="BJ528" s="197">
        <f t="shared" si="383"/>
        <v>6.769615024661003</v>
      </c>
      <c r="BK528" s="288">
        <f t="shared" si="384"/>
        <v>0.93392401361838984</v>
      </c>
      <c r="BL528" s="197">
        <f t="shared" si="385"/>
        <v>0.37608972359227794</v>
      </c>
      <c r="BM528" s="197">
        <f t="shared" si="386"/>
        <v>7.4353030976985271E-2</v>
      </c>
      <c r="BN528" s="197">
        <f t="shared" si="387"/>
        <v>54.461181858619113</v>
      </c>
      <c r="BO528" s="197">
        <f t="shared" si="415"/>
        <v>0.2082789955950014</v>
      </c>
      <c r="BP528" s="197">
        <f t="shared" si="388"/>
        <v>65.620924669625111</v>
      </c>
      <c r="BQ528" s="197">
        <f t="shared" si="389"/>
        <v>9.9596940000000009E-2</v>
      </c>
      <c r="BR528" s="288">
        <f t="shared" si="390"/>
        <v>0.16008975919012108</v>
      </c>
      <c r="BS528" s="197">
        <f t="shared" si="391"/>
        <v>0.11660930017110901</v>
      </c>
      <c r="BT528" s="197">
        <f t="shared" si="392"/>
        <v>0.36419974881911377</v>
      </c>
      <c r="BU528" s="197">
        <f t="shared" si="393"/>
        <v>0.1713930788771201</v>
      </c>
      <c r="BV528" s="197">
        <f t="shared" si="394"/>
        <v>0.53530306917875781</v>
      </c>
      <c r="BW528" s="194"/>
      <c r="BX528" s="194"/>
      <c r="BY528" s="194"/>
      <c r="BZ528" s="194"/>
      <c r="CA528" s="194"/>
      <c r="CB528" s="194"/>
      <c r="CC528" s="194"/>
      <c r="CD528" s="194"/>
      <c r="CE528" s="194"/>
      <c r="CF528" s="194"/>
      <c r="CG528" s="194"/>
      <c r="CH528" s="194"/>
      <c r="CI528" s="194"/>
      <c r="CJ528" s="194"/>
      <c r="CK528" s="194"/>
      <c r="CL528" s="194"/>
      <c r="CM528" s="194"/>
      <c r="CN528" s="194"/>
      <c r="CO528" s="194"/>
      <c r="CP528" s="194"/>
      <c r="CQ528" s="194"/>
      <c r="CR528" s="194"/>
      <c r="CS528" s="194"/>
      <c r="CT528" s="194"/>
      <c r="CU528" s="194"/>
      <c r="CV528" s="194"/>
      <c r="CW528" s="194"/>
      <c r="CX528" s="194"/>
      <c r="CY528" s="194"/>
      <c r="CZ528" s="194"/>
      <c r="DA528" s="194"/>
      <c r="DB528" s="194"/>
      <c r="DC528" s="194"/>
      <c r="DD528" s="194"/>
      <c r="DE528" s="194"/>
      <c r="DF528" s="194"/>
    </row>
    <row r="529" spans="2:110" s="192" customFormat="1" hidden="1" x14ac:dyDescent="0.35">
      <c r="B529" s="289"/>
      <c r="C529" s="289"/>
      <c r="Q529" s="193"/>
      <c r="R529" s="194">
        <f t="shared" si="395"/>
        <v>18</v>
      </c>
      <c r="S529" s="197">
        <f t="shared" si="361"/>
        <v>0.3888888888888889</v>
      </c>
      <c r="T529" s="194">
        <f t="shared" si="416"/>
        <v>0.69</v>
      </c>
      <c r="U529" s="194">
        <f t="shared" si="417"/>
        <v>1.4999999999999999E-4</v>
      </c>
      <c r="V529" s="197">
        <f t="shared" si="396"/>
        <v>0.3888888888888889</v>
      </c>
      <c r="W529" s="197">
        <f t="shared" si="362"/>
        <v>4.3555555555555561E-3</v>
      </c>
      <c r="X529" s="286">
        <f t="shared" si="363"/>
        <v>1</v>
      </c>
      <c r="Y529" s="286">
        <f t="shared" si="364"/>
        <v>0.17335969315081967</v>
      </c>
      <c r="Z529" s="286">
        <f t="shared" si="365"/>
        <v>0.54964853345132902</v>
      </c>
      <c r="AA529" s="286">
        <f t="shared" si="397"/>
        <v>0.17335969315081967</v>
      </c>
      <c r="AB529" s="197">
        <f t="shared" si="366"/>
        <v>0.36419974881911377</v>
      </c>
      <c r="AC529" s="287">
        <f t="shared" si="367"/>
        <v>4.4451203372005044E-7</v>
      </c>
      <c r="AD529" s="197">
        <f t="shared" si="398"/>
        <v>11.693936048110356</v>
      </c>
      <c r="AE529" s="197">
        <f t="shared" si="399"/>
        <v>35.08180814433107</v>
      </c>
      <c r="AF529" s="197">
        <f t="shared" si="400"/>
        <v>8.5178571428571423E-2</v>
      </c>
      <c r="AG529" s="197">
        <f t="shared" si="401"/>
        <v>0.25553571428571431</v>
      </c>
      <c r="AH529" s="197">
        <f t="shared" si="368"/>
        <v>0.11660930017110901</v>
      </c>
      <c r="AI529" s="197">
        <f t="shared" si="402"/>
        <v>0.11660930017110901</v>
      </c>
      <c r="AJ529" s="218">
        <f t="shared" si="369"/>
        <v>390.00000000000006</v>
      </c>
      <c r="AK529" s="197">
        <f t="shared" si="403"/>
        <v>6.0930617977437734E-2</v>
      </c>
      <c r="AL529" s="197">
        <f t="shared" si="404"/>
        <v>9.6203707235237593E-2</v>
      </c>
      <c r="AM529" s="197">
        <f t="shared" si="405"/>
        <v>4.0790371867740751E-3</v>
      </c>
      <c r="AN529" s="197">
        <f t="shared" si="370"/>
        <v>24.05</v>
      </c>
      <c r="AO529" s="197">
        <f t="shared" si="371"/>
        <v>21.69</v>
      </c>
      <c r="AP529" s="197">
        <f t="shared" si="406"/>
        <v>7.4093290390420161E-2</v>
      </c>
      <c r="AQ529" s="197">
        <f t="shared" si="407"/>
        <v>0.42250439890466829</v>
      </c>
      <c r="AR529" s="197">
        <f t="shared" si="408"/>
        <v>0.30589509873355925</v>
      </c>
      <c r="AS529" s="258">
        <f t="shared" si="409"/>
        <v>0.15228632177729159</v>
      </c>
      <c r="AT529" s="197">
        <f t="shared" si="372"/>
        <v>2.5974058656511614E-4</v>
      </c>
      <c r="AU529" s="194">
        <f t="shared" si="373"/>
        <v>21.19</v>
      </c>
      <c r="AV529" s="197">
        <f t="shared" si="374"/>
        <v>2.7E-2</v>
      </c>
      <c r="AW529" s="197">
        <f t="shared" si="375"/>
        <v>3.4260000000000002E-3</v>
      </c>
      <c r="AX529" s="197">
        <f t="shared" si="410"/>
        <v>6.1668000000000001E-2</v>
      </c>
      <c r="AY529" s="197">
        <f t="shared" si="376"/>
        <v>2.8867476000000005E-3</v>
      </c>
      <c r="AZ529" s="197">
        <f t="shared" si="377"/>
        <v>0</v>
      </c>
      <c r="BA529" s="197">
        <f t="shared" si="411"/>
        <v>7.2596940000000013E-2</v>
      </c>
      <c r="BB529" s="258">
        <f t="shared" si="378"/>
        <v>0.36575210336206115</v>
      </c>
      <c r="BC529" s="197">
        <f t="shared" si="379"/>
        <v>2.2380490766334034E-2</v>
      </c>
      <c r="BD529" s="197">
        <f t="shared" si="412"/>
        <v>4.4760981532668068E-3</v>
      </c>
      <c r="BE529" s="197">
        <f t="shared" si="413"/>
        <v>2.6856588919600841E-2</v>
      </c>
      <c r="BF529" s="197">
        <f t="shared" si="380"/>
        <v>0.20773291256157633</v>
      </c>
      <c r="BG529" s="197">
        <f t="shared" si="381"/>
        <v>5.4608303342508187E-4</v>
      </c>
      <c r="BH529" s="197">
        <f t="shared" si="382"/>
        <v>3.5336687086656722E-2</v>
      </c>
      <c r="BI529" s="197">
        <f t="shared" si="414"/>
        <v>0.44730899017824427</v>
      </c>
      <c r="BJ529" s="197">
        <f t="shared" si="383"/>
        <v>6.769615024661003</v>
      </c>
      <c r="BK529" s="288">
        <f t="shared" si="384"/>
        <v>0.93392401361838984</v>
      </c>
      <c r="BL529" s="197">
        <f t="shared" si="385"/>
        <v>0.37608972359227794</v>
      </c>
      <c r="BM529" s="197">
        <f t="shared" si="386"/>
        <v>7.4353030976985271E-2</v>
      </c>
      <c r="BN529" s="197">
        <f t="shared" si="387"/>
        <v>54.461181858619113</v>
      </c>
      <c r="BO529" s="197">
        <f t="shared" si="415"/>
        <v>0.2082789955950014</v>
      </c>
      <c r="BP529" s="197">
        <f t="shared" si="388"/>
        <v>65.620924669625111</v>
      </c>
      <c r="BQ529" s="197">
        <f t="shared" si="389"/>
        <v>9.9596940000000009E-2</v>
      </c>
      <c r="BR529" s="288">
        <f t="shared" si="390"/>
        <v>0.16008975919012108</v>
      </c>
      <c r="BS529" s="197">
        <f t="shared" si="391"/>
        <v>0.11660930017110901</v>
      </c>
      <c r="BT529" s="197">
        <f t="shared" si="392"/>
        <v>0.36419974881911377</v>
      </c>
      <c r="BU529" s="197">
        <f t="shared" si="393"/>
        <v>0.1713930788771201</v>
      </c>
      <c r="BV529" s="197">
        <f t="shared" si="394"/>
        <v>0.53530306917875781</v>
      </c>
      <c r="BW529" s="194"/>
      <c r="BX529" s="194"/>
      <c r="BY529" s="194"/>
      <c r="BZ529" s="194"/>
      <c r="CA529" s="194"/>
      <c r="CB529" s="194"/>
      <c r="CC529" s="194"/>
      <c r="CD529" s="194"/>
      <c r="CE529" s="194"/>
      <c r="CF529" s="194"/>
      <c r="CG529" s="194"/>
      <c r="CH529" s="194"/>
      <c r="CI529" s="194"/>
      <c r="CJ529" s="194"/>
      <c r="CK529" s="194"/>
      <c r="CL529" s="194"/>
      <c r="CM529" s="194"/>
      <c r="CN529" s="194"/>
      <c r="CO529" s="194"/>
      <c r="CP529" s="194"/>
      <c r="CQ529" s="194"/>
      <c r="CR529" s="194"/>
      <c r="CS529" s="194"/>
      <c r="CT529" s="194"/>
      <c r="CU529" s="194"/>
      <c r="CV529" s="194"/>
      <c r="CW529" s="194"/>
      <c r="CX529" s="194"/>
      <c r="CY529" s="194"/>
      <c r="CZ529" s="194"/>
      <c r="DA529" s="194"/>
      <c r="DB529" s="194"/>
      <c r="DC529" s="194"/>
      <c r="DD529" s="194"/>
      <c r="DE529" s="194"/>
      <c r="DF529" s="194"/>
    </row>
    <row r="530" spans="2:110" s="192" customFormat="1" hidden="1" x14ac:dyDescent="0.35">
      <c r="B530" s="289"/>
      <c r="C530" s="289"/>
      <c r="Q530" s="193"/>
      <c r="R530" s="194">
        <f t="shared" si="395"/>
        <v>18</v>
      </c>
      <c r="S530" s="197">
        <f t="shared" si="361"/>
        <v>0.3888888888888889</v>
      </c>
      <c r="T530" s="194">
        <f t="shared" si="416"/>
        <v>0.69</v>
      </c>
      <c r="U530" s="194">
        <f t="shared" si="417"/>
        <v>1.4999999999999999E-4</v>
      </c>
      <c r="V530" s="197">
        <f t="shared" si="396"/>
        <v>0.3888888888888889</v>
      </c>
      <c r="W530" s="197">
        <f t="shared" si="362"/>
        <v>4.3555555555555561E-3</v>
      </c>
      <c r="X530" s="286">
        <f t="shared" si="363"/>
        <v>1</v>
      </c>
      <c r="Y530" s="286">
        <f t="shared" si="364"/>
        <v>0.17335969315081967</v>
      </c>
      <c r="Z530" s="286">
        <f t="shared" si="365"/>
        <v>0.54964853345132902</v>
      </c>
      <c r="AA530" s="286">
        <f t="shared" si="397"/>
        <v>0.17335969315081967</v>
      </c>
      <c r="AB530" s="197">
        <f t="shared" si="366"/>
        <v>0.36419974881911377</v>
      </c>
      <c r="AC530" s="287">
        <f t="shared" si="367"/>
        <v>4.4451203372005044E-7</v>
      </c>
      <c r="AD530" s="197">
        <f t="shared" si="398"/>
        <v>11.693936048110356</v>
      </c>
      <c r="AE530" s="197">
        <f t="shared" si="399"/>
        <v>35.08180814433107</v>
      </c>
      <c r="AF530" s="197">
        <f t="shared" si="400"/>
        <v>8.5178571428571423E-2</v>
      </c>
      <c r="AG530" s="197">
        <f t="shared" si="401"/>
        <v>0.25553571428571431</v>
      </c>
      <c r="AH530" s="197">
        <f t="shared" si="368"/>
        <v>0.11660930017110901</v>
      </c>
      <c r="AI530" s="197">
        <f t="shared" si="402"/>
        <v>0.11660930017110901</v>
      </c>
      <c r="AJ530" s="218">
        <f t="shared" si="369"/>
        <v>390.00000000000006</v>
      </c>
      <c r="AK530" s="197">
        <f t="shared" si="403"/>
        <v>6.0930617977437734E-2</v>
      </c>
      <c r="AL530" s="197">
        <f t="shared" si="404"/>
        <v>9.6203707235237593E-2</v>
      </c>
      <c r="AM530" s="197">
        <f t="shared" si="405"/>
        <v>4.0790371867740751E-3</v>
      </c>
      <c r="AN530" s="197">
        <f t="shared" si="370"/>
        <v>24.05</v>
      </c>
      <c r="AO530" s="197">
        <f t="shared" si="371"/>
        <v>21.69</v>
      </c>
      <c r="AP530" s="197">
        <f t="shared" si="406"/>
        <v>7.4093290390420161E-2</v>
      </c>
      <c r="AQ530" s="197">
        <f t="shared" si="407"/>
        <v>0.42250439890466829</v>
      </c>
      <c r="AR530" s="197">
        <f t="shared" si="408"/>
        <v>0.30589509873355925</v>
      </c>
      <c r="AS530" s="258">
        <f t="shared" si="409"/>
        <v>0.15228632177729159</v>
      </c>
      <c r="AT530" s="197">
        <f t="shared" si="372"/>
        <v>2.5974058656511614E-4</v>
      </c>
      <c r="AU530" s="194">
        <f t="shared" si="373"/>
        <v>21.19</v>
      </c>
      <c r="AV530" s="197">
        <f t="shared" si="374"/>
        <v>2.7E-2</v>
      </c>
      <c r="AW530" s="197">
        <f t="shared" si="375"/>
        <v>3.4260000000000002E-3</v>
      </c>
      <c r="AX530" s="197">
        <f t="shared" si="410"/>
        <v>6.1668000000000001E-2</v>
      </c>
      <c r="AY530" s="197">
        <f t="shared" si="376"/>
        <v>2.8867476000000005E-3</v>
      </c>
      <c r="AZ530" s="197">
        <f t="shared" si="377"/>
        <v>0</v>
      </c>
      <c r="BA530" s="197">
        <f t="shared" si="411"/>
        <v>7.2596940000000013E-2</v>
      </c>
      <c r="BB530" s="258">
        <f t="shared" si="378"/>
        <v>0.36575210336206115</v>
      </c>
      <c r="BC530" s="197">
        <f t="shared" si="379"/>
        <v>2.2380490766334034E-2</v>
      </c>
      <c r="BD530" s="197">
        <f t="shared" si="412"/>
        <v>4.4760981532668068E-3</v>
      </c>
      <c r="BE530" s="197">
        <f t="shared" si="413"/>
        <v>2.6856588919600841E-2</v>
      </c>
      <c r="BF530" s="197">
        <f t="shared" si="380"/>
        <v>0.20773291256157633</v>
      </c>
      <c r="BG530" s="197">
        <f t="shared" si="381"/>
        <v>5.4608303342508187E-4</v>
      </c>
      <c r="BH530" s="197">
        <f t="shared" si="382"/>
        <v>3.5336687086656722E-2</v>
      </c>
      <c r="BI530" s="197">
        <f t="shared" si="414"/>
        <v>0.44730899017824427</v>
      </c>
      <c r="BJ530" s="197">
        <f t="shared" si="383"/>
        <v>6.769615024661003</v>
      </c>
      <c r="BK530" s="288">
        <f t="shared" si="384"/>
        <v>0.93392401361838984</v>
      </c>
      <c r="BL530" s="197">
        <f t="shared" si="385"/>
        <v>0.37608972359227794</v>
      </c>
      <c r="BM530" s="197">
        <f t="shared" si="386"/>
        <v>7.4353030976985271E-2</v>
      </c>
      <c r="BN530" s="197">
        <f t="shared" si="387"/>
        <v>54.461181858619113</v>
      </c>
      <c r="BO530" s="197">
        <f t="shared" si="415"/>
        <v>0.2082789955950014</v>
      </c>
      <c r="BP530" s="197">
        <f t="shared" si="388"/>
        <v>65.620924669625111</v>
      </c>
      <c r="BQ530" s="197">
        <f t="shared" si="389"/>
        <v>9.9596940000000009E-2</v>
      </c>
      <c r="BR530" s="288">
        <f t="shared" si="390"/>
        <v>0.16008975919012108</v>
      </c>
      <c r="BS530" s="197">
        <f t="shared" si="391"/>
        <v>0.11660930017110901</v>
      </c>
      <c r="BT530" s="197">
        <f t="shared" si="392"/>
        <v>0.36419974881911377</v>
      </c>
      <c r="BU530" s="197">
        <f t="shared" si="393"/>
        <v>0.1713930788771201</v>
      </c>
      <c r="BV530" s="197">
        <f t="shared" si="394"/>
        <v>0.53530306917875781</v>
      </c>
      <c r="BW530" s="194"/>
      <c r="BX530" s="194"/>
      <c r="BY530" s="194"/>
      <c r="BZ530" s="194"/>
      <c r="CA530" s="194"/>
      <c r="CB530" s="194"/>
      <c r="CC530" s="194"/>
      <c r="CD530" s="194"/>
      <c r="CE530" s="194"/>
      <c r="CF530" s="194"/>
      <c r="CG530" s="194"/>
      <c r="CH530" s="194"/>
      <c r="CI530" s="194"/>
      <c r="CJ530" s="194"/>
      <c r="CK530" s="194"/>
      <c r="CL530" s="194"/>
      <c r="CM530" s="194"/>
      <c r="CN530" s="194"/>
      <c r="CO530" s="194"/>
      <c r="CP530" s="194"/>
      <c r="CQ530" s="194"/>
      <c r="CR530" s="194"/>
      <c r="CS530" s="194"/>
      <c r="CT530" s="194"/>
      <c r="CU530" s="194"/>
      <c r="CV530" s="194"/>
      <c r="CW530" s="194"/>
      <c r="CX530" s="194"/>
      <c r="CY530" s="194"/>
      <c r="CZ530" s="194"/>
      <c r="DA530" s="194"/>
      <c r="DB530" s="194"/>
      <c r="DC530" s="194"/>
      <c r="DD530" s="194"/>
      <c r="DE530" s="194"/>
      <c r="DF530" s="194"/>
    </row>
    <row r="531" spans="2:110" s="192" customFormat="1" hidden="1" x14ac:dyDescent="0.35">
      <c r="B531" s="289"/>
      <c r="C531" s="289"/>
      <c r="Q531" s="193"/>
      <c r="R531" s="194">
        <f t="shared" si="395"/>
        <v>18</v>
      </c>
      <c r="S531" s="197">
        <f t="shared" si="361"/>
        <v>0.3888888888888889</v>
      </c>
      <c r="T531" s="194">
        <f t="shared" si="416"/>
        <v>0.69</v>
      </c>
      <c r="U531" s="194">
        <f t="shared" si="417"/>
        <v>1.4999999999999999E-4</v>
      </c>
      <c r="V531" s="197">
        <f t="shared" si="396"/>
        <v>0.3888888888888889</v>
      </c>
      <c r="W531" s="197">
        <f t="shared" si="362"/>
        <v>4.3555555555555561E-3</v>
      </c>
      <c r="X531" s="286">
        <f t="shared" si="363"/>
        <v>1</v>
      </c>
      <c r="Y531" s="286">
        <f t="shared" si="364"/>
        <v>0.17335969315081967</v>
      </c>
      <c r="Z531" s="286">
        <f t="shared" si="365"/>
        <v>0.54964853345132902</v>
      </c>
      <c r="AA531" s="286">
        <f t="shared" si="397"/>
        <v>0.17335969315081967</v>
      </c>
      <c r="AB531" s="197">
        <f t="shared" si="366"/>
        <v>0.36419974881911377</v>
      </c>
      <c r="AC531" s="287">
        <f t="shared" si="367"/>
        <v>4.4451203372005044E-7</v>
      </c>
      <c r="AD531" s="197">
        <f t="shared" si="398"/>
        <v>11.693936048110356</v>
      </c>
      <c r="AE531" s="197">
        <f t="shared" si="399"/>
        <v>35.08180814433107</v>
      </c>
      <c r="AF531" s="197">
        <f t="shared" si="400"/>
        <v>8.5178571428571423E-2</v>
      </c>
      <c r="AG531" s="197">
        <f t="shared" si="401"/>
        <v>0.25553571428571431</v>
      </c>
      <c r="AH531" s="197">
        <f t="shared" si="368"/>
        <v>0.11660930017110901</v>
      </c>
      <c r="AI531" s="197">
        <f t="shared" si="402"/>
        <v>0.11660930017110901</v>
      </c>
      <c r="AJ531" s="218">
        <f t="shared" si="369"/>
        <v>390.00000000000006</v>
      </c>
      <c r="AK531" s="197">
        <f t="shared" si="403"/>
        <v>6.0930617977437734E-2</v>
      </c>
      <c r="AL531" s="197">
        <f t="shared" si="404"/>
        <v>9.6203707235237593E-2</v>
      </c>
      <c r="AM531" s="197">
        <f t="shared" si="405"/>
        <v>4.0790371867740751E-3</v>
      </c>
      <c r="AN531" s="197">
        <f t="shared" si="370"/>
        <v>24.05</v>
      </c>
      <c r="AO531" s="197">
        <f t="shared" si="371"/>
        <v>21.69</v>
      </c>
      <c r="AP531" s="197">
        <f t="shared" si="406"/>
        <v>7.4093290390420161E-2</v>
      </c>
      <c r="AQ531" s="197">
        <f t="shared" si="407"/>
        <v>0.42250439890466829</v>
      </c>
      <c r="AR531" s="197">
        <f t="shared" si="408"/>
        <v>0.30589509873355925</v>
      </c>
      <c r="AS531" s="258">
        <f t="shared" si="409"/>
        <v>0.15228632177729159</v>
      </c>
      <c r="AT531" s="197">
        <f t="shared" si="372"/>
        <v>2.5974058656511614E-4</v>
      </c>
      <c r="AU531" s="194">
        <f t="shared" si="373"/>
        <v>21.19</v>
      </c>
      <c r="AV531" s="197">
        <f t="shared" si="374"/>
        <v>2.7E-2</v>
      </c>
      <c r="AW531" s="197">
        <f t="shared" si="375"/>
        <v>3.4260000000000002E-3</v>
      </c>
      <c r="AX531" s="197">
        <f t="shared" si="410"/>
        <v>6.1668000000000001E-2</v>
      </c>
      <c r="AY531" s="197">
        <f t="shared" si="376"/>
        <v>2.8867476000000005E-3</v>
      </c>
      <c r="AZ531" s="197">
        <f t="shared" si="377"/>
        <v>0</v>
      </c>
      <c r="BA531" s="197">
        <f t="shared" si="411"/>
        <v>7.2596940000000013E-2</v>
      </c>
      <c r="BB531" s="258">
        <f t="shared" si="378"/>
        <v>0.36575210336206115</v>
      </c>
      <c r="BC531" s="197">
        <f t="shared" si="379"/>
        <v>2.2380490766334034E-2</v>
      </c>
      <c r="BD531" s="197">
        <f t="shared" si="412"/>
        <v>4.4760981532668068E-3</v>
      </c>
      <c r="BE531" s="197">
        <f t="shared" si="413"/>
        <v>2.6856588919600841E-2</v>
      </c>
      <c r="BF531" s="197">
        <f t="shared" si="380"/>
        <v>0.20773291256157633</v>
      </c>
      <c r="BG531" s="197">
        <f t="shared" si="381"/>
        <v>5.4608303342508187E-4</v>
      </c>
      <c r="BH531" s="197">
        <f t="shared" si="382"/>
        <v>3.5336687086656722E-2</v>
      </c>
      <c r="BI531" s="197">
        <f t="shared" si="414"/>
        <v>0.44730899017824427</v>
      </c>
      <c r="BJ531" s="197">
        <f t="shared" si="383"/>
        <v>6.769615024661003</v>
      </c>
      <c r="BK531" s="288">
        <f t="shared" si="384"/>
        <v>0.93392401361838984</v>
      </c>
      <c r="BL531" s="197">
        <f t="shared" si="385"/>
        <v>0.37608972359227794</v>
      </c>
      <c r="BM531" s="197">
        <f t="shared" si="386"/>
        <v>7.4353030976985271E-2</v>
      </c>
      <c r="BN531" s="197">
        <f t="shared" si="387"/>
        <v>54.461181858619113</v>
      </c>
      <c r="BO531" s="197">
        <f t="shared" si="415"/>
        <v>0.2082789955950014</v>
      </c>
      <c r="BP531" s="197">
        <f t="shared" si="388"/>
        <v>65.620924669625111</v>
      </c>
      <c r="BQ531" s="197">
        <f t="shared" si="389"/>
        <v>9.9596940000000009E-2</v>
      </c>
      <c r="BR531" s="288">
        <f t="shared" si="390"/>
        <v>0.16008975919012108</v>
      </c>
      <c r="BS531" s="197">
        <f t="shared" si="391"/>
        <v>0.11660930017110901</v>
      </c>
      <c r="BT531" s="197">
        <f t="shared" si="392"/>
        <v>0.36419974881911377</v>
      </c>
      <c r="BU531" s="197">
        <f t="shared" si="393"/>
        <v>0.1713930788771201</v>
      </c>
      <c r="BV531" s="197">
        <f t="shared" si="394"/>
        <v>0.53530306917875781</v>
      </c>
      <c r="BW531" s="194"/>
      <c r="BX531" s="194"/>
      <c r="BY531" s="194"/>
      <c r="BZ531" s="194"/>
      <c r="CA531" s="194"/>
      <c r="CB531" s="194"/>
      <c r="CC531" s="194"/>
      <c r="CD531" s="194"/>
      <c r="CE531" s="194"/>
      <c r="CF531" s="194"/>
      <c r="CG531" s="194"/>
      <c r="CH531" s="194"/>
      <c r="CI531" s="194"/>
      <c r="CJ531" s="194"/>
      <c r="CK531" s="194"/>
      <c r="CL531" s="194"/>
      <c r="CM531" s="194"/>
      <c r="CN531" s="194"/>
      <c r="CO531" s="194"/>
      <c r="CP531" s="194"/>
      <c r="CQ531" s="194"/>
      <c r="CR531" s="194"/>
      <c r="CS531" s="194"/>
      <c r="CT531" s="194"/>
      <c r="CU531" s="194"/>
      <c r="CV531" s="194"/>
      <c r="CW531" s="194"/>
      <c r="CX531" s="194"/>
      <c r="CY531" s="194"/>
      <c r="CZ531" s="194"/>
      <c r="DA531" s="194"/>
      <c r="DB531" s="194"/>
      <c r="DC531" s="194"/>
      <c r="DD531" s="194"/>
      <c r="DE531" s="194"/>
      <c r="DF531" s="194"/>
    </row>
    <row r="532" spans="2:110" s="192" customFormat="1" hidden="1" x14ac:dyDescent="0.35">
      <c r="B532" s="289"/>
      <c r="C532" s="289"/>
      <c r="Q532" s="193"/>
      <c r="R532" s="194">
        <f t="shared" si="395"/>
        <v>18</v>
      </c>
      <c r="S532" s="197">
        <f t="shared" si="361"/>
        <v>0.3888888888888889</v>
      </c>
      <c r="T532" s="194">
        <f t="shared" si="416"/>
        <v>0.69</v>
      </c>
      <c r="U532" s="194">
        <f t="shared" si="417"/>
        <v>1.4999999999999999E-4</v>
      </c>
      <c r="V532" s="197">
        <f t="shared" si="396"/>
        <v>0.3888888888888889</v>
      </c>
      <c r="W532" s="197">
        <f t="shared" si="362"/>
        <v>4.3555555555555561E-3</v>
      </c>
      <c r="X532" s="286">
        <f t="shared" si="363"/>
        <v>1</v>
      </c>
      <c r="Y532" s="286">
        <f t="shared" si="364"/>
        <v>0.17335969315081967</v>
      </c>
      <c r="Z532" s="286">
        <f t="shared" si="365"/>
        <v>0.54964853345132902</v>
      </c>
      <c r="AA532" s="286">
        <f t="shared" si="397"/>
        <v>0.17335969315081967</v>
      </c>
      <c r="AB532" s="197">
        <f t="shared" si="366"/>
        <v>0.36419974881911377</v>
      </c>
      <c r="AC532" s="287">
        <f t="shared" si="367"/>
        <v>4.4451203372005044E-7</v>
      </c>
      <c r="AD532" s="197">
        <f t="shared" si="398"/>
        <v>11.693936048110356</v>
      </c>
      <c r="AE532" s="197">
        <f t="shared" si="399"/>
        <v>35.08180814433107</v>
      </c>
      <c r="AF532" s="197">
        <f t="shared" si="400"/>
        <v>8.5178571428571423E-2</v>
      </c>
      <c r="AG532" s="197">
        <f t="shared" si="401"/>
        <v>0.25553571428571431</v>
      </c>
      <c r="AH532" s="197">
        <f t="shared" si="368"/>
        <v>0.11660930017110901</v>
      </c>
      <c r="AI532" s="197">
        <f t="shared" si="402"/>
        <v>0.11660930017110901</v>
      </c>
      <c r="AJ532" s="218">
        <f t="shared" si="369"/>
        <v>390.00000000000006</v>
      </c>
      <c r="AK532" s="197">
        <f t="shared" si="403"/>
        <v>6.0930617977437734E-2</v>
      </c>
      <c r="AL532" s="197">
        <f t="shared" si="404"/>
        <v>9.6203707235237593E-2</v>
      </c>
      <c r="AM532" s="197">
        <f t="shared" si="405"/>
        <v>4.0790371867740751E-3</v>
      </c>
      <c r="AN532" s="197">
        <f t="shared" si="370"/>
        <v>24.05</v>
      </c>
      <c r="AO532" s="197">
        <f t="shared" si="371"/>
        <v>21.69</v>
      </c>
      <c r="AP532" s="197">
        <f t="shared" si="406"/>
        <v>7.4093290390420161E-2</v>
      </c>
      <c r="AQ532" s="197">
        <f t="shared" si="407"/>
        <v>0.42250439890466829</v>
      </c>
      <c r="AR532" s="197">
        <f t="shared" si="408"/>
        <v>0.30589509873355925</v>
      </c>
      <c r="AS532" s="258">
        <f t="shared" si="409"/>
        <v>0.15228632177729159</v>
      </c>
      <c r="AT532" s="197">
        <f t="shared" si="372"/>
        <v>2.5974058656511614E-4</v>
      </c>
      <c r="AU532" s="194">
        <f t="shared" si="373"/>
        <v>21.19</v>
      </c>
      <c r="AV532" s="197">
        <f t="shared" si="374"/>
        <v>2.7E-2</v>
      </c>
      <c r="AW532" s="197">
        <f t="shared" si="375"/>
        <v>3.4260000000000002E-3</v>
      </c>
      <c r="AX532" s="197">
        <f t="shared" si="410"/>
        <v>6.1668000000000001E-2</v>
      </c>
      <c r="AY532" s="197">
        <f t="shared" si="376"/>
        <v>2.8867476000000005E-3</v>
      </c>
      <c r="AZ532" s="197">
        <f t="shared" si="377"/>
        <v>0</v>
      </c>
      <c r="BA532" s="197">
        <f t="shared" si="411"/>
        <v>7.2596940000000013E-2</v>
      </c>
      <c r="BB532" s="258">
        <f t="shared" si="378"/>
        <v>0.36575210336206115</v>
      </c>
      <c r="BC532" s="197">
        <f t="shared" si="379"/>
        <v>2.2380490766334034E-2</v>
      </c>
      <c r="BD532" s="197">
        <f t="shared" si="412"/>
        <v>4.4760981532668068E-3</v>
      </c>
      <c r="BE532" s="197">
        <f t="shared" si="413"/>
        <v>2.6856588919600841E-2</v>
      </c>
      <c r="BF532" s="197">
        <f t="shared" si="380"/>
        <v>0.20773291256157633</v>
      </c>
      <c r="BG532" s="197">
        <f t="shared" si="381"/>
        <v>5.4608303342508187E-4</v>
      </c>
      <c r="BH532" s="197">
        <f t="shared" si="382"/>
        <v>3.5336687086656722E-2</v>
      </c>
      <c r="BI532" s="197">
        <f t="shared" si="414"/>
        <v>0.44730899017824427</v>
      </c>
      <c r="BJ532" s="197">
        <f t="shared" si="383"/>
        <v>6.769615024661003</v>
      </c>
      <c r="BK532" s="288">
        <f t="shared" si="384"/>
        <v>0.93392401361838984</v>
      </c>
      <c r="BL532" s="197">
        <f t="shared" si="385"/>
        <v>0.37608972359227794</v>
      </c>
      <c r="BM532" s="197">
        <f t="shared" si="386"/>
        <v>7.4353030976985271E-2</v>
      </c>
      <c r="BN532" s="197">
        <f t="shared" si="387"/>
        <v>54.461181858619113</v>
      </c>
      <c r="BO532" s="197">
        <f t="shared" si="415"/>
        <v>0.2082789955950014</v>
      </c>
      <c r="BP532" s="197">
        <f t="shared" si="388"/>
        <v>65.620924669625111</v>
      </c>
      <c r="BQ532" s="197">
        <f t="shared" si="389"/>
        <v>9.9596940000000009E-2</v>
      </c>
      <c r="BR532" s="288">
        <f t="shared" si="390"/>
        <v>0.16008975919012108</v>
      </c>
      <c r="BS532" s="197">
        <f t="shared" si="391"/>
        <v>0.11660930017110901</v>
      </c>
      <c r="BT532" s="197">
        <f t="shared" si="392"/>
        <v>0.36419974881911377</v>
      </c>
      <c r="BU532" s="197">
        <f t="shared" si="393"/>
        <v>0.1713930788771201</v>
      </c>
      <c r="BV532" s="197">
        <f t="shared" si="394"/>
        <v>0.53530306917875781</v>
      </c>
      <c r="BW532" s="194"/>
      <c r="BX532" s="194"/>
      <c r="BY532" s="194"/>
      <c r="BZ532" s="194"/>
      <c r="CA532" s="194"/>
      <c r="CB532" s="194"/>
      <c r="CC532" s="194"/>
      <c r="CD532" s="194"/>
      <c r="CE532" s="194"/>
      <c r="CF532" s="194"/>
      <c r="CG532" s="194"/>
      <c r="CH532" s="194"/>
      <c r="CI532" s="194"/>
      <c r="CJ532" s="194"/>
      <c r="CK532" s="194"/>
      <c r="CL532" s="194"/>
      <c r="CM532" s="194"/>
      <c r="CN532" s="194"/>
      <c r="CO532" s="194"/>
      <c r="CP532" s="194"/>
      <c r="CQ532" s="194"/>
      <c r="CR532" s="194"/>
      <c r="CS532" s="194"/>
      <c r="CT532" s="194"/>
      <c r="CU532" s="194"/>
      <c r="CV532" s="194"/>
      <c r="CW532" s="194"/>
      <c r="CX532" s="194"/>
      <c r="CY532" s="194"/>
      <c r="CZ532" s="194"/>
      <c r="DA532" s="194"/>
      <c r="DB532" s="194"/>
      <c r="DC532" s="194"/>
      <c r="DD532" s="194"/>
      <c r="DE532" s="194"/>
      <c r="DF532" s="194"/>
    </row>
    <row r="533" spans="2:110" s="192" customFormat="1" hidden="1" x14ac:dyDescent="0.35">
      <c r="B533" s="289"/>
      <c r="C533" s="289"/>
      <c r="Q533" s="193"/>
      <c r="R533" s="194">
        <f t="shared" si="395"/>
        <v>18</v>
      </c>
      <c r="S533" s="197">
        <f t="shared" si="361"/>
        <v>0.3888888888888889</v>
      </c>
      <c r="T533" s="194">
        <f t="shared" si="416"/>
        <v>0.69</v>
      </c>
      <c r="U533" s="194">
        <f t="shared" si="417"/>
        <v>1.4999999999999999E-4</v>
      </c>
      <c r="V533" s="197">
        <f t="shared" si="396"/>
        <v>0.3888888888888889</v>
      </c>
      <c r="W533" s="197">
        <f t="shared" si="362"/>
        <v>4.3555555555555561E-3</v>
      </c>
      <c r="X533" s="286">
        <f t="shared" si="363"/>
        <v>1</v>
      </c>
      <c r="Y533" s="286">
        <f t="shared" si="364"/>
        <v>0.17335969315081967</v>
      </c>
      <c r="Z533" s="286">
        <f t="shared" si="365"/>
        <v>0.54964853345132902</v>
      </c>
      <c r="AA533" s="286">
        <f t="shared" si="397"/>
        <v>0.17335969315081967</v>
      </c>
      <c r="AB533" s="197">
        <f t="shared" si="366"/>
        <v>0.36419974881911377</v>
      </c>
      <c r="AC533" s="287">
        <f t="shared" si="367"/>
        <v>4.4451203372005044E-7</v>
      </c>
      <c r="AD533" s="197">
        <f t="shared" si="398"/>
        <v>11.693936048110356</v>
      </c>
      <c r="AE533" s="197">
        <f t="shared" si="399"/>
        <v>35.08180814433107</v>
      </c>
      <c r="AF533" s="197">
        <f t="shared" si="400"/>
        <v>8.5178571428571423E-2</v>
      </c>
      <c r="AG533" s="197">
        <f t="shared" si="401"/>
        <v>0.25553571428571431</v>
      </c>
      <c r="AH533" s="197">
        <f t="shared" si="368"/>
        <v>0.11660930017110901</v>
      </c>
      <c r="AI533" s="197">
        <f t="shared" si="402"/>
        <v>0.11660930017110901</v>
      </c>
      <c r="AJ533" s="218">
        <f t="shared" si="369"/>
        <v>390.00000000000006</v>
      </c>
      <c r="AK533" s="197">
        <f t="shared" si="403"/>
        <v>6.0930617977437734E-2</v>
      </c>
      <c r="AL533" s="197">
        <f t="shared" si="404"/>
        <v>9.6203707235237593E-2</v>
      </c>
      <c r="AM533" s="197">
        <f t="shared" si="405"/>
        <v>4.0790371867740751E-3</v>
      </c>
      <c r="AN533" s="197">
        <f t="shared" si="370"/>
        <v>24.05</v>
      </c>
      <c r="AO533" s="197">
        <f t="shared" si="371"/>
        <v>21.69</v>
      </c>
      <c r="AP533" s="197">
        <f t="shared" si="406"/>
        <v>7.4093290390420161E-2</v>
      </c>
      <c r="AQ533" s="197">
        <f t="shared" si="407"/>
        <v>0.42250439890466829</v>
      </c>
      <c r="AR533" s="197">
        <f t="shared" si="408"/>
        <v>0.30589509873355925</v>
      </c>
      <c r="AS533" s="258">
        <f t="shared" si="409"/>
        <v>0.15228632177729159</v>
      </c>
      <c r="AT533" s="197">
        <f t="shared" si="372"/>
        <v>2.5974058656511614E-4</v>
      </c>
      <c r="AU533" s="194">
        <f t="shared" si="373"/>
        <v>21.19</v>
      </c>
      <c r="AV533" s="197">
        <f t="shared" si="374"/>
        <v>2.7E-2</v>
      </c>
      <c r="AW533" s="197">
        <f t="shared" si="375"/>
        <v>3.4260000000000002E-3</v>
      </c>
      <c r="AX533" s="197">
        <f t="shared" si="410"/>
        <v>6.1668000000000001E-2</v>
      </c>
      <c r="AY533" s="197">
        <f t="shared" si="376"/>
        <v>2.8867476000000005E-3</v>
      </c>
      <c r="AZ533" s="197">
        <f t="shared" si="377"/>
        <v>0</v>
      </c>
      <c r="BA533" s="197">
        <f t="shared" si="411"/>
        <v>7.2596940000000013E-2</v>
      </c>
      <c r="BB533" s="258">
        <f t="shared" si="378"/>
        <v>0.36575210336206115</v>
      </c>
      <c r="BC533" s="197">
        <f t="shared" si="379"/>
        <v>2.2380490766334034E-2</v>
      </c>
      <c r="BD533" s="197">
        <f t="shared" si="412"/>
        <v>4.4760981532668068E-3</v>
      </c>
      <c r="BE533" s="197">
        <f t="shared" si="413"/>
        <v>2.6856588919600841E-2</v>
      </c>
      <c r="BF533" s="197">
        <f t="shared" si="380"/>
        <v>0.20773291256157633</v>
      </c>
      <c r="BG533" s="197">
        <f t="shared" si="381"/>
        <v>5.4608303342508187E-4</v>
      </c>
      <c r="BH533" s="197">
        <f t="shared" si="382"/>
        <v>3.5336687086656722E-2</v>
      </c>
      <c r="BI533" s="197">
        <f t="shared" si="414"/>
        <v>0.44730899017824427</v>
      </c>
      <c r="BJ533" s="197">
        <f t="shared" si="383"/>
        <v>6.769615024661003</v>
      </c>
      <c r="BK533" s="288">
        <f t="shared" si="384"/>
        <v>0.93392401361838984</v>
      </c>
      <c r="BL533" s="197">
        <f t="shared" si="385"/>
        <v>0.37608972359227794</v>
      </c>
      <c r="BM533" s="197">
        <f t="shared" si="386"/>
        <v>7.4353030976985271E-2</v>
      </c>
      <c r="BN533" s="197">
        <f t="shared" si="387"/>
        <v>54.461181858619113</v>
      </c>
      <c r="BO533" s="197">
        <f t="shared" si="415"/>
        <v>0.2082789955950014</v>
      </c>
      <c r="BP533" s="197">
        <f t="shared" si="388"/>
        <v>65.620924669625111</v>
      </c>
      <c r="BQ533" s="197">
        <f t="shared" si="389"/>
        <v>9.9596940000000009E-2</v>
      </c>
      <c r="BR533" s="288">
        <f t="shared" si="390"/>
        <v>0.16008975919012108</v>
      </c>
      <c r="BS533" s="197">
        <f t="shared" si="391"/>
        <v>0.11660930017110901</v>
      </c>
      <c r="BT533" s="197">
        <f t="shared" si="392"/>
        <v>0.36419974881911377</v>
      </c>
      <c r="BU533" s="197">
        <f t="shared" si="393"/>
        <v>0.1713930788771201</v>
      </c>
      <c r="BV533" s="197">
        <f t="shared" si="394"/>
        <v>0.53530306917875781</v>
      </c>
      <c r="BW533" s="194"/>
      <c r="BX533" s="194"/>
      <c r="BY533" s="194"/>
      <c r="BZ533" s="194"/>
      <c r="CA533" s="194"/>
      <c r="CB533" s="194"/>
      <c r="CC533" s="194"/>
      <c r="CD533" s="194"/>
      <c r="CE533" s="194"/>
      <c r="CF533" s="194"/>
      <c r="CG533" s="194"/>
      <c r="CH533" s="194"/>
      <c r="CI533" s="194"/>
      <c r="CJ533" s="194"/>
      <c r="CK533" s="194"/>
      <c r="CL533" s="194"/>
      <c r="CM533" s="194"/>
      <c r="CN533" s="194"/>
      <c r="CO533" s="194"/>
      <c r="CP533" s="194"/>
      <c r="CQ533" s="194"/>
      <c r="CR533" s="194"/>
      <c r="CS533" s="194"/>
      <c r="CT533" s="194"/>
      <c r="CU533" s="194"/>
      <c r="CV533" s="194"/>
      <c r="CW533" s="194"/>
      <c r="CX533" s="194"/>
      <c r="CY533" s="194"/>
      <c r="CZ533" s="194"/>
      <c r="DA533" s="194"/>
      <c r="DB533" s="194"/>
      <c r="DC533" s="194"/>
      <c r="DD533" s="194"/>
      <c r="DE533" s="194"/>
      <c r="DF533" s="194"/>
    </row>
    <row r="534" spans="2:110" s="192" customFormat="1" hidden="1" x14ac:dyDescent="0.35">
      <c r="B534" s="289"/>
      <c r="C534" s="289"/>
      <c r="Q534" s="193"/>
      <c r="R534" s="194">
        <f t="shared" si="395"/>
        <v>18</v>
      </c>
      <c r="S534" s="197">
        <f t="shared" si="361"/>
        <v>0.3888888888888889</v>
      </c>
      <c r="T534" s="194">
        <f t="shared" si="416"/>
        <v>0.69</v>
      </c>
      <c r="U534" s="194">
        <f t="shared" si="417"/>
        <v>1.4999999999999999E-4</v>
      </c>
      <c r="V534" s="197">
        <f t="shared" si="396"/>
        <v>0.3888888888888889</v>
      </c>
      <c r="W534" s="197">
        <f t="shared" si="362"/>
        <v>4.3555555555555561E-3</v>
      </c>
      <c r="X534" s="286">
        <f t="shared" si="363"/>
        <v>1</v>
      </c>
      <c r="Y534" s="286">
        <f t="shared" si="364"/>
        <v>0.17335969315081967</v>
      </c>
      <c r="Z534" s="286">
        <f t="shared" si="365"/>
        <v>0.54964853345132902</v>
      </c>
      <c r="AA534" s="286">
        <f t="shared" si="397"/>
        <v>0.17335969315081967</v>
      </c>
      <c r="AB534" s="197">
        <f t="shared" si="366"/>
        <v>0.36419974881911377</v>
      </c>
      <c r="AC534" s="287">
        <f t="shared" si="367"/>
        <v>4.4451203372005044E-7</v>
      </c>
      <c r="AD534" s="197">
        <f t="shared" si="398"/>
        <v>11.693936048110356</v>
      </c>
      <c r="AE534" s="197">
        <f t="shared" si="399"/>
        <v>35.08180814433107</v>
      </c>
      <c r="AF534" s="197">
        <f t="shared" si="400"/>
        <v>8.5178571428571423E-2</v>
      </c>
      <c r="AG534" s="197">
        <f t="shared" si="401"/>
        <v>0.25553571428571431</v>
      </c>
      <c r="AH534" s="197">
        <f t="shared" si="368"/>
        <v>0.11660930017110901</v>
      </c>
      <c r="AI534" s="197">
        <f t="shared" si="402"/>
        <v>0.11660930017110901</v>
      </c>
      <c r="AJ534" s="218">
        <f t="shared" si="369"/>
        <v>390.00000000000006</v>
      </c>
      <c r="AK534" s="197">
        <f t="shared" si="403"/>
        <v>6.0930617977437734E-2</v>
      </c>
      <c r="AL534" s="197">
        <f t="shared" si="404"/>
        <v>9.6203707235237593E-2</v>
      </c>
      <c r="AM534" s="197">
        <f t="shared" si="405"/>
        <v>4.0790371867740751E-3</v>
      </c>
      <c r="AN534" s="197">
        <f t="shared" si="370"/>
        <v>24.05</v>
      </c>
      <c r="AO534" s="197">
        <f t="shared" si="371"/>
        <v>21.69</v>
      </c>
      <c r="AP534" s="197">
        <f t="shared" si="406"/>
        <v>7.4093290390420161E-2</v>
      </c>
      <c r="AQ534" s="197">
        <f t="shared" si="407"/>
        <v>0.42250439890466829</v>
      </c>
      <c r="AR534" s="197">
        <f t="shared" si="408"/>
        <v>0.30589509873355925</v>
      </c>
      <c r="AS534" s="258">
        <f t="shared" si="409"/>
        <v>0.15228632177729159</v>
      </c>
      <c r="AT534" s="197">
        <f t="shared" si="372"/>
        <v>2.5974058656511614E-4</v>
      </c>
      <c r="AU534" s="194">
        <f t="shared" si="373"/>
        <v>21.19</v>
      </c>
      <c r="AV534" s="197">
        <f t="shared" si="374"/>
        <v>2.7E-2</v>
      </c>
      <c r="AW534" s="197">
        <f t="shared" si="375"/>
        <v>3.4260000000000002E-3</v>
      </c>
      <c r="AX534" s="197">
        <f t="shared" si="410"/>
        <v>6.1668000000000001E-2</v>
      </c>
      <c r="AY534" s="197">
        <f t="shared" si="376"/>
        <v>2.8867476000000005E-3</v>
      </c>
      <c r="AZ534" s="197">
        <f t="shared" si="377"/>
        <v>0</v>
      </c>
      <c r="BA534" s="197">
        <f t="shared" si="411"/>
        <v>7.2596940000000013E-2</v>
      </c>
      <c r="BB534" s="258">
        <f t="shared" si="378"/>
        <v>0.36575210336206115</v>
      </c>
      <c r="BC534" s="197">
        <f t="shared" si="379"/>
        <v>2.2380490766334034E-2</v>
      </c>
      <c r="BD534" s="197">
        <f t="shared" si="412"/>
        <v>4.4760981532668068E-3</v>
      </c>
      <c r="BE534" s="197">
        <f t="shared" si="413"/>
        <v>2.6856588919600841E-2</v>
      </c>
      <c r="BF534" s="197">
        <f t="shared" si="380"/>
        <v>0.20773291256157633</v>
      </c>
      <c r="BG534" s="197">
        <f t="shared" si="381"/>
        <v>5.4608303342508187E-4</v>
      </c>
      <c r="BH534" s="197">
        <f t="shared" si="382"/>
        <v>3.5336687086656722E-2</v>
      </c>
      <c r="BI534" s="197">
        <f t="shared" si="414"/>
        <v>0.44730899017824427</v>
      </c>
      <c r="BJ534" s="197">
        <f t="shared" si="383"/>
        <v>6.769615024661003</v>
      </c>
      <c r="BK534" s="288">
        <f t="shared" si="384"/>
        <v>0.93392401361838984</v>
      </c>
      <c r="BL534" s="197">
        <f t="shared" si="385"/>
        <v>0.37608972359227794</v>
      </c>
      <c r="BM534" s="197">
        <f t="shared" si="386"/>
        <v>7.4353030976985271E-2</v>
      </c>
      <c r="BN534" s="197">
        <f t="shared" si="387"/>
        <v>54.461181858619113</v>
      </c>
      <c r="BO534" s="197">
        <f t="shared" si="415"/>
        <v>0.2082789955950014</v>
      </c>
      <c r="BP534" s="197">
        <f t="shared" si="388"/>
        <v>65.620924669625111</v>
      </c>
      <c r="BQ534" s="197">
        <f t="shared" si="389"/>
        <v>9.9596940000000009E-2</v>
      </c>
      <c r="BR534" s="288">
        <f t="shared" si="390"/>
        <v>0.16008975919012108</v>
      </c>
      <c r="BS534" s="197">
        <f t="shared" si="391"/>
        <v>0.11660930017110901</v>
      </c>
      <c r="BT534" s="197">
        <f t="shared" si="392"/>
        <v>0.36419974881911377</v>
      </c>
      <c r="BU534" s="197">
        <f t="shared" si="393"/>
        <v>0.1713930788771201</v>
      </c>
      <c r="BV534" s="197">
        <f t="shared" si="394"/>
        <v>0.53530306917875781</v>
      </c>
      <c r="BW534" s="194"/>
      <c r="BX534" s="194"/>
      <c r="BY534" s="194"/>
      <c r="BZ534" s="194"/>
      <c r="CA534" s="194"/>
      <c r="CB534" s="194"/>
      <c r="CC534" s="194"/>
      <c r="CD534" s="194"/>
      <c r="CE534" s="194"/>
      <c r="CF534" s="194"/>
      <c r="CG534" s="194"/>
      <c r="CH534" s="194"/>
      <c r="CI534" s="194"/>
      <c r="CJ534" s="194"/>
      <c r="CK534" s="194"/>
      <c r="CL534" s="194"/>
      <c r="CM534" s="194"/>
      <c r="CN534" s="194"/>
      <c r="CO534" s="194"/>
      <c r="CP534" s="194"/>
      <c r="CQ534" s="194"/>
      <c r="CR534" s="194"/>
      <c r="CS534" s="194"/>
      <c r="CT534" s="194"/>
      <c r="CU534" s="194"/>
      <c r="CV534" s="194"/>
      <c r="CW534" s="194"/>
      <c r="CX534" s="194"/>
      <c r="CY534" s="194"/>
      <c r="CZ534" s="194"/>
      <c r="DA534" s="194"/>
      <c r="DB534" s="194"/>
      <c r="DC534" s="194"/>
      <c r="DD534" s="194"/>
      <c r="DE534" s="194"/>
      <c r="DF534" s="194"/>
    </row>
    <row r="535" spans="2:110" s="192" customFormat="1" hidden="1" x14ac:dyDescent="0.35">
      <c r="B535" s="289"/>
      <c r="C535" s="289"/>
      <c r="Q535" s="193"/>
      <c r="R535" s="194">
        <f t="shared" si="395"/>
        <v>18</v>
      </c>
      <c r="S535" s="197">
        <f t="shared" si="361"/>
        <v>0.3888888888888889</v>
      </c>
      <c r="T535" s="194">
        <f t="shared" si="416"/>
        <v>0.69</v>
      </c>
      <c r="U535" s="194">
        <f t="shared" si="417"/>
        <v>1.4999999999999999E-4</v>
      </c>
      <c r="V535" s="197">
        <f t="shared" si="396"/>
        <v>0.3888888888888889</v>
      </c>
      <c r="W535" s="197">
        <f t="shared" si="362"/>
        <v>4.3555555555555561E-3</v>
      </c>
      <c r="X535" s="286">
        <f t="shared" si="363"/>
        <v>1</v>
      </c>
      <c r="Y535" s="286">
        <f t="shared" si="364"/>
        <v>0.17335969315081967</v>
      </c>
      <c r="Z535" s="286">
        <f t="shared" si="365"/>
        <v>0.54964853345132902</v>
      </c>
      <c r="AA535" s="286">
        <f t="shared" si="397"/>
        <v>0.17335969315081967</v>
      </c>
      <c r="AB535" s="197">
        <f t="shared" si="366"/>
        <v>0.36419974881911377</v>
      </c>
      <c r="AC535" s="287">
        <f t="shared" si="367"/>
        <v>4.4451203372005044E-7</v>
      </c>
      <c r="AD535" s="197">
        <f t="shared" si="398"/>
        <v>11.693936048110356</v>
      </c>
      <c r="AE535" s="197">
        <f t="shared" si="399"/>
        <v>35.08180814433107</v>
      </c>
      <c r="AF535" s="197">
        <f t="shared" si="400"/>
        <v>8.5178571428571423E-2</v>
      </c>
      <c r="AG535" s="197">
        <f t="shared" si="401"/>
        <v>0.25553571428571431</v>
      </c>
      <c r="AH535" s="197">
        <f t="shared" si="368"/>
        <v>0.11660930017110901</v>
      </c>
      <c r="AI535" s="197">
        <f t="shared" si="402"/>
        <v>0.11660930017110901</v>
      </c>
      <c r="AJ535" s="218">
        <f t="shared" si="369"/>
        <v>390.00000000000006</v>
      </c>
      <c r="AK535" s="197">
        <f t="shared" si="403"/>
        <v>6.0930617977437734E-2</v>
      </c>
      <c r="AL535" s="197">
        <f t="shared" si="404"/>
        <v>9.6203707235237593E-2</v>
      </c>
      <c r="AM535" s="197">
        <f t="shared" si="405"/>
        <v>4.0790371867740751E-3</v>
      </c>
      <c r="AN535" s="197">
        <f t="shared" si="370"/>
        <v>24.05</v>
      </c>
      <c r="AO535" s="197">
        <f t="shared" si="371"/>
        <v>21.69</v>
      </c>
      <c r="AP535" s="197">
        <f t="shared" si="406"/>
        <v>7.4093290390420161E-2</v>
      </c>
      <c r="AQ535" s="197">
        <f t="shared" si="407"/>
        <v>0.42250439890466829</v>
      </c>
      <c r="AR535" s="197">
        <f t="shared" si="408"/>
        <v>0.30589509873355925</v>
      </c>
      <c r="AS535" s="258">
        <f t="shared" si="409"/>
        <v>0.15228632177729159</v>
      </c>
      <c r="AT535" s="197">
        <f t="shared" si="372"/>
        <v>2.5974058656511614E-4</v>
      </c>
      <c r="AU535" s="194">
        <f t="shared" si="373"/>
        <v>21.19</v>
      </c>
      <c r="AV535" s="197">
        <f t="shared" si="374"/>
        <v>2.7E-2</v>
      </c>
      <c r="AW535" s="197">
        <f t="shared" si="375"/>
        <v>3.4260000000000002E-3</v>
      </c>
      <c r="AX535" s="197">
        <f t="shared" si="410"/>
        <v>6.1668000000000001E-2</v>
      </c>
      <c r="AY535" s="197">
        <f t="shared" si="376"/>
        <v>2.8867476000000005E-3</v>
      </c>
      <c r="AZ535" s="197">
        <f t="shared" si="377"/>
        <v>0</v>
      </c>
      <c r="BA535" s="197">
        <f t="shared" si="411"/>
        <v>7.2596940000000013E-2</v>
      </c>
      <c r="BB535" s="258">
        <f t="shared" si="378"/>
        <v>0.36575210336206115</v>
      </c>
      <c r="BC535" s="197">
        <f t="shared" si="379"/>
        <v>2.2380490766334034E-2</v>
      </c>
      <c r="BD535" s="197">
        <f t="shared" si="412"/>
        <v>4.4760981532668068E-3</v>
      </c>
      <c r="BE535" s="197">
        <f t="shared" si="413"/>
        <v>2.6856588919600841E-2</v>
      </c>
      <c r="BF535" s="197">
        <f t="shared" si="380"/>
        <v>0.20773291256157633</v>
      </c>
      <c r="BG535" s="197">
        <f t="shared" si="381"/>
        <v>5.4608303342508187E-4</v>
      </c>
      <c r="BH535" s="197">
        <f t="shared" si="382"/>
        <v>3.5336687086656722E-2</v>
      </c>
      <c r="BI535" s="197">
        <f t="shared" si="414"/>
        <v>0.44730899017824427</v>
      </c>
      <c r="BJ535" s="197">
        <f t="shared" si="383"/>
        <v>6.769615024661003</v>
      </c>
      <c r="BK535" s="288">
        <f t="shared" si="384"/>
        <v>0.93392401361838984</v>
      </c>
      <c r="BL535" s="197">
        <f t="shared" si="385"/>
        <v>0.37608972359227794</v>
      </c>
      <c r="BM535" s="197">
        <f t="shared" si="386"/>
        <v>7.4353030976985271E-2</v>
      </c>
      <c r="BN535" s="197">
        <f t="shared" si="387"/>
        <v>54.461181858619113</v>
      </c>
      <c r="BO535" s="197">
        <f t="shared" si="415"/>
        <v>0.2082789955950014</v>
      </c>
      <c r="BP535" s="197">
        <f t="shared" si="388"/>
        <v>65.620924669625111</v>
      </c>
      <c r="BQ535" s="197">
        <f t="shared" si="389"/>
        <v>9.9596940000000009E-2</v>
      </c>
      <c r="BR535" s="288">
        <f t="shared" si="390"/>
        <v>0.16008975919012108</v>
      </c>
      <c r="BS535" s="197">
        <f t="shared" si="391"/>
        <v>0.11660930017110901</v>
      </c>
      <c r="BT535" s="197">
        <f t="shared" si="392"/>
        <v>0.36419974881911377</v>
      </c>
      <c r="BU535" s="197">
        <f t="shared" si="393"/>
        <v>0.1713930788771201</v>
      </c>
      <c r="BV535" s="197">
        <f t="shared" si="394"/>
        <v>0.53530306917875781</v>
      </c>
      <c r="BW535" s="194"/>
      <c r="BX535" s="194"/>
      <c r="BY535" s="194"/>
      <c r="BZ535" s="194"/>
      <c r="CA535" s="194"/>
      <c r="CB535" s="194"/>
      <c r="CC535" s="194"/>
      <c r="CD535" s="194"/>
      <c r="CE535" s="194"/>
      <c r="CF535" s="194"/>
      <c r="CG535" s="194"/>
      <c r="CH535" s="194"/>
      <c r="CI535" s="194"/>
      <c r="CJ535" s="194"/>
      <c r="CK535" s="194"/>
      <c r="CL535" s="194"/>
      <c r="CM535" s="194"/>
      <c r="CN535" s="194"/>
      <c r="CO535" s="194"/>
      <c r="CP535" s="194"/>
      <c r="CQ535" s="194"/>
      <c r="CR535" s="194"/>
      <c r="CS535" s="194"/>
      <c r="CT535" s="194"/>
      <c r="CU535" s="194"/>
      <c r="CV535" s="194"/>
      <c r="CW535" s="194"/>
      <c r="CX535" s="194"/>
      <c r="CY535" s="194"/>
      <c r="CZ535" s="194"/>
      <c r="DA535" s="194"/>
      <c r="DB535" s="194"/>
      <c r="DC535" s="194"/>
      <c r="DD535" s="194"/>
      <c r="DE535" s="194"/>
      <c r="DF535" s="194"/>
    </row>
    <row r="536" spans="2:110" s="192" customFormat="1" hidden="1" x14ac:dyDescent="0.35">
      <c r="B536" s="289"/>
      <c r="C536" s="289"/>
      <c r="Q536" s="193"/>
      <c r="R536" s="194">
        <f t="shared" si="395"/>
        <v>18</v>
      </c>
      <c r="S536" s="197">
        <f t="shared" si="361"/>
        <v>0.3888888888888889</v>
      </c>
      <c r="T536" s="194">
        <f t="shared" si="416"/>
        <v>0.69</v>
      </c>
      <c r="U536" s="194">
        <f t="shared" si="417"/>
        <v>1.4999999999999999E-4</v>
      </c>
      <c r="V536" s="197">
        <f t="shared" si="396"/>
        <v>0.3888888888888889</v>
      </c>
      <c r="W536" s="197">
        <f t="shared" si="362"/>
        <v>4.3555555555555561E-3</v>
      </c>
      <c r="X536" s="286">
        <f t="shared" si="363"/>
        <v>1</v>
      </c>
      <c r="Y536" s="286">
        <f t="shared" si="364"/>
        <v>0.17335969315081967</v>
      </c>
      <c r="Z536" s="286">
        <f t="shared" si="365"/>
        <v>0.54964853345132902</v>
      </c>
      <c r="AA536" s="286">
        <f t="shared" si="397"/>
        <v>0.17335969315081967</v>
      </c>
      <c r="AB536" s="197">
        <f t="shared" si="366"/>
        <v>0.36419974881911377</v>
      </c>
      <c r="AC536" s="287">
        <f t="shared" si="367"/>
        <v>4.4451203372005044E-7</v>
      </c>
      <c r="AD536" s="197">
        <f t="shared" si="398"/>
        <v>11.693936048110356</v>
      </c>
      <c r="AE536" s="197">
        <f t="shared" si="399"/>
        <v>35.08180814433107</v>
      </c>
      <c r="AF536" s="197">
        <f t="shared" si="400"/>
        <v>8.5178571428571423E-2</v>
      </c>
      <c r="AG536" s="197">
        <f t="shared" si="401"/>
        <v>0.25553571428571431</v>
      </c>
      <c r="AH536" s="197">
        <f t="shared" si="368"/>
        <v>0.11660930017110901</v>
      </c>
      <c r="AI536" s="197">
        <f t="shared" si="402"/>
        <v>0.11660930017110901</v>
      </c>
      <c r="AJ536" s="218">
        <f t="shared" si="369"/>
        <v>390.00000000000006</v>
      </c>
      <c r="AK536" s="197">
        <f t="shared" si="403"/>
        <v>6.0930617977437734E-2</v>
      </c>
      <c r="AL536" s="197">
        <f t="shared" si="404"/>
        <v>9.6203707235237593E-2</v>
      </c>
      <c r="AM536" s="197">
        <f t="shared" si="405"/>
        <v>4.0790371867740751E-3</v>
      </c>
      <c r="AN536" s="197">
        <f t="shared" si="370"/>
        <v>24.05</v>
      </c>
      <c r="AO536" s="197">
        <f t="shared" si="371"/>
        <v>21.69</v>
      </c>
      <c r="AP536" s="197">
        <f t="shared" si="406"/>
        <v>7.4093290390420161E-2</v>
      </c>
      <c r="AQ536" s="197">
        <f t="shared" si="407"/>
        <v>0.42250439890466829</v>
      </c>
      <c r="AR536" s="197">
        <f t="shared" si="408"/>
        <v>0.30589509873355925</v>
      </c>
      <c r="AS536" s="258">
        <f t="shared" si="409"/>
        <v>0.15228632177729159</v>
      </c>
      <c r="AT536" s="197">
        <f t="shared" si="372"/>
        <v>2.5974058656511614E-4</v>
      </c>
      <c r="AU536" s="194">
        <f t="shared" si="373"/>
        <v>21.19</v>
      </c>
      <c r="AV536" s="197">
        <f t="shared" si="374"/>
        <v>2.7E-2</v>
      </c>
      <c r="AW536" s="197">
        <f t="shared" si="375"/>
        <v>3.4260000000000002E-3</v>
      </c>
      <c r="AX536" s="197">
        <f t="shared" si="410"/>
        <v>6.1668000000000001E-2</v>
      </c>
      <c r="AY536" s="197">
        <f t="shared" si="376"/>
        <v>2.8867476000000005E-3</v>
      </c>
      <c r="AZ536" s="197">
        <f t="shared" si="377"/>
        <v>0</v>
      </c>
      <c r="BA536" s="197">
        <f t="shared" si="411"/>
        <v>7.2596940000000013E-2</v>
      </c>
      <c r="BB536" s="258">
        <f t="shared" si="378"/>
        <v>0.36575210336206115</v>
      </c>
      <c r="BC536" s="197">
        <f t="shared" si="379"/>
        <v>2.2380490766334034E-2</v>
      </c>
      <c r="BD536" s="197">
        <f t="shared" si="412"/>
        <v>4.4760981532668068E-3</v>
      </c>
      <c r="BE536" s="197">
        <f t="shared" si="413"/>
        <v>2.6856588919600841E-2</v>
      </c>
      <c r="BF536" s="197">
        <f t="shared" si="380"/>
        <v>0.20773291256157633</v>
      </c>
      <c r="BG536" s="197">
        <f t="shared" si="381"/>
        <v>5.4608303342508187E-4</v>
      </c>
      <c r="BH536" s="197">
        <f t="shared" si="382"/>
        <v>3.5336687086656722E-2</v>
      </c>
      <c r="BI536" s="197">
        <f t="shared" si="414"/>
        <v>0.44730899017824427</v>
      </c>
      <c r="BJ536" s="197">
        <f t="shared" si="383"/>
        <v>6.769615024661003</v>
      </c>
      <c r="BK536" s="288">
        <f t="shared" si="384"/>
        <v>0.93392401361838984</v>
      </c>
      <c r="BL536" s="197">
        <f t="shared" si="385"/>
        <v>0.37608972359227794</v>
      </c>
      <c r="BM536" s="197">
        <f t="shared" si="386"/>
        <v>7.4353030976985271E-2</v>
      </c>
      <c r="BN536" s="197">
        <f t="shared" si="387"/>
        <v>54.461181858619113</v>
      </c>
      <c r="BO536" s="197">
        <f t="shared" si="415"/>
        <v>0.2082789955950014</v>
      </c>
      <c r="BP536" s="197">
        <f t="shared" si="388"/>
        <v>65.620924669625111</v>
      </c>
      <c r="BQ536" s="197">
        <f t="shared" si="389"/>
        <v>9.9596940000000009E-2</v>
      </c>
      <c r="BR536" s="288">
        <f t="shared" si="390"/>
        <v>0.16008975919012108</v>
      </c>
      <c r="BS536" s="197">
        <f t="shared" si="391"/>
        <v>0.11660930017110901</v>
      </c>
      <c r="BT536" s="197">
        <f t="shared" si="392"/>
        <v>0.36419974881911377</v>
      </c>
      <c r="BU536" s="197">
        <f t="shared" si="393"/>
        <v>0.1713930788771201</v>
      </c>
      <c r="BV536" s="197">
        <f t="shared" si="394"/>
        <v>0.53530306917875781</v>
      </c>
      <c r="BW536" s="194"/>
      <c r="BX536" s="194"/>
      <c r="BY536" s="194"/>
      <c r="BZ536" s="194"/>
      <c r="CA536" s="194"/>
      <c r="CB536" s="194"/>
      <c r="CC536" s="194"/>
      <c r="CD536" s="194"/>
      <c r="CE536" s="194"/>
      <c r="CF536" s="194"/>
      <c r="CG536" s="194"/>
      <c r="CH536" s="194"/>
      <c r="CI536" s="194"/>
      <c r="CJ536" s="194"/>
      <c r="CK536" s="194"/>
      <c r="CL536" s="194"/>
      <c r="CM536" s="194"/>
      <c r="CN536" s="194"/>
      <c r="CO536" s="194"/>
      <c r="CP536" s="194"/>
      <c r="CQ536" s="194"/>
      <c r="CR536" s="194"/>
      <c r="CS536" s="194"/>
      <c r="CT536" s="194"/>
      <c r="CU536" s="194"/>
      <c r="CV536" s="194"/>
      <c r="CW536" s="194"/>
      <c r="CX536" s="194"/>
      <c r="CY536" s="194"/>
      <c r="CZ536" s="194"/>
      <c r="DA536" s="194"/>
      <c r="DB536" s="194"/>
      <c r="DC536" s="194"/>
      <c r="DD536" s="194"/>
      <c r="DE536" s="194"/>
      <c r="DF536" s="194"/>
    </row>
    <row r="537" spans="2:110" s="192" customFormat="1" hidden="1" x14ac:dyDescent="0.35">
      <c r="B537" s="289"/>
      <c r="C537" s="289"/>
      <c r="Q537" s="193"/>
      <c r="R537" s="194">
        <f t="shared" si="395"/>
        <v>18</v>
      </c>
      <c r="S537" s="197">
        <f t="shared" si="361"/>
        <v>0.3888888888888889</v>
      </c>
      <c r="T537" s="194">
        <f t="shared" si="416"/>
        <v>0.69</v>
      </c>
      <c r="U537" s="194">
        <f t="shared" si="417"/>
        <v>1.4999999999999999E-4</v>
      </c>
      <c r="V537" s="197">
        <f t="shared" si="396"/>
        <v>0.3888888888888889</v>
      </c>
      <c r="W537" s="197">
        <f t="shared" si="362"/>
        <v>4.3555555555555561E-3</v>
      </c>
      <c r="X537" s="286">
        <f t="shared" si="363"/>
        <v>1</v>
      </c>
      <c r="Y537" s="286">
        <f t="shared" si="364"/>
        <v>0.17335969315081967</v>
      </c>
      <c r="Z537" s="286">
        <f t="shared" si="365"/>
        <v>0.54964853345132902</v>
      </c>
      <c r="AA537" s="286">
        <f t="shared" si="397"/>
        <v>0.17335969315081967</v>
      </c>
      <c r="AB537" s="197">
        <f t="shared" si="366"/>
        <v>0.36419974881911377</v>
      </c>
      <c r="AC537" s="287">
        <f t="shared" si="367"/>
        <v>4.4451203372005044E-7</v>
      </c>
      <c r="AD537" s="197">
        <f t="shared" si="398"/>
        <v>11.693936048110356</v>
      </c>
      <c r="AE537" s="197">
        <f t="shared" si="399"/>
        <v>35.08180814433107</v>
      </c>
      <c r="AF537" s="197">
        <f t="shared" si="400"/>
        <v>8.5178571428571423E-2</v>
      </c>
      <c r="AG537" s="197">
        <f t="shared" si="401"/>
        <v>0.25553571428571431</v>
      </c>
      <c r="AH537" s="197">
        <f t="shared" si="368"/>
        <v>0.11660930017110901</v>
      </c>
      <c r="AI537" s="197">
        <f t="shared" si="402"/>
        <v>0.11660930017110901</v>
      </c>
      <c r="AJ537" s="218">
        <f t="shared" si="369"/>
        <v>390.00000000000006</v>
      </c>
      <c r="AK537" s="197">
        <f t="shared" si="403"/>
        <v>6.0930617977437734E-2</v>
      </c>
      <c r="AL537" s="197">
        <f t="shared" si="404"/>
        <v>9.6203707235237593E-2</v>
      </c>
      <c r="AM537" s="197">
        <f t="shared" si="405"/>
        <v>4.0790371867740751E-3</v>
      </c>
      <c r="AN537" s="197">
        <f t="shared" si="370"/>
        <v>24.05</v>
      </c>
      <c r="AO537" s="197">
        <f t="shared" si="371"/>
        <v>21.69</v>
      </c>
      <c r="AP537" s="197">
        <f t="shared" si="406"/>
        <v>7.4093290390420161E-2</v>
      </c>
      <c r="AQ537" s="197">
        <f t="shared" si="407"/>
        <v>0.42250439890466829</v>
      </c>
      <c r="AR537" s="197">
        <f t="shared" si="408"/>
        <v>0.30589509873355925</v>
      </c>
      <c r="AS537" s="258">
        <f t="shared" si="409"/>
        <v>0.15228632177729159</v>
      </c>
      <c r="AT537" s="197">
        <f t="shared" si="372"/>
        <v>2.5974058656511614E-4</v>
      </c>
      <c r="AU537" s="194">
        <f t="shared" si="373"/>
        <v>21.19</v>
      </c>
      <c r="AV537" s="197">
        <f t="shared" si="374"/>
        <v>2.7E-2</v>
      </c>
      <c r="AW537" s="197">
        <f t="shared" si="375"/>
        <v>3.4260000000000002E-3</v>
      </c>
      <c r="AX537" s="197">
        <f t="shared" si="410"/>
        <v>6.1668000000000001E-2</v>
      </c>
      <c r="AY537" s="197">
        <f t="shared" si="376"/>
        <v>2.8867476000000005E-3</v>
      </c>
      <c r="AZ537" s="197">
        <f t="shared" si="377"/>
        <v>0</v>
      </c>
      <c r="BA537" s="197">
        <f t="shared" si="411"/>
        <v>7.2596940000000013E-2</v>
      </c>
      <c r="BB537" s="258">
        <f t="shared" si="378"/>
        <v>0.36575210336206115</v>
      </c>
      <c r="BC537" s="197">
        <f t="shared" si="379"/>
        <v>2.2380490766334034E-2</v>
      </c>
      <c r="BD537" s="197">
        <f t="shared" si="412"/>
        <v>4.4760981532668068E-3</v>
      </c>
      <c r="BE537" s="197">
        <f t="shared" si="413"/>
        <v>2.6856588919600841E-2</v>
      </c>
      <c r="BF537" s="197">
        <f t="shared" si="380"/>
        <v>0.20773291256157633</v>
      </c>
      <c r="BG537" s="197">
        <f t="shared" si="381"/>
        <v>5.4608303342508187E-4</v>
      </c>
      <c r="BH537" s="197">
        <f t="shared" si="382"/>
        <v>3.5336687086656722E-2</v>
      </c>
      <c r="BI537" s="197">
        <f t="shared" si="414"/>
        <v>0.44730899017824427</v>
      </c>
      <c r="BJ537" s="197">
        <f t="shared" si="383"/>
        <v>6.769615024661003</v>
      </c>
      <c r="BK537" s="288">
        <f t="shared" si="384"/>
        <v>0.93392401361838984</v>
      </c>
      <c r="BL537" s="197">
        <f t="shared" si="385"/>
        <v>0.37608972359227794</v>
      </c>
      <c r="BM537" s="197">
        <f t="shared" si="386"/>
        <v>7.4353030976985271E-2</v>
      </c>
      <c r="BN537" s="197">
        <f t="shared" si="387"/>
        <v>54.461181858619113</v>
      </c>
      <c r="BO537" s="197">
        <f t="shared" si="415"/>
        <v>0.2082789955950014</v>
      </c>
      <c r="BP537" s="197">
        <f t="shared" si="388"/>
        <v>65.620924669625111</v>
      </c>
      <c r="BQ537" s="197">
        <f t="shared" si="389"/>
        <v>9.9596940000000009E-2</v>
      </c>
      <c r="BR537" s="288">
        <f t="shared" si="390"/>
        <v>0.16008975919012108</v>
      </c>
      <c r="BS537" s="197">
        <f t="shared" si="391"/>
        <v>0.11660930017110901</v>
      </c>
      <c r="BT537" s="197">
        <f t="shared" si="392"/>
        <v>0.36419974881911377</v>
      </c>
      <c r="BU537" s="197">
        <f t="shared" si="393"/>
        <v>0.1713930788771201</v>
      </c>
      <c r="BV537" s="197">
        <f t="shared" si="394"/>
        <v>0.53530306917875781</v>
      </c>
      <c r="BW537" s="194"/>
      <c r="BX537" s="194"/>
      <c r="BY537" s="194"/>
      <c r="BZ537" s="194"/>
      <c r="CA537" s="194"/>
      <c r="CB537" s="194"/>
      <c r="CC537" s="194"/>
      <c r="CD537" s="194"/>
      <c r="CE537" s="194"/>
      <c r="CF537" s="194"/>
      <c r="CG537" s="194"/>
      <c r="CH537" s="194"/>
      <c r="CI537" s="194"/>
      <c r="CJ537" s="194"/>
      <c r="CK537" s="194"/>
      <c r="CL537" s="194"/>
      <c r="CM537" s="194"/>
      <c r="CN537" s="194"/>
      <c r="CO537" s="194"/>
      <c r="CP537" s="194"/>
      <c r="CQ537" s="194"/>
      <c r="CR537" s="194"/>
      <c r="CS537" s="194"/>
      <c r="CT537" s="194"/>
      <c r="CU537" s="194"/>
      <c r="CV537" s="194"/>
      <c r="CW537" s="194"/>
      <c r="CX537" s="194"/>
      <c r="CY537" s="194"/>
      <c r="CZ537" s="194"/>
      <c r="DA537" s="194"/>
      <c r="DB537" s="194"/>
      <c r="DC537" s="194"/>
      <c r="DD537" s="194"/>
      <c r="DE537" s="194"/>
      <c r="DF537" s="194"/>
    </row>
    <row r="538" spans="2:110" s="192" customFormat="1" hidden="1" x14ac:dyDescent="0.35">
      <c r="B538" s="289"/>
      <c r="C538" s="289"/>
      <c r="Q538" s="193"/>
      <c r="R538" s="194">
        <f t="shared" si="395"/>
        <v>18</v>
      </c>
      <c r="S538" s="197">
        <f t="shared" si="361"/>
        <v>0.3888888888888889</v>
      </c>
      <c r="T538" s="194">
        <f t="shared" si="416"/>
        <v>0.69</v>
      </c>
      <c r="U538" s="194">
        <f t="shared" si="417"/>
        <v>1.4999999999999999E-4</v>
      </c>
      <c r="V538" s="197">
        <f t="shared" si="396"/>
        <v>0.3888888888888889</v>
      </c>
      <c r="W538" s="197">
        <f t="shared" si="362"/>
        <v>4.3555555555555561E-3</v>
      </c>
      <c r="X538" s="286">
        <f t="shared" si="363"/>
        <v>1</v>
      </c>
      <c r="Y538" s="286">
        <f t="shared" si="364"/>
        <v>0.17335969315081967</v>
      </c>
      <c r="Z538" s="286">
        <f t="shared" si="365"/>
        <v>0.54964853345132902</v>
      </c>
      <c r="AA538" s="286">
        <f t="shared" si="397"/>
        <v>0.17335969315081967</v>
      </c>
      <c r="AB538" s="197">
        <f t="shared" si="366"/>
        <v>0.36419974881911377</v>
      </c>
      <c r="AC538" s="287">
        <f t="shared" si="367"/>
        <v>4.4451203372005044E-7</v>
      </c>
      <c r="AD538" s="197">
        <f t="shared" si="398"/>
        <v>11.693936048110356</v>
      </c>
      <c r="AE538" s="197">
        <f t="shared" si="399"/>
        <v>35.08180814433107</v>
      </c>
      <c r="AF538" s="197">
        <f t="shared" si="400"/>
        <v>8.5178571428571423E-2</v>
      </c>
      <c r="AG538" s="197">
        <f t="shared" si="401"/>
        <v>0.25553571428571431</v>
      </c>
      <c r="AH538" s="197">
        <f t="shared" si="368"/>
        <v>0.11660930017110901</v>
      </c>
      <c r="AI538" s="197">
        <f t="shared" si="402"/>
        <v>0.11660930017110901</v>
      </c>
      <c r="AJ538" s="218">
        <f t="shared" si="369"/>
        <v>390.00000000000006</v>
      </c>
      <c r="AK538" s="197">
        <f t="shared" si="403"/>
        <v>6.0930617977437734E-2</v>
      </c>
      <c r="AL538" s="197">
        <f t="shared" si="404"/>
        <v>9.6203707235237593E-2</v>
      </c>
      <c r="AM538" s="197">
        <f t="shared" si="405"/>
        <v>4.0790371867740751E-3</v>
      </c>
      <c r="AN538" s="197">
        <f t="shared" si="370"/>
        <v>24.05</v>
      </c>
      <c r="AO538" s="197">
        <f t="shared" si="371"/>
        <v>21.69</v>
      </c>
      <c r="AP538" s="197">
        <f t="shared" si="406"/>
        <v>7.4093290390420161E-2</v>
      </c>
      <c r="AQ538" s="197">
        <f t="shared" si="407"/>
        <v>0.42250439890466829</v>
      </c>
      <c r="AR538" s="197">
        <f t="shared" si="408"/>
        <v>0.30589509873355925</v>
      </c>
      <c r="AS538" s="258">
        <f t="shared" si="409"/>
        <v>0.15228632177729159</v>
      </c>
      <c r="AT538" s="197">
        <f t="shared" si="372"/>
        <v>2.5974058656511614E-4</v>
      </c>
      <c r="AU538" s="194">
        <f t="shared" si="373"/>
        <v>21.19</v>
      </c>
      <c r="AV538" s="197">
        <f t="shared" si="374"/>
        <v>2.7E-2</v>
      </c>
      <c r="AW538" s="197">
        <f t="shared" si="375"/>
        <v>3.4260000000000002E-3</v>
      </c>
      <c r="AX538" s="197">
        <f t="shared" si="410"/>
        <v>6.1668000000000001E-2</v>
      </c>
      <c r="AY538" s="197">
        <f t="shared" si="376"/>
        <v>2.8867476000000005E-3</v>
      </c>
      <c r="AZ538" s="197">
        <f t="shared" si="377"/>
        <v>0</v>
      </c>
      <c r="BA538" s="197">
        <f t="shared" si="411"/>
        <v>7.2596940000000013E-2</v>
      </c>
      <c r="BB538" s="258">
        <f t="shared" si="378"/>
        <v>0.36575210336206115</v>
      </c>
      <c r="BC538" s="197">
        <f t="shared" si="379"/>
        <v>2.2380490766334034E-2</v>
      </c>
      <c r="BD538" s="197">
        <f t="shared" si="412"/>
        <v>4.4760981532668068E-3</v>
      </c>
      <c r="BE538" s="197">
        <f t="shared" si="413"/>
        <v>2.6856588919600841E-2</v>
      </c>
      <c r="BF538" s="197">
        <f t="shared" si="380"/>
        <v>0.20773291256157633</v>
      </c>
      <c r="BG538" s="197">
        <f t="shared" si="381"/>
        <v>5.4608303342508187E-4</v>
      </c>
      <c r="BH538" s="197">
        <f t="shared" si="382"/>
        <v>3.5336687086656722E-2</v>
      </c>
      <c r="BI538" s="197">
        <f t="shared" si="414"/>
        <v>0.44730899017824427</v>
      </c>
      <c r="BJ538" s="197">
        <f t="shared" si="383"/>
        <v>6.769615024661003</v>
      </c>
      <c r="BK538" s="288">
        <f t="shared" si="384"/>
        <v>0.93392401361838984</v>
      </c>
      <c r="BL538" s="197">
        <f t="shared" si="385"/>
        <v>0.37608972359227794</v>
      </c>
      <c r="BM538" s="197">
        <f t="shared" si="386"/>
        <v>7.4353030976985271E-2</v>
      </c>
      <c r="BN538" s="197">
        <f t="shared" si="387"/>
        <v>54.461181858619113</v>
      </c>
      <c r="BO538" s="197">
        <f t="shared" si="415"/>
        <v>0.2082789955950014</v>
      </c>
      <c r="BP538" s="197">
        <f t="shared" si="388"/>
        <v>65.620924669625111</v>
      </c>
      <c r="BQ538" s="197">
        <f t="shared" si="389"/>
        <v>9.9596940000000009E-2</v>
      </c>
      <c r="BR538" s="288">
        <f t="shared" si="390"/>
        <v>0.16008975919012108</v>
      </c>
      <c r="BS538" s="197">
        <f t="shared" si="391"/>
        <v>0.11660930017110901</v>
      </c>
      <c r="BT538" s="197">
        <f t="shared" si="392"/>
        <v>0.36419974881911377</v>
      </c>
      <c r="BU538" s="197">
        <f t="shared" si="393"/>
        <v>0.1713930788771201</v>
      </c>
      <c r="BV538" s="197">
        <f t="shared" si="394"/>
        <v>0.53530306917875781</v>
      </c>
      <c r="BW538" s="194"/>
      <c r="BX538" s="194"/>
      <c r="BY538" s="194"/>
      <c r="BZ538" s="194"/>
      <c r="CA538" s="194"/>
      <c r="CB538" s="194"/>
      <c r="CC538" s="194"/>
      <c r="CD538" s="194"/>
      <c r="CE538" s="194"/>
      <c r="CF538" s="194"/>
      <c r="CG538" s="194"/>
      <c r="CH538" s="194"/>
      <c r="CI538" s="194"/>
      <c r="CJ538" s="194"/>
      <c r="CK538" s="194"/>
      <c r="CL538" s="194"/>
      <c r="CM538" s="194"/>
      <c r="CN538" s="194"/>
      <c r="CO538" s="194"/>
      <c r="CP538" s="194"/>
      <c r="CQ538" s="194"/>
      <c r="CR538" s="194"/>
      <c r="CS538" s="194"/>
      <c r="CT538" s="194"/>
      <c r="CU538" s="194"/>
      <c r="CV538" s="194"/>
      <c r="CW538" s="194"/>
      <c r="CX538" s="194"/>
      <c r="CY538" s="194"/>
      <c r="CZ538" s="194"/>
      <c r="DA538" s="194"/>
      <c r="DB538" s="194"/>
      <c r="DC538" s="194"/>
      <c r="DD538" s="194"/>
      <c r="DE538" s="194"/>
      <c r="DF538" s="194"/>
    </row>
    <row r="539" spans="2:110" s="192" customFormat="1" hidden="1" x14ac:dyDescent="0.35">
      <c r="B539" s="289"/>
      <c r="C539" s="289"/>
      <c r="Q539" s="193"/>
      <c r="R539" s="194">
        <f t="shared" si="395"/>
        <v>18</v>
      </c>
      <c r="S539" s="197">
        <f t="shared" si="361"/>
        <v>0.3888888888888889</v>
      </c>
      <c r="T539" s="194">
        <f t="shared" si="416"/>
        <v>0.69</v>
      </c>
      <c r="U539" s="194">
        <f t="shared" si="417"/>
        <v>1.4999999999999999E-4</v>
      </c>
      <c r="V539" s="197">
        <f t="shared" si="396"/>
        <v>0.3888888888888889</v>
      </c>
      <c r="W539" s="197">
        <f t="shared" si="362"/>
        <v>4.3555555555555561E-3</v>
      </c>
      <c r="X539" s="286">
        <f t="shared" si="363"/>
        <v>1</v>
      </c>
      <c r="Y539" s="286">
        <f t="shared" si="364"/>
        <v>0.17335969315081967</v>
      </c>
      <c r="Z539" s="286">
        <f t="shared" si="365"/>
        <v>0.54964853345132902</v>
      </c>
      <c r="AA539" s="286">
        <f t="shared" si="397"/>
        <v>0.17335969315081967</v>
      </c>
      <c r="AB539" s="197">
        <f t="shared" si="366"/>
        <v>0.36419974881911377</v>
      </c>
      <c r="AC539" s="287">
        <f t="shared" si="367"/>
        <v>4.4451203372005044E-7</v>
      </c>
      <c r="AD539" s="197">
        <f t="shared" si="398"/>
        <v>11.693936048110356</v>
      </c>
      <c r="AE539" s="197">
        <f t="shared" si="399"/>
        <v>35.08180814433107</v>
      </c>
      <c r="AF539" s="197">
        <f t="shared" si="400"/>
        <v>8.5178571428571423E-2</v>
      </c>
      <c r="AG539" s="197">
        <f t="shared" si="401"/>
        <v>0.25553571428571431</v>
      </c>
      <c r="AH539" s="197">
        <f t="shared" si="368"/>
        <v>0.11660930017110901</v>
      </c>
      <c r="AI539" s="197">
        <f t="shared" si="402"/>
        <v>0.11660930017110901</v>
      </c>
      <c r="AJ539" s="218">
        <f t="shared" si="369"/>
        <v>390.00000000000006</v>
      </c>
      <c r="AK539" s="197">
        <f t="shared" si="403"/>
        <v>6.0930617977437734E-2</v>
      </c>
      <c r="AL539" s="197">
        <f t="shared" si="404"/>
        <v>9.6203707235237593E-2</v>
      </c>
      <c r="AM539" s="197">
        <f t="shared" si="405"/>
        <v>4.0790371867740751E-3</v>
      </c>
      <c r="AN539" s="197">
        <f t="shared" si="370"/>
        <v>24.05</v>
      </c>
      <c r="AO539" s="197">
        <f t="shared" si="371"/>
        <v>21.69</v>
      </c>
      <c r="AP539" s="197">
        <f t="shared" si="406"/>
        <v>7.4093290390420161E-2</v>
      </c>
      <c r="AQ539" s="197">
        <f t="shared" si="407"/>
        <v>0.42250439890466829</v>
      </c>
      <c r="AR539" s="197">
        <f t="shared" si="408"/>
        <v>0.30589509873355925</v>
      </c>
      <c r="AS539" s="258">
        <f t="shared" si="409"/>
        <v>0.15228632177729159</v>
      </c>
      <c r="AT539" s="197">
        <f t="shared" si="372"/>
        <v>2.5974058656511614E-4</v>
      </c>
      <c r="AU539" s="194">
        <f t="shared" si="373"/>
        <v>21.19</v>
      </c>
      <c r="AV539" s="197">
        <f t="shared" si="374"/>
        <v>2.7E-2</v>
      </c>
      <c r="AW539" s="197">
        <f t="shared" si="375"/>
        <v>3.4260000000000002E-3</v>
      </c>
      <c r="AX539" s="197">
        <f t="shared" si="410"/>
        <v>6.1668000000000001E-2</v>
      </c>
      <c r="AY539" s="197">
        <f t="shared" si="376"/>
        <v>2.8867476000000005E-3</v>
      </c>
      <c r="AZ539" s="197">
        <f t="shared" si="377"/>
        <v>0</v>
      </c>
      <c r="BA539" s="197">
        <f t="shared" si="411"/>
        <v>7.2596940000000013E-2</v>
      </c>
      <c r="BB539" s="258">
        <f t="shared" si="378"/>
        <v>0.36575210336206115</v>
      </c>
      <c r="BC539" s="197">
        <f t="shared" si="379"/>
        <v>2.2380490766334034E-2</v>
      </c>
      <c r="BD539" s="197">
        <f t="shared" si="412"/>
        <v>4.4760981532668068E-3</v>
      </c>
      <c r="BE539" s="197">
        <f t="shared" si="413"/>
        <v>2.6856588919600841E-2</v>
      </c>
      <c r="BF539" s="197">
        <f t="shared" si="380"/>
        <v>0.20773291256157633</v>
      </c>
      <c r="BG539" s="197">
        <f t="shared" si="381"/>
        <v>5.4608303342508187E-4</v>
      </c>
      <c r="BH539" s="197">
        <f t="shared" si="382"/>
        <v>3.5336687086656722E-2</v>
      </c>
      <c r="BI539" s="197">
        <f t="shared" si="414"/>
        <v>0.44730899017824427</v>
      </c>
      <c r="BJ539" s="197">
        <f t="shared" si="383"/>
        <v>6.769615024661003</v>
      </c>
      <c r="BK539" s="288">
        <f t="shared" si="384"/>
        <v>0.93392401361838984</v>
      </c>
      <c r="BL539" s="197">
        <f t="shared" si="385"/>
        <v>0.37608972359227794</v>
      </c>
      <c r="BM539" s="197">
        <f t="shared" si="386"/>
        <v>7.4353030976985271E-2</v>
      </c>
      <c r="BN539" s="197">
        <f t="shared" si="387"/>
        <v>54.461181858619113</v>
      </c>
      <c r="BO539" s="197">
        <f t="shared" si="415"/>
        <v>0.2082789955950014</v>
      </c>
      <c r="BP539" s="197">
        <f t="shared" si="388"/>
        <v>65.620924669625111</v>
      </c>
      <c r="BQ539" s="197">
        <f t="shared" si="389"/>
        <v>9.9596940000000009E-2</v>
      </c>
      <c r="BR539" s="288">
        <f t="shared" si="390"/>
        <v>0.16008975919012108</v>
      </c>
      <c r="BS539" s="197">
        <f t="shared" si="391"/>
        <v>0.11660930017110901</v>
      </c>
      <c r="BT539" s="197">
        <f t="shared" si="392"/>
        <v>0.36419974881911377</v>
      </c>
      <c r="BU539" s="197">
        <f t="shared" si="393"/>
        <v>0.1713930788771201</v>
      </c>
      <c r="BV539" s="197">
        <f t="shared" si="394"/>
        <v>0.53530306917875781</v>
      </c>
      <c r="BW539" s="194"/>
      <c r="BX539" s="194"/>
      <c r="BY539" s="194"/>
      <c r="BZ539" s="194"/>
      <c r="CA539" s="194"/>
      <c r="CB539" s="194"/>
      <c r="CC539" s="194"/>
      <c r="CD539" s="194"/>
      <c r="CE539" s="194"/>
      <c r="CF539" s="194"/>
      <c r="CG539" s="194"/>
      <c r="CH539" s="194"/>
      <c r="CI539" s="194"/>
      <c r="CJ539" s="194"/>
      <c r="CK539" s="194"/>
      <c r="CL539" s="194"/>
      <c r="CM539" s="194"/>
      <c r="CN539" s="194"/>
      <c r="CO539" s="194"/>
      <c r="CP539" s="194"/>
      <c r="CQ539" s="194"/>
      <c r="CR539" s="194"/>
      <c r="CS539" s="194"/>
      <c r="CT539" s="194"/>
      <c r="CU539" s="194"/>
      <c r="CV539" s="194"/>
      <c r="CW539" s="194"/>
      <c r="CX539" s="194"/>
      <c r="CY539" s="194"/>
      <c r="CZ539" s="194"/>
      <c r="DA539" s="194"/>
      <c r="DB539" s="194"/>
      <c r="DC539" s="194"/>
      <c r="DD539" s="194"/>
      <c r="DE539" s="194"/>
      <c r="DF539" s="194"/>
    </row>
    <row r="540" spans="2:110" s="192" customFormat="1" hidden="1" x14ac:dyDescent="0.35">
      <c r="B540" s="289"/>
      <c r="C540" s="289"/>
      <c r="Q540" s="193"/>
      <c r="R540" s="194">
        <f t="shared" si="395"/>
        <v>18</v>
      </c>
      <c r="S540" s="197">
        <f t="shared" si="361"/>
        <v>0.3888888888888889</v>
      </c>
      <c r="T540" s="194">
        <f t="shared" si="416"/>
        <v>0.69</v>
      </c>
      <c r="U540" s="194">
        <f t="shared" si="417"/>
        <v>1.4999999999999999E-4</v>
      </c>
      <c r="V540" s="197">
        <f t="shared" si="396"/>
        <v>0.3888888888888889</v>
      </c>
      <c r="W540" s="197">
        <f t="shared" si="362"/>
        <v>4.3555555555555561E-3</v>
      </c>
      <c r="X540" s="286">
        <f t="shared" si="363"/>
        <v>1</v>
      </c>
      <c r="Y540" s="286">
        <f t="shared" si="364"/>
        <v>0.17335969315081967</v>
      </c>
      <c r="Z540" s="286">
        <f t="shared" si="365"/>
        <v>0.54964853345132902</v>
      </c>
      <c r="AA540" s="286">
        <f t="shared" si="397"/>
        <v>0.17335969315081967</v>
      </c>
      <c r="AB540" s="197">
        <f t="shared" si="366"/>
        <v>0.36419974881911377</v>
      </c>
      <c r="AC540" s="287">
        <f t="shared" si="367"/>
        <v>4.4451203372005044E-7</v>
      </c>
      <c r="AD540" s="197">
        <f t="shared" si="398"/>
        <v>11.693936048110356</v>
      </c>
      <c r="AE540" s="197">
        <f t="shared" si="399"/>
        <v>35.08180814433107</v>
      </c>
      <c r="AF540" s="197">
        <f t="shared" si="400"/>
        <v>8.5178571428571423E-2</v>
      </c>
      <c r="AG540" s="197">
        <f t="shared" si="401"/>
        <v>0.25553571428571431</v>
      </c>
      <c r="AH540" s="197">
        <f t="shared" si="368"/>
        <v>0.11660930017110901</v>
      </c>
      <c r="AI540" s="197">
        <f t="shared" si="402"/>
        <v>0.11660930017110901</v>
      </c>
      <c r="AJ540" s="218">
        <f t="shared" si="369"/>
        <v>390.00000000000006</v>
      </c>
      <c r="AK540" s="197">
        <f t="shared" si="403"/>
        <v>6.0930617977437734E-2</v>
      </c>
      <c r="AL540" s="197">
        <f t="shared" si="404"/>
        <v>9.6203707235237593E-2</v>
      </c>
      <c r="AM540" s="197">
        <f t="shared" si="405"/>
        <v>4.0790371867740751E-3</v>
      </c>
      <c r="AN540" s="197">
        <f t="shared" si="370"/>
        <v>24.05</v>
      </c>
      <c r="AO540" s="197">
        <f t="shared" si="371"/>
        <v>21.69</v>
      </c>
      <c r="AP540" s="197">
        <f t="shared" si="406"/>
        <v>7.4093290390420161E-2</v>
      </c>
      <c r="AQ540" s="197">
        <f t="shared" si="407"/>
        <v>0.42250439890466829</v>
      </c>
      <c r="AR540" s="197">
        <f t="shared" si="408"/>
        <v>0.30589509873355925</v>
      </c>
      <c r="AS540" s="258">
        <f t="shared" si="409"/>
        <v>0.15228632177729159</v>
      </c>
      <c r="AT540" s="197">
        <f t="shared" si="372"/>
        <v>2.5974058656511614E-4</v>
      </c>
      <c r="AU540" s="194">
        <f t="shared" si="373"/>
        <v>21.19</v>
      </c>
      <c r="AV540" s="197">
        <f t="shared" si="374"/>
        <v>2.7E-2</v>
      </c>
      <c r="AW540" s="197">
        <f t="shared" si="375"/>
        <v>3.4260000000000002E-3</v>
      </c>
      <c r="AX540" s="197">
        <f t="shared" si="410"/>
        <v>6.1668000000000001E-2</v>
      </c>
      <c r="AY540" s="197">
        <f t="shared" si="376"/>
        <v>2.8867476000000005E-3</v>
      </c>
      <c r="AZ540" s="197">
        <f t="shared" si="377"/>
        <v>0</v>
      </c>
      <c r="BA540" s="197">
        <f t="shared" si="411"/>
        <v>7.2596940000000013E-2</v>
      </c>
      <c r="BB540" s="258">
        <f t="shared" si="378"/>
        <v>0.36575210336206115</v>
      </c>
      <c r="BC540" s="197">
        <f t="shared" si="379"/>
        <v>2.2380490766334034E-2</v>
      </c>
      <c r="BD540" s="197">
        <f t="shared" si="412"/>
        <v>4.4760981532668068E-3</v>
      </c>
      <c r="BE540" s="197">
        <f t="shared" si="413"/>
        <v>2.6856588919600841E-2</v>
      </c>
      <c r="BF540" s="197">
        <f t="shared" si="380"/>
        <v>0.20773291256157633</v>
      </c>
      <c r="BG540" s="197">
        <f t="shared" si="381"/>
        <v>5.4608303342508187E-4</v>
      </c>
      <c r="BH540" s="197">
        <f t="shared" si="382"/>
        <v>3.5336687086656722E-2</v>
      </c>
      <c r="BI540" s="197">
        <f t="shared" si="414"/>
        <v>0.44730899017824427</v>
      </c>
      <c r="BJ540" s="197">
        <f t="shared" si="383"/>
        <v>6.769615024661003</v>
      </c>
      <c r="BK540" s="288">
        <f t="shared" si="384"/>
        <v>0.93392401361838984</v>
      </c>
      <c r="BL540" s="197">
        <f t="shared" si="385"/>
        <v>0.37608972359227794</v>
      </c>
      <c r="BM540" s="197">
        <f t="shared" si="386"/>
        <v>7.4353030976985271E-2</v>
      </c>
      <c r="BN540" s="197">
        <f t="shared" si="387"/>
        <v>54.461181858619113</v>
      </c>
      <c r="BO540" s="197">
        <f t="shared" si="415"/>
        <v>0.2082789955950014</v>
      </c>
      <c r="BP540" s="197">
        <f t="shared" si="388"/>
        <v>65.620924669625111</v>
      </c>
      <c r="BQ540" s="197">
        <f t="shared" si="389"/>
        <v>9.9596940000000009E-2</v>
      </c>
      <c r="BR540" s="288">
        <f t="shared" si="390"/>
        <v>0.16008975919012108</v>
      </c>
      <c r="BS540" s="197">
        <f t="shared" si="391"/>
        <v>0.11660930017110901</v>
      </c>
      <c r="BT540" s="197">
        <f t="shared" si="392"/>
        <v>0.36419974881911377</v>
      </c>
      <c r="BU540" s="197">
        <f t="shared" si="393"/>
        <v>0.1713930788771201</v>
      </c>
      <c r="BV540" s="197">
        <f t="shared" si="394"/>
        <v>0.53530306917875781</v>
      </c>
      <c r="BW540" s="194"/>
      <c r="BX540" s="194"/>
      <c r="BY540" s="194"/>
      <c r="BZ540" s="194"/>
      <c r="CA540" s="194"/>
      <c r="CB540" s="194"/>
      <c r="CC540" s="194"/>
      <c r="CD540" s="194"/>
      <c r="CE540" s="194"/>
      <c r="CF540" s="194"/>
      <c r="CG540" s="194"/>
      <c r="CH540" s="194"/>
      <c r="CI540" s="194"/>
      <c r="CJ540" s="194"/>
      <c r="CK540" s="194"/>
      <c r="CL540" s="194"/>
      <c r="CM540" s="194"/>
      <c r="CN540" s="194"/>
      <c r="CO540" s="194"/>
      <c r="CP540" s="194"/>
      <c r="CQ540" s="194"/>
      <c r="CR540" s="194"/>
      <c r="CS540" s="194"/>
      <c r="CT540" s="194"/>
      <c r="CU540" s="194"/>
      <c r="CV540" s="194"/>
      <c r="CW540" s="194"/>
      <c r="CX540" s="194"/>
      <c r="CY540" s="194"/>
      <c r="CZ540" s="194"/>
      <c r="DA540" s="194"/>
      <c r="DB540" s="194"/>
      <c r="DC540" s="194"/>
      <c r="DD540" s="194"/>
      <c r="DE540" s="194"/>
      <c r="DF540" s="194"/>
    </row>
    <row r="541" spans="2:110" s="192" customFormat="1" hidden="1" x14ac:dyDescent="0.35">
      <c r="B541" s="289"/>
      <c r="C541" s="289"/>
      <c r="Q541" s="193"/>
      <c r="R541" s="194">
        <f t="shared" si="395"/>
        <v>18</v>
      </c>
      <c r="S541" s="197">
        <f t="shared" si="361"/>
        <v>0.3888888888888889</v>
      </c>
      <c r="T541" s="194">
        <f t="shared" si="416"/>
        <v>0.69</v>
      </c>
      <c r="U541" s="194">
        <f t="shared" si="417"/>
        <v>1.4999999999999999E-4</v>
      </c>
      <c r="V541" s="197">
        <f t="shared" si="396"/>
        <v>0.3888888888888889</v>
      </c>
      <c r="W541" s="197">
        <f t="shared" si="362"/>
        <v>4.3555555555555561E-3</v>
      </c>
      <c r="X541" s="286">
        <f t="shared" si="363"/>
        <v>1</v>
      </c>
      <c r="Y541" s="286">
        <f t="shared" si="364"/>
        <v>0.17335969315081967</v>
      </c>
      <c r="Z541" s="286">
        <f t="shared" si="365"/>
        <v>0.54964853345132902</v>
      </c>
      <c r="AA541" s="286">
        <f t="shared" si="397"/>
        <v>0.17335969315081967</v>
      </c>
      <c r="AB541" s="197">
        <f t="shared" si="366"/>
        <v>0.36419974881911377</v>
      </c>
      <c r="AC541" s="287">
        <f t="shared" si="367"/>
        <v>4.4451203372005044E-7</v>
      </c>
      <c r="AD541" s="197">
        <f t="shared" si="398"/>
        <v>11.693936048110356</v>
      </c>
      <c r="AE541" s="197">
        <f t="shared" si="399"/>
        <v>35.08180814433107</v>
      </c>
      <c r="AF541" s="197">
        <f t="shared" si="400"/>
        <v>8.5178571428571423E-2</v>
      </c>
      <c r="AG541" s="197">
        <f t="shared" si="401"/>
        <v>0.25553571428571431</v>
      </c>
      <c r="AH541" s="197">
        <f t="shared" si="368"/>
        <v>0.11660930017110901</v>
      </c>
      <c r="AI541" s="197">
        <f t="shared" si="402"/>
        <v>0.11660930017110901</v>
      </c>
      <c r="AJ541" s="218">
        <f t="shared" si="369"/>
        <v>390.00000000000006</v>
      </c>
      <c r="AK541" s="197">
        <f t="shared" si="403"/>
        <v>6.0930617977437734E-2</v>
      </c>
      <c r="AL541" s="197">
        <f t="shared" si="404"/>
        <v>9.6203707235237593E-2</v>
      </c>
      <c r="AM541" s="197">
        <f t="shared" si="405"/>
        <v>4.0790371867740751E-3</v>
      </c>
      <c r="AN541" s="197">
        <f t="shared" si="370"/>
        <v>24.05</v>
      </c>
      <c r="AO541" s="197">
        <f t="shared" si="371"/>
        <v>21.69</v>
      </c>
      <c r="AP541" s="197">
        <f t="shared" si="406"/>
        <v>7.4093290390420161E-2</v>
      </c>
      <c r="AQ541" s="197">
        <f t="shared" si="407"/>
        <v>0.42250439890466829</v>
      </c>
      <c r="AR541" s="197">
        <f t="shared" si="408"/>
        <v>0.30589509873355925</v>
      </c>
      <c r="AS541" s="258">
        <f t="shared" si="409"/>
        <v>0.15228632177729159</v>
      </c>
      <c r="AT541" s="197">
        <f t="shared" si="372"/>
        <v>2.5974058656511614E-4</v>
      </c>
      <c r="AU541" s="194">
        <f t="shared" si="373"/>
        <v>21.19</v>
      </c>
      <c r="AV541" s="197">
        <f t="shared" si="374"/>
        <v>2.7E-2</v>
      </c>
      <c r="AW541" s="197">
        <f t="shared" si="375"/>
        <v>3.4260000000000002E-3</v>
      </c>
      <c r="AX541" s="197">
        <f t="shared" si="410"/>
        <v>6.1668000000000001E-2</v>
      </c>
      <c r="AY541" s="197">
        <f t="shared" si="376"/>
        <v>2.8867476000000005E-3</v>
      </c>
      <c r="AZ541" s="197">
        <f t="shared" si="377"/>
        <v>0</v>
      </c>
      <c r="BA541" s="197">
        <f t="shared" si="411"/>
        <v>7.2596940000000013E-2</v>
      </c>
      <c r="BB541" s="258">
        <f t="shared" si="378"/>
        <v>0.36575210336206115</v>
      </c>
      <c r="BC541" s="197">
        <f t="shared" si="379"/>
        <v>2.2380490766334034E-2</v>
      </c>
      <c r="BD541" s="197">
        <f t="shared" si="412"/>
        <v>4.4760981532668068E-3</v>
      </c>
      <c r="BE541" s="197">
        <f t="shared" si="413"/>
        <v>2.6856588919600841E-2</v>
      </c>
      <c r="BF541" s="197">
        <f t="shared" si="380"/>
        <v>0.20773291256157633</v>
      </c>
      <c r="BG541" s="197">
        <f t="shared" si="381"/>
        <v>5.4608303342508187E-4</v>
      </c>
      <c r="BH541" s="197">
        <f t="shared" si="382"/>
        <v>3.5336687086656722E-2</v>
      </c>
      <c r="BI541" s="197">
        <f t="shared" si="414"/>
        <v>0.44730899017824427</v>
      </c>
      <c r="BJ541" s="197">
        <f t="shared" si="383"/>
        <v>6.769615024661003</v>
      </c>
      <c r="BK541" s="288">
        <f t="shared" si="384"/>
        <v>0.93392401361838984</v>
      </c>
      <c r="BL541" s="197">
        <f t="shared" si="385"/>
        <v>0.37608972359227794</v>
      </c>
      <c r="BM541" s="197">
        <f t="shared" si="386"/>
        <v>7.4353030976985271E-2</v>
      </c>
      <c r="BN541" s="197">
        <f t="shared" si="387"/>
        <v>54.461181858619113</v>
      </c>
      <c r="BO541" s="197">
        <f t="shared" si="415"/>
        <v>0.2082789955950014</v>
      </c>
      <c r="BP541" s="197">
        <f t="shared" si="388"/>
        <v>65.620924669625111</v>
      </c>
      <c r="BQ541" s="197">
        <f t="shared" si="389"/>
        <v>9.9596940000000009E-2</v>
      </c>
      <c r="BR541" s="288">
        <f t="shared" si="390"/>
        <v>0.16008975919012108</v>
      </c>
      <c r="BS541" s="197">
        <f t="shared" si="391"/>
        <v>0.11660930017110901</v>
      </c>
      <c r="BT541" s="197">
        <f t="shared" si="392"/>
        <v>0.36419974881911377</v>
      </c>
      <c r="BU541" s="197">
        <f t="shared" si="393"/>
        <v>0.1713930788771201</v>
      </c>
      <c r="BV541" s="197">
        <f t="shared" si="394"/>
        <v>0.53530306917875781</v>
      </c>
      <c r="BW541" s="194"/>
      <c r="BX541" s="194"/>
      <c r="BY541" s="194"/>
      <c r="BZ541" s="194"/>
      <c r="CA541" s="194"/>
      <c r="CB541" s="194"/>
      <c r="CC541" s="194"/>
      <c r="CD541" s="194"/>
      <c r="CE541" s="194"/>
      <c r="CF541" s="194"/>
      <c r="CG541" s="194"/>
      <c r="CH541" s="194"/>
      <c r="CI541" s="194"/>
      <c r="CJ541" s="194"/>
      <c r="CK541" s="194"/>
      <c r="CL541" s="194"/>
      <c r="CM541" s="194"/>
      <c r="CN541" s="194"/>
      <c r="CO541" s="194"/>
      <c r="CP541" s="194"/>
      <c r="CQ541" s="194"/>
      <c r="CR541" s="194"/>
      <c r="CS541" s="194"/>
      <c r="CT541" s="194"/>
      <c r="CU541" s="194"/>
      <c r="CV541" s="194"/>
      <c r="CW541" s="194"/>
      <c r="CX541" s="194"/>
      <c r="CY541" s="194"/>
      <c r="CZ541" s="194"/>
      <c r="DA541" s="194"/>
      <c r="DB541" s="194"/>
      <c r="DC541" s="194"/>
      <c r="DD541" s="194"/>
      <c r="DE541" s="194"/>
      <c r="DF541" s="194"/>
    </row>
    <row r="542" spans="2:110" s="192" customFormat="1" hidden="1" x14ac:dyDescent="0.35">
      <c r="B542" s="289"/>
      <c r="C542" s="289"/>
      <c r="Q542" s="193"/>
      <c r="R542" s="194">
        <f t="shared" si="395"/>
        <v>18</v>
      </c>
      <c r="S542" s="197">
        <f t="shared" si="361"/>
        <v>0.3888888888888889</v>
      </c>
      <c r="T542" s="194">
        <f t="shared" si="416"/>
        <v>0.69</v>
      </c>
      <c r="U542" s="194">
        <f t="shared" si="417"/>
        <v>1.4999999999999999E-4</v>
      </c>
      <c r="V542" s="197">
        <f t="shared" si="396"/>
        <v>0.3888888888888889</v>
      </c>
      <c r="W542" s="197">
        <f t="shared" si="362"/>
        <v>4.3555555555555561E-3</v>
      </c>
      <c r="X542" s="286">
        <f t="shared" si="363"/>
        <v>1</v>
      </c>
      <c r="Y542" s="286">
        <f t="shared" si="364"/>
        <v>0.17335969315081967</v>
      </c>
      <c r="Z542" s="286">
        <f t="shared" si="365"/>
        <v>0.54964853345132902</v>
      </c>
      <c r="AA542" s="286">
        <f t="shared" si="397"/>
        <v>0.17335969315081967</v>
      </c>
      <c r="AB542" s="197">
        <f t="shared" si="366"/>
        <v>0.36419974881911377</v>
      </c>
      <c r="AC542" s="287">
        <f t="shared" si="367"/>
        <v>4.4451203372005044E-7</v>
      </c>
      <c r="AD542" s="197">
        <f t="shared" si="398"/>
        <v>11.693936048110356</v>
      </c>
      <c r="AE542" s="197">
        <f t="shared" si="399"/>
        <v>35.08180814433107</v>
      </c>
      <c r="AF542" s="197">
        <f t="shared" si="400"/>
        <v>8.5178571428571423E-2</v>
      </c>
      <c r="AG542" s="197">
        <f t="shared" si="401"/>
        <v>0.25553571428571431</v>
      </c>
      <c r="AH542" s="197">
        <f t="shared" si="368"/>
        <v>0.11660930017110901</v>
      </c>
      <c r="AI542" s="197">
        <f t="shared" si="402"/>
        <v>0.11660930017110901</v>
      </c>
      <c r="AJ542" s="218">
        <f t="shared" si="369"/>
        <v>390.00000000000006</v>
      </c>
      <c r="AK542" s="197">
        <f t="shared" si="403"/>
        <v>6.0930617977437734E-2</v>
      </c>
      <c r="AL542" s="197">
        <f t="shared" si="404"/>
        <v>9.6203707235237593E-2</v>
      </c>
      <c r="AM542" s="197">
        <f t="shared" si="405"/>
        <v>4.0790371867740751E-3</v>
      </c>
      <c r="AN542" s="197">
        <f t="shared" si="370"/>
        <v>24.05</v>
      </c>
      <c r="AO542" s="197">
        <f t="shared" si="371"/>
        <v>21.69</v>
      </c>
      <c r="AP542" s="197">
        <f t="shared" si="406"/>
        <v>7.4093290390420161E-2</v>
      </c>
      <c r="AQ542" s="197">
        <f t="shared" si="407"/>
        <v>0.42250439890466829</v>
      </c>
      <c r="AR542" s="197">
        <f t="shared" si="408"/>
        <v>0.30589509873355925</v>
      </c>
      <c r="AS542" s="258">
        <f t="shared" si="409"/>
        <v>0.15228632177729159</v>
      </c>
      <c r="AT542" s="197">
        <f t="shared" si="372"/>
        <v>2.5974058656511614E-4</v>
      </c>
      <c r="AU542" s="194">
        <f t="shared" si="373"/>
        <v>21.19</v>
      </c>
      <c r="AV542" s="197">
        <f t="shared" si="374"/>
        <v>2.7E-2</v>
      </c>
      <c r="AW542" s="197">
        <f t="shared" si="375"/>
        <v>3.4260000000000002E-3</v>
      </c>
      <c r="AX542" s="197">
        <f t="shared" si="410"/>
        <v>6.1668000000000001E-2</v>
      </c>
      <c r="AY542" s="197">
        <f t="shared" si="376"/>
        <v>2.8867476000000005E-3</v>
      </c>
      <c r="AZ542" s="197">
        <f t="shared" si="377"/>
        <v>0</v>
      </c>
      <c r="BA542" s="197">
        <f t="shared" si="411"/>
        <v>7.2596940000000013E-2</v>
      </c>
      <c r="BB542" s="258">
        <f t="shared" si="378"/>
        <v>0.36575210336206115</v>
      </c>
      <c r="BC542" s="197">
        <f t="shared" si="379"/>
        <v>2.2380490766334034E-2</v>
      </c>
      <c r="BD542" s="197">
        <f t="shared" si="412"/>
        <v>4.4760981532668068E-3</v>
      </c>
      <c r="BE542" s="197">
        <f t="shared" si="413"/>
        <v>2.6856588919600841E-2</v>
      </c>
      <c r="BF542" s="197">
        <f t="shared" si="380"/>
        <v>0.20773291256157633</v>
      </c>
      <c r="BG542" s="197">
        <f t="shared" si="381"/>
        <v>5.4608303342508187E-4</v>
      </c>
      <c r="BH542" s="197">
        <f t="shared" si="382"/>
        <v>3.5336687086656722E-2</v>
      </c>
      <c r="BI542" s="197">
        <f t="shared" si="414"/>
        <v>0.44730899017824427</v>
      </c>
      <c r="BJ542" s="197">
        <f t="shared" si="383"/>
        <v>6.769615024661003</v>
      </c>
      <c r="BK542" s="288">
        <f t="shared" si="384"/>
        <v>0.93392401361838984</v>
      </c>
      <c r="BL542" s="197">
        <f t="shared" si="385"/>
        <v>0.37608972359227794</v>
      </c>
      <c r="BM542" s="197">
        <f t="shared" si="386"/>
        <v>7.4353030976985271E-2</v>
      </c>
      <c r="BN542" s="197">
        <f t="shared" si="387"/>
        <v>54.461181858619113</v>
      </c>
      <c r="BO542" s="197">
        <f t="shared" si="415"/>
        <v>0.2082789955950014</v>
      </c>
      <c r="BP542" s="197">
        <f t="shared" si="388"/>
        <v>65.620924669625111</v>
      </c>
      <c r="BQ542" s="197">
        <f t="shared" si="389"/>
        <v>9.9596940000000009E-2</v>
      </c>
      <c r="BR542" s="288">
        <f t="shared" si="390"/>
        <v>0.16008975919012108</v>
      </c>
      <c r="BS542" s="197">
        <f t="shared" si="391"/>
        <v>0.11660930017110901</v>
      </c>
      <c r="BT542" s="197">
        <f t="shared" si="392"/>
        <v>0.36419974881911377</v>
      </c>
      <c r="BU542" s="197">
        <f t="shared" si="393"/>
        <v>0.1713930788771201</v>
      </c>
      <c r="BV542" s="197">
        <f t="shared" si="394"/>
        <v>0.53530306917875781</v>
      </c>
      <c r="BW542" s="194"/>
      <c r="BX542" s="194"/>
      <c r="BY542" s="194"/>
      <c r="BZ542" s="194"/>
      <c r="CA542" s="194"/>
      <c r="CB542" s="194"/>
      <c r="CC542" s="194"/>
      <c r="CD542" s="194"/>
      <c r="CE542" s="194"/>
      <c r="CF542" s="194"/>
      <c r="CG542" s="194"/>
      <c r="CH542" s="194"/>
      <c r="CI542" s="194"/>
      <c r="CJ542" s="194"/>
      <c r="CK542" s="194"/>
      <c r="CL542" s="194"/>
      <c r="CM542" s="194"/>
      <c r="CN542" s="194"/>
      <c r="CO542" s="194"/>
      <c r="CP542" s="194"/>
      <c r="CQ542" s="194"/>
      <c r="CR542" s="194"/>
      <c r="CS542" s="194"/>
      <c r="CT542" s="194"/>
      <c r="CU542" s="194"/>
      <c r="CV542" s="194"/>
      <c r="CW542" s="194"/>
      <c r="CX542" s="194"/>
      <c r="CY542" s="194"/>
      <c r="CZ542" s="194"/>
      <c r="DA542" s="194"/>
      <c r="DB542" s="194"/>
      <c r="DC542" s="194"/>
      <c r="DD542" s="194"/>
      <c r="DE542" s="194"/>
      <c r="DF542" s="194"/>
    </row>
    <row r="543" spans="2:110" s="192" customFormat="1" hidden="1" x14ac:dyDescent="0.35">
      <c r="B543" s="289"/>
      <c r="C543" s="289"/>
      <c r="Q543" s="193"/>
      <c r="R543" s="194">
        <f t="shared" si="395"/>
        <v>18</v>
      </c>
      <c r="S543" s="197">
        <f t="shared" si="361"/>
        <v>0.3888888888888889</v>
      </c>
      <c r="T543" s="194">
        <f t="shared" si="416"/>
        <v>0.69</v>
      </c>
      <c r="U543" s="194">
        <f t="shared" si="417"/>
        <v>1.4999999999999999E-4</v>
      </c>
      <c r="V543" s="197">
        <f t="shared" si="396"/>
        <v>0.3888888888888889</v>
      </c>
      <c r="W543" s="197">
        <f t="shared" si="362"/>
        <v>4.3555555555555561E-3</v>
      </c>
      <c r="X543" s="286">
        <f t="shared" si="363"/>
        <v>1</v>
      </c>
      <c r="Y543" s="286">
        <f t="shared" si="364"/>
        <v>0.17335969315081967</v>
      </c>
      <c r="Z543" s="286">
        <f t="shared" si="365"/>
        <v>0.54964853345132902</v>
      </c>
      <c r="AA543" s="286">
        <f t="shared" si="397"/>
        <v>0.17335969315081967</v>
      </c>
      <c r="AB543" s="197">
        <f t="shared" si="366"/>
        <v>0.36419974881911377</v>
      </c>
      <c r="AC543" s="287">
        <f t="shared" si="367"/>
        <v>4.4451203372005044E-7</v>
      </c>
      <c r="AD543" s="197">
        <f t="shared" si="398"/>
        <v>11.693936048110356</v>
      </c>
      <c r="AE543" s="197">
        <f t="shared" si="399"/>
        <v>35.08180814433107</v>
      </c>
      <c r="AF543" s="197">
        <f t="shared" si="400"/>
        <v>8.5178571428571423E-2</v>
      </c>
      <c r="AG543" s="197">
        <f t="shared" si="401"/>
        <v>0.25553571428571431</v>
      </c>
      <c r="AH543" s="197">
        <f t="shared" si="368"/>
        <v>0.11660930017110901</v>
      </c>
      <c r="AI543" s="197">
        <f t="shared" si="402"/>
        <v>0.11660930017110901</v>
      </c>
      <c r="AJ543" s="218">
        <f t="shared" si="369"/>
        <v>390.00000000000006</v>
      </c>
      <c r="AK543" s="197">
        <f t="shared" si="403"/>
        <v>6.0930617977437734E-2</v>
      </c>
      <c r="AL543" s="197">
        <f t="shared" si="404"/>
        <v>9.6203707235237593E-2</v>
      </c>
      <c r="AM543" s="197">
        <f t="shared" si="405"/>
        <v>4.0790371867740751E-3</v>
      </c>
      <c r="AN543" s="197">
        <f t="shared" si="370"/>
        <v>24.05</v>
      </c>
      <c r="AO543" s="197">
        <f t="shared" si="371"/>
        <v>21.69</v>
      </c>
      <c r="AP543" s="197">
        <f t="shared" si="406"/>
        <v>7.4093290390420161E-2</v>
      </c>
      <c r="AQ543" s="197">
        <f t="shared" si="407"/>
        <v>0.42250439890466829</v>
      </c>
      <c r="AR543" s="197">
        <f t="shared" si="408"/>
        <v>0.30589509873355925</v>
      </c>
      <c r="AS543" s="258">
        <f t="shared" si="409"/>
        <v>0.15228632177729159</v>
      </c>
      <c r="AT543" s="197">
        <f t="shared" si="372"/>
        <v>2.5974058656511614E-4</v>
      </c>
      <c r="AU543" s="194">
        <f t="shared" si="373"/>
        <v>21.19</v>
      </c>
      <c r="AV543" s="197">
        <f t="shared" si="374"/>
        <v>2.7E-2</v>
      </c>
      <c r="AW543" s="197">
        <f t="shared" si="375"/>
        <v>3.4260000000000002E-3</v>
      </c>
      <c r="AX543" s="197">
        <f t="shared" si="410"/>
        <v>6.1668000000000001E-2</v>
      </c>
      <c r="AY543" s="197">
        <f t="shared" si="376"/>
        <v>2.8867476000000005E-3</v>
      </c>
      <c r="AZ543" s="197">
        <f t="shared" si="377"/>
        <v>0</v>
      </c>
      <c r="BA543" s="197">
        <f t="shared" si="411"/>
        <v>7.2596940000000013E-2</v>
      </c>
      <c r="BB543" s="258">
        <f t="shared" si="378"/>
        <v>0.36575210336206115</v>
      </c>
      <c r="BC543" s="197">
        <f t="shared" si="379"/>
        <v>2.2380490766334034E-2</v>
      </c>
      <c r="BD543" s="197">
        <f t="shared" si="412"/>
        <v>4.4760981532668068E-3</v>
      </c>
      <c r="BE543" s="197">
        <f t="shared" si="413"/>
        <v>2.6856588919600841E-2</v>
      </c>
      <c r="BF543" s="197">
        <f t="shared" si="380"/>
        <v>0.20773291256157633</v>
      </c>
      <c r="BG543" s="197">
        <f t="shared" si="381"/>
        <v>5.4608303342508187E-4</v>
      </c>
      <c r="BH543" s="197">
        <f t="shared" si="382"/>
        <v>3.5336687086656722E-2</v>
      </c>
      <c r="BI543" s="197">
        <f t="shared" si="414"/>
        <v>0.44730899017824427</v>
      </c>
      <c r="BJ543" s="197">
        <f t="shared" si="383"/>
        <v>6.769615024661003</v>
      </c>
      <c r="BK543" s="288">
        <f t="shared" si="384"/>
        <v>0.93392401361838984</v>
      </c>
      <c r="BL543" s="197">
        <f t="shared" si="385"/>
        <v>0.37608972359227794</v>
      </c>
      <c r="BM543" s="197">
        <f t="shared" si="386"/>
        <v>7.4353030976985271E-2</v>
      </c>
      <c r="BN543" s="197">
        <f t="shared" si="387"/>
        <v>54.461181858619113</v>
      </c>
      <c r="BO543" s="197">
        <f t="shared" si="415"/>
        <v>0.2082789955950014</v>
      </c>
      <c r="BP543" s="197">
        <f t="shared" si="388"/>
        <v>65.620924669625111</v>
      </c>
      <c r="BQ543" s="197">
        <f t="shared" si="389"/>
        <v>9.9596940000000009E-2</v>
      </c>
      <c r="BR543" s="288">
        <f t="shared" si="390"/>
        <v>0.16008975919012108</v>
      </c>
      <c r="BS543" s="197">
        <f t="shared" si="391"/>
        <v>0.11660930017110901</v>
      </c>
      <c r="BT543" s="197">
        <f t="shared" si="392"/>
        <v>0.36419974881911377</v>
      </c>
      <c r="BU543" s="197">
        <f t="shared" si="393"/>
        <v>0.1713930788771201</v>
      </c>
      <c r="BV543" s="197">
        <f t="shared" si="394"/>
        <v>0.53530306917875781</v>
      </c>
      <c r="BW543" s="194"/>
      <c r="BX543" s="194"/>
      <c r="BY543" s="194"/>
      <c r="BZ543" s="194"/>
      <c r="CA543" s="194"/>
      <c r="CB543" s="194"/>
      <c r="CC543" s="194"/>
      <c r="CD543" s="194"/>
      <c r="CE543" s="194"/>
      <c r="CF543" s="194"/>
      <c r="CG543" s="194"/>
      <c r="CH543" s="194"/>
      <c r="CI543" s="194"/>
      <c r="CJ543" s="194"/>
      <c r="CK543" s="194"/>
      <c r="CL543" s="194"/>
      <c r="CM543" s="194"/>
      <c r="CN543" s="194"/>
      <c r="CO543" s="194"/>
      <c r="CP543" s="194"/>
      <c r="CQ543" s="194"/>
      <c r="CR543" s="194"/>
      <c r="CS543" s="194"/>
      <c r="CT543" s="194"/>
      <c r="CU543" s="194"/>
      <c r="CV543" s="194"/>
      <c r="CW543" s="194"/>
      <c r="CX543" s="194"/>
      <c r="CY543" s="194"/>
      <c r="CZ543" s="194"/>
      <c r="DA543" s="194"/>
      <c r="DB543" s="194"/>
      <c r="DC543" s="194"/>
      <c r="DD543" s="194"/>
      <c r="DE543" s="194"/>
      <c r="DF543" s="194"/>
    </row>
    <row r="544" spans="2:110" s="192" customFormat="1" hidden="1" x14ac:dyDescent="0.35">
      <c r="B544" s="289"/>
      <c r="C544" s="289"/>
      <c r="Q544" s="193"/>
      <c r="R544" s="194">
        <f t="shared" si="395"/>
        <v>18</v>
      </c>
      <c r="S544" s="197">
        <f t="shared" si="361"/>
        <v>0.3888888888888889</v>
      </c>
      <c r="T544" s="194">
        <f t="shared" si="416"/>
        <v>0.69</v>
      </c>
      <c r="U544" s="194">
        <f t="shared" si="417"/>
        <v>1.4999999999999999E-4</v>
      </c>
      <c r="V544" s="197">
        <f t="shared" si="396"/>
        <v>0.3888888888888889</v>
      </c>
      <c r="W544" s="197">
        <f t="shared" si="362"/>
        <v>4.3555555555555561E-3</v>
      </c>
      <c r="X544" s="286">
        <f t="shared" si="363"/>
        <v>1</v>
      </c>
      <c r="Y544" s="286">
        <f t="shared" si="364"/>
        <v>0.17335969315081967</v>
      </c>
      <c r="Z544" s="286">
        <f t="shared" si="365"/>
        <v>0.54964853345132902</v>
      </c>
      <c r="AA544" s="286">
        <f t="shared" si="397"/>
        <v>0.17335969315081967</v>
      </c>
      <c r="AB544" s="197">
        <f t="shared" si="366"/>
        <v>0.36419974881911377</v>
      </c>
      <c r="AC544" s="287">
        <f t="shared" si="367"/>
        <v>4.4451203372005044E-7</v>
      </c>
      <c r="AD544" s="197">
        <f t="shared" si="398"/>
        <v>11.693936048110356</v>
      </c>
      <c r="AE544" s="197">
        <f t="shared" si="399"/>
        <v>35.08180814433107</v>
      </c>
      <c r="AF544" s="197">
        <f t="shared" si="400"/>
        <v>8.5178571428571423E-2</v>
      </c>
      <c r="AG544" s="197">
        <f t="shared" si="401"/>
        <v>0.25553571428571431</v>
      </c>
      <c r="AH544" s="197">
        <f t="shared" si="368"/>
        <v>0.11660930017110901</v>
      </c>
      <c r="AI544" s="197">
        <f t="shared" si="402"/>
        <v>0.11660930017110901</v>
      </c>
      <c r="AJ544" s="218">
        <f t="shared" si="369"/>
        <v>390.00000000000006</v>
      </c>
      <c r="AK544" s="197">
        <f t="shared" si="403"/>
        <v>6.0930617977437734E-2</v>
      </c>
      <c r="AL544" s="197">
        <f t="shared" si="404"/>
        <v>9.6203707235237593E-2</v>
      </c>
      <c r="AM544" s="197">
        <f t="shared" si="405"/>
        <v>4.0790371867740751E-3</v>
      </c>
      <c r="AN544" s="197">
        <f t="shared" si="370"/>
        <v>24.05</v>
      </c>
      <c r="AO544" s="197">
        <f t="shared" si="371"/>
        <v>21.69</v>
      </c>
      <c r="AP544" s="197">
        <f t="shared" si="406"/>
        <v>7.4093290390420161E-2</v>
      </c>
      <c r="AQ544" s="197">
        <f t="shared" si="407"/>
        <v>0.42250439890466829</v>
      </c>
      <c r="AR544" s="197">
        <f t="shared" si="408"/>
        <v>0.30589509873355925</v>
      </c>
      <c r="AS544" s="258">
        <f t="shared" si="409"/>
        <v>0.15228632177729159</v>
      </c>
      <c r="AT544" s="197">
        <f t="shared" si="372"/>
        <v>2.5974058656511614E-4</v>
      </c>
      <c r="AU544" s="194">
        <f t="shared" si="373"/>
        <v>21.19</v>
      </c>
      <c r="AV544" s="197">
        <f t="shared" si="374"/>
        <v>2.7E-2</v>
      </c>
      <c r="AW544" s="197">
        <f t="shared" si="375"/>
        <v>3.4260000000000002E-3</v>
      </c>
      <c r="AX544" s="197">
        <f t="shared" si="410"/>
        <v>6.1668000000000001E-2</v>
      </c>
      <c r="AY544" s="197">
        <f t="shared" si="376"/>
        <v>2.8867476000000005E-3</v>
      </c>
      <c r="AZ544" s="197">
        <f t="shared" si="377"/>
        <v>0</v>
      </c>
      <c r="BA544" s="197">
        <f t="shared" si="411"/>
        <v>7.2596940000000013E-2</v>
      </c>
      <c r="BB544" s="258">
        <f t="shared" si="378"/>
        <v>0.36575210336206115</v>
      </c>
      <c r="BC544" s="197">
        <f t="shared" si="379"/>
        <v>2.2380490766334034E-2</v>
      </c>
      <c r="BD544" s="197">
        <f t="shared" si="412"/>
        <v>4.4760981532668068E-3</v>
      </c>
      <c r="BE544" s="197">
        <f t="shared" si="413"/>
        <v>2.6856588919600841E-2</v>
      </c>
      <c r="BF544" s="197">
        <f t="shared" si="380"/>
        <v>0.20773291256157633</v>
      </c>
      <c r="BG544" s="197">
        <f t="shared" si="381"/>
        <v>5.4608303342508187E-4</v>
      </c>
      <c r="BH544" s="197">
        <f t="shared" si="382"/>
        <v>3.5336687086656722E-2</v>
      </c>
      <c r="BI544" s="197">
        <f t="shared" si="414"/>
        <v>0.44730899017824427</v>
      </c>
      <c r="BJ544" s="197">
        <f t="shared" si="383"/>
        <v>6.769615024661003</v>
      </c>
      <c r="BK544" s="288">
        <f t="shared" si="384"/>
        <v>0.93392401361838984</v>
      </c>
      <c r="BL544" s="197">
        <f t="shared" si="385"/>
        <v>0.37608972359227794</v>
      </c>
      <c r="BM544" s="197">
        <f t="shared" si="386"/>
        <v>7.4353030976985271E-2</v>
      </c>
      <c r="BN544" s="197">
        <f t="shared" si="387"/>
        <v>54.461181858619113</v>
      </c>
      <c r="BO544" s="197">
        <f t="shared" si="415"/>
        <v>0.2082789955950014</v>
      </c>
      <c r="BP544" s="197">
        <f t="shared" si="388"/>
        <v>65.620924669625111</v>
      </c>
      <c r="BQ544" s="197">
        <f t="shared" si="389"/>
        <v>9.9596940000000009E-2</v>
      </c>
      <c r="BR544" s="288">
        <f t="shared" si="390"/>
        <v>0.16008975919012108</v>
      </c>
      <c r="BS544" s="197">
        <f t="shared" si="391"/>
        <v>0.11660930017110901</v>
      </c>
      <c r="BT544" s="197">
        <f t="shared" si="392"/>
        <v>0.36419974881911377</v>
      </c>
      <c r="BU544" s="197">
        <f t="shared" si="393"/>
        <v>0.1713930788771201</v>
      </c>
      <c r="BV544" s="197">
        <f t="shared" si="394"/>
        <v>0.53530306917875781</v>
      </c>
      <c r="BW544" s="194"/>
      <c r="BX544" s="194"/>
      <c r="BY544" s="194"/>
      <c r="BZ544" s="194"/>
      <c r="CA544" s="194"/>
      <c r="CB544" s="194"/>
      <c r="CC544" s="194"/>
      <c r="CD544" s="194"/>
      <c r="CE544" s="194"/>
      <c r="CF544" s="194"/>
      <c r="CG544" s="194"/>
      <c r="CH544" s="194"/>
      <c r="CI544" s="194"/>
      <c r="CJ544" s="194"/>
      <c r="CK544" s="194"/>
      <c r="CL544" s="194"/>
      <c r="CM544" s="194"/>
      <c r="CN544" s="194"/>
      <c r="CO544" s="194"/>
      <c r="CP544" s="194"/>
      <c r="CQ544" s="194"/>
      <c r="CR544" s="194"/>
      <c r="CS544" s="194"/>
      <c r="CT544" s="194"/>
      <c r="CU544" s="194"/>
      <c r="CV544" s="194"/>
      <c r="CW544" s="194"/>
      <c r="CX544" s="194"/>
      <c r="CY544" s="194"/>
      <c r="CZ544" s="194"/>
      <c r="DA544" s="194"/>
      <c r="DB544" s="194"/>
      <c r="DC544" s="194"/>
      <c r="DD544" s="194"/>
      <c r="DE544" s="194"/>
      <c r="DF544" s="194"/>
    </row>
    <row r="545" spans="2:110" s="192" customFormat="1" hidden="1" x14ac:dyDescent="0.35">
      <c r="B545" s="289"/>
      <c r="C545" s="289"/>
      <c r="Q545" s="193"/>
      <c r="R545" s="194">
        <f t="shared" si="395"/>
        <v>18</v>
      </c>
      <c r="S545" s="197">
        <f t="shared" si="361"/>
        <v>0.3888888888888889</v>
      </c>
      <c r="T545" s="194">
        <f t="shared" si="416"/>
        <v>0.69</v>
      </c>
      <c r="U545" s="194">
        <f t="shared" si="417"/>
        <v>1.4999999999999999E-4</v>
      </c>
      <c r="V545" s="197">
        <f t="shared" si="396"/>
        <v>0.3888888888888889</v>
      </c>
      <c r="W545" s="197">
        <f t="shared" si="362"/>
        <v>4.3555555555555561E-3</v>
      </c>
      <c r="X545" s="286">
        <f t="shared" si="363"/>
        <v>1</v>
      </c>
      <c r="Y545" s="286">
        <f t="shared" si="364"/>
        <v>0.17335969315081967</v>
      </c>
      <c r="Z545" s="286">
        <f t="shared" si="365"/>
        <v>0.54964853345132902</v>
      </c>
      <c r="AA545" s="286">
        <f t="shared" si="397"/>
        <v>0.17335969315081967</v>
      </c>
      <c r="AB545" s="197">
        <f t="shared" si="366"/>
        <v>0.36419974881911377</v>
      </c>
      <c r="AC545" s="287">
        <f t="shared" si="367"/>
        <v>4.4451203372005044E-7</v>
      </c>
      <c r="AD545" s="197">
        <f t="shared" si="398"/>
        <v>11.693936048110356</v>
      </c>
      <c r="AE545" s="197">
        <f t="shared" si="399"/>
        <v>35.08180814433107</v>
      </c>
      <c r="AF545" s="197">
        <f t="shared" si="400"/>
        <v>8.5178571428571423E-2</v>
      </c>
      <c r="AG545" s="197">
        <f t="shared" si="401"/>
        <v>0.25553571428571431</v>
      </c>
      <c r="AH545" s="197">
        <f t="shared" si="368"/>
        <v>0.11660930017110901</v>
      </c>
      <c r="AI545" s="197">
        <f t="shared" si="402"/>
        <v>0.11660930017110901</v>
      </c>
      <c r="AJ545" s="218">
        <f t="shared" si="369"/>
        <v>390.00000000000006</v>
      </c>
      <c r="AK545" s="197">
        <f t="shared" si="403"/>
        <v>6.0930617977437734E-2</v>
      </c>
      <c r="AL545" s="197">
        <f t="shared" si="404"/>
        <v>9.6203707235237593E-2</v>
      </c>
      <c r="AM545" s="197">
        <f t="shared" si="405"/>
        <v>4.0790371867740751E-3</v>
      </c>
      <c r="AN545" s="197">
        <f t="shared" si="370"/>
        <v>24.05</v>
      </c>
      <c r="AO545" s="197">
        <f t="shared" si="371"/>
        <v>21.69</v>
      </c>
      <c r="AP545" s="197">
        <f t="shared" si="406"/>
        <v>7.4093290390420161E-2</v>
      </c>
      <c r="AQ545" s="197">
        <f t="shared" si="407"/>
        <v>0.42250439890466829</v>
      </c>
      <c r="AR545" s="197">
        <f t="shared" si="408"/>
        <v>0.30589509873355925</v>
      </c>
      <c r="AS545" s="258">
        <f t="shared" si="409"/>
        <v>0.15228632177729159</v>
      </c>
      <c r="AT545" s="197">
        <f t="shared" si="372"/>
        <v>2.5974058656511614E-4</v>
      </c>
      <c r="AU545" s="194">
        <f t="shared" si="373"/>
        <v>21.19</v>
      </c>
      <c r="AV545" s="197">
        <f t="shared" si="374"/>
        <v>2.7E-2</v>
      </c>
      <c r="AW545" s="197">
        <f t="shared" si="375"/>
        <v>3.4260000000000002E-3</v>
      </c>
      <c r="AX545" s="197">
        <f t="shared" si="410"/>
        <v>6.1668000000000001E-2</v>
      </c>
      <c r="AY545" s="197">
        <f t="shared" si="376"/>
        <v>2.8867476000000005E-3</v>
      </c>
      <c r="AZ545" s="197">
        <f t="shared" si="377"/>
        <v>0</v>
      </c>
      <c r="BA545" s="197">
        <f t="shared" si="411"/>
        <v>7.2596940000000013E-2</v>
      </c>
      <c r="BB545" s="258">
        <f t="shared" si="378"/>
        <v>0.36575210336206115</v>
      </c>
      <c r="BC545" s="197">
        <f t="shared" si="379"/>
        <v>2.2380490766334034E-2</v>
      </c>
      <c r="BD545" s="197">
        <f t="shared" si="412"/>
        <v>4.4760981532668068E-3</v>
      </c>
      <c r="BE545" s="197">
        <f t="shared" si="413"/>
        <v>2.6856588919600841E-2</v>
      </c>
      <c r="BF545" s="197">
        <f t="shared" si="380"/>
        <v>0.20773291256157633</v>
      </c>
      <c r="BG545" s="197">
        <f t="shared" si="381"/>
        <v>5.4608303342508187E-4</v>
      </c>
      <c r="BH545" s="197">
        <f t="shared" si="382"/>
        <v>3.5336687086656722E-2</v>
      </c>
      <c r="BI545" s="197">
        <f t="shared" si="414"/>
        <v>0.44730899017824427</v>
      </c>
      <c r="BJ545" s="197">
        <f t="shared" si="383"/>
        <v>6.769615024661003</v>
      </c>
      <c r="BK545" s="288">
        <f t="shared" si="384"/>
        <v>0.93392401361838984</v>
      </c>
      <c r="BL545" s="197">
        <f t="shared" si="385"/>
        <v>0.37608972359227794</v>
      </c>
      <c r="BM545" s="197">
        <f t="shared" si="386"/>
        <v>7.4353030976985271E-2</v>
      </c>
      <c r="BN545" s="197">
        <f t="shared" si="387"/>
        <v>54.461181858619113</v>
      </c>
      <c r="BO545" s="197">
        <f t="shared" si="415"/>
        <v>0.2082789955950014</v>
      </c>
      <c r="BP545" s="197">
        <f t="shared" si="388"/>
        <v>65.620924669625111</v>
      </c>
      <c r="BQ545" s="197">
        <f t="shared" si="389"/>
        <v>9.9596940000000009E-2</v>
      </c>
      <c r="BR545" s="288">
        <f t="shared" si="390"/>
        <v>0.16008975919012108</v>
      </c>
      <c r="BS545" s="197">
        <f t="shared" si="391"/>
        <v>0.11660930017110901</v>
      </c>
      <c r="BT545" s="197">
        <f t="shared" si="392"/>
        <v>0.36419974881911377</v>
      </c>
      <c r="BU545" s="197">
        <f t="shared" si="393"/>
        <v>0.1713930788771201</v>
      </c>
      <c r="BV545" s="197">
        <f t="shared" si="394"/>
        <v>0.53530306917875781</v>
      </c>
      <c r="BW545" s="194"/>
      <c r="BX545" s="194"/>
      <c r="BY545" s="194"/>
      <c r="BZ545" s="194"/>
      <c r="CA545" s="194"/>
      <c r="CB545" s="194"/>
      <c r="CC545" s="194"/>
      <c r="CD545" s="194"/>
      <c r="CE545" s="194"/>
      <c r="CF545" s="194"/>
      <c r="CG545" s="194"/>
      <c r="CH545" s="194"/>
      <c r="CI545" s="194"/>
      <c r="CJ545" s="194"/>
      <c r="CK545" s="194"/>
      <c r="CL545" s="194"/>
      <c r="CM545" s="194"/>
      <c r="CN545" s="194"/>
      <c r="CO545" s="194"/>
      <c r="CP545" s="194"/>
      <c r="CQ545" s="194"/>
      <c r="CR545" s="194"/>
      <c r="CS545" s="194"/>
      <c r="CT545" s="194"/>
      <c r="CU545" s="194"/>
      <c r="CV545" s="194"/>
      <c r="CW545" s="194"/>
      <c r="CX545" s="194"/>
      <c r="CY545" s="194"/>
      <c r="CZ545" s="194"/>
      <c r="DA545" s="194"/>
      <c r="DB545" s="194"/>
      <c r="DC545" s="194"/>
      <c r="DD545" s="194"/>
      <c r="DE545" s="194"/>
      <c r="DF545" s="194"/>
    </row>
    <row r="546" spans="2:110" s="192" customFormat="1" hidden="1" x14ac:dyDescent="0.35">
      <c r="B546" s="289"/>
      <c r="C546" s="289"/>
      <c r="Q546" s="193"/>
      <c r="R546" s="194">
        <f t="shared" si="395"/>
        <v>18</v>
      </c>
      <c r="S546" s="197">
        <f t="shared" si="361"/>
        <v>0.3888888888888889</v>
      </c>
      <c r="T546" s="194">
        <f t="shared" si="416"/>
        <v>0.69</v>
      </c>
      <c r="U546" s="194">
        <f t="shared" si="417"/>
        <v>1.4999999999999999E-4</v>
      </c>
      <c r="V546" s="197">
        <f t="shared" si="396"/>
        <v>0.3888888888888889</v>
      </c>
      <c r="W546" s="197">
        <f t="shared" si="362"/>
        <v>4.3555555555555561E-3</v>
      </c>
      <c r="X546" s="286">
        <f t="shared" si="363"/>
        <v>1</v>
      </c>
      <c r="Y546" s="286">
        <f t="shared" si="364"/>
        <v>0.17335969315081967</v>
      </c>
      <c r="Z546" s="286">
        <f t="shared" si="365"/>
        <v>0.54964853345132902</v>
      </c>
      <c r="AA546" s="286">
        <f t="shared" si="397"/>
        <v>0.17335969315081967</v>
      </c>
      <c r="AB546" s="197">
        <f t="shared" si="366"/>
        <v>0.36419974881911377</v>
      </c>
      <c r="AC546" s="287">
        <f t="shared" si="367"/>
        <v>4.4451203372005044E-7</v>
      </c>
      <c r="AD546" s="197">
        <f t="shared" si="398"/>
        <v>11.693936048110356</v>
      </c>
      <c r="AE546" s="197">
        <f t="shared" si="399"/>
        <v>35.08180814433107</v>
      </c>
      <c r="AF546" s="197">
        <f t="shared" si="400"/>
        <v>8.5178571428571423E-2</v>
      </c>
      <c r="AG546" s="197">
        <f t="shared" si="401"/>
        <v>0.25553571428571431</v>
      </c>
      <c r="AH546" s="197">
        <f t="shared" si="368"/>
        <v>0.11660930017110901</v>
      </c>
      <c r="AI546" s="197">
        <f t="shared" si="402"/>
        <v>0.11660930017110901</v>
      </c>
      <c r="AJ546" s="218">
        <f t="shared" si="369"/>
        <v>390.00000000000006</v>
      </c>
      <c r="AK546" s="197">
        <f t="shared" si="403"/>
        <v>6.0930617977437734E-2</v>
      </c>
      <c r="AL546" s="197">
        <f t="shared" si="404"/>
        <v>9.6203707235237593E-2</v>
      </c>
      <c r="AM546" s="197">
        <f t="shared" si="405"/>
        <v>4.0790371867740751E-3</v>
      </c>
      <c r="AN546" s="197">
        <f t="shared" si="370"/>
        <v>24.05</v>
      </c>
      <c r="AO546" s="197">
        <f t="shared" si="371"/>
        <v>21.69</v>
      </c>
      <c r="AP546" s="197">
        <f t="shared" si="406"/>
        <v>7.4093290390420161E-2</v>
      </c>
      <c r="AQ546" s="197">
        <f t="shared" si="407"/>
        <v>0.42250439890466829</v>
      </c>
      <c r="AR546" s="197">
        <f t="shared" si="408"/>
        <v>0.30589509873355925</v>
      </c>
      <c r="AS546" s="258">
        <f t="shared" si="409"/>
        <v>0.15228632177729159</v>
      </c>
      <c r="AT546" s="197">
        <f t="shared" si="372"/>
        <v>2.5974058656511614E-4</v>
      </c>
      <c r="AU546" s="194">
        <f t="shared" si="373"/>
        <v>21.19</v>
      </c>
      <c r="AV546" s="197">
        <f t="shared" si="374"/>
        <v>2.7E-2</v>
      </c>
      <c r="AW546" s="197">
        <f t="shared" si="375"/>
        <v>3.4260000000000002E-3</v>
      </c>
      <c r="AX546" s="197">
        <f t="shared" si="410"/>
        <v>6.1668000000000001E-2</v>
      </c>
      <c r="AY546" s="197">
        <f t="shared" si="376"/>
        <v>2.8867476000000005E-3</v>
      </c>
      <c r="AZ546" s="197">
        <f t="shared" si="377"/>
        <v>0</v>
      </c>
      <c r="BA546" s="197">
        <f t="shared" si="411"/>
        <v>7.2596940000000013E-2</v>
      </c>
      <c r="BB546" s="258">
        <f t="shared" si="378"/>
        <v>0.36575210336206115</v>
      </c>
      <c r="BC546" s="197">
        <f t="shared" si="379"/>
        <v>2.2380490766334034E-2</v>
      </c>
      <c r="BD546" s="197">
        <f t="shared" si="412"/>
        <v>4.4760981532668068E-3</v>
      </c>
      <c r="BE546" s="197">
        <f t="shared" si="413"/>
        <v>2.6856588919600841E-2</v>
      </c>
      <c r="BF546" s="197">
        <f t="shared" si="380"/>
        <v>0.20773291256157633</v>
      </c>
      <c r="BG546" s="197">
        <f t="shared" si="381"/>
        <v>5.4608303342508187E-4</v>
      </c>
      <c r="BH546" s="197">
        <f t="shared" si="382"/>
        <v>3.5336687086656722E-2</v>
      </c>
      <c r="BI546" s="197">
        <f t="shared" si="414"/>
        <v>0.44730899017824427</v>
      </c>
      <c r="BJ546" s="197">
        <f t="shared" si="383"/>
        <v>6.769615024661003</v>
      </c>
      <c r="BK546" s="288">
        <f t="shared" si="384"/>
        <v>0.93392401361838984</v>
      </c>
      <c r="BL546" s="197">
        <f t="shared" si="385"/>
        <v>0.37608972359227794</v>
      </c>
      <c r="BM546" s="197">
        <f t="shared" si="386"/>
        <v>7.4353030976985271E-2</v>
      </c>
      <c r="BN546" s="197">
        <f t="shared" si="387"/>
        <v>54.461181858619113</v>
      </c>
      <c r="BO546" s="197">
        <f t="shared" si="415"/>
        <v>0.2082789955950014</v>
      </c>
      <c r="BP546" s="197">
        <f t="shared" si="388"/>
        <v>65.620924669625111</v>
      </c>
      <c r="BQ546" s="197">
        <f t="shared" si="389"/>
        <v>9.9596940000000009E-2</v>
      </c>
      <c r="BR546" s="288">
        <f t="shared" si="390"/>
        <v>0.16008975919012108</v>
      </c>
      <c r="BS546" s="197">
        <f t="shared" si="391"/>
        <v>0.11660930017110901</v>
      </c>
      <c r="BT546" s="197">
        <f t="shared" si="392"/>
        <v>0.36419974881911377</v>
      </c>
      <c r="BU546" s="197">
        <f t="shared" si="393"/>
        <v>0.1713930788771201</v>
      </c>
      <c r="BV546" s="197">
        <f t="shared" si="394"/>
        <v>0.53530306917875781</v>
      </c>
      <c r="BW546" s="194"/>
      <c r="BX546" s="194"/>
      <c r="BY546" s="194"/>
      <c r="BZ546" s="194"/>
      <c r="CA546" s="194"/>
      <c r="CB546" s="194"/>
      <c r="CC546" s="194"/>
      <c r="CD546" s="194"/>
      <c r="CE546" s="194"/>
      <c r="CF546" s="194"/>
      <c r="CG546" s="194"/>
      <c r="CH546" s="194"/>
      <c r="CI546" s="194"/>
      <c r="CJ546" s="194"/>
      <c r="CK546" s="194"/>
      <c r="CL546" s="194"/>
      <c r="CM546" s="194"/>
      <c r="CN546" s="194"/>
      <c r="CO546" s="194"/>
      <c r="CP546" s="194"/>
      <c r="CQ546" s="194"/>
      <c r="CR546" s="194"/>
      <c r="CS546" s="194"/>
      <c r="CT546" s="194"/>
      <c r="CU546" s="194"/>
      <c r="CV546" s="194"/>
      <c r="CW546" s="194"/>
      <c r="CX546" s="194"/>
      <c r="CY546" s="194"/>
      <c r="CZ546" s="194"/>
      <c r="DA546" s="194"/>
      <c r="DB546" s="194"/>
      <c r="DC546" s="194"/>
      <c r="DD546" s="194"/>
      <c r="DE546" s="194"/>
      <c r="DF546" s="194"/>
    </row>
    <row r="547" spans="2:110" s="192" customFormat="1" hidden="1" x14ac:dyDescent="0.35">
      <c r="B547" s="289"/>
      <c r="C547" s="289"/>
      <c r="Q547" s="193"/>
      <c r="R547" s="194">
        <f t="shared" si="395"/>
        <v>18</v>
      </c>
      <c r="S547" s="197">
        <f t="shared" si="361"/>
        <v>0.3888888888888889</v>
      </c>
      <c r="T547" s="194">
        <f t="shared" si="416"/>
        <v>0.69</v>
      </c>
      <c r="U547" s="194">
        <f t="shared" si="417"/>
        <v>1.4999999999999999E-4</v>
      </c>
      <c r="V547" s="197">
        <f t="shared" si="396"/>
        <v>0.3888888888888889</v>
      </c>
      <c r="W547" s="197">
        <f t="shared" si="362"/>
        <v>4.3555555555555561E-3</v>
      </c>
      <c r="X547" s="286">
        <f t="shared" si="363"/>
        <v>1</v>
      </c>
      <c r="Y547" s="286">
        <f t="shared" si="364"/>
        <v>0.17335969315081967</v>
      </c>
      <c r="Z547" s="286">
        <f t="shared" si="365"/>
        <v>0.54964853345132902</v>
      </c>
      <c r="AA547" s="286">
        <f t="shared" si="397"/>
        <v>0.17335969315081967</v>
      </c>
      <c r="AB547" s="197">
        <f t="shared" si="366"/>
        <v>0.36419974881911377</v>
      </c>
      <c r="AC547" s="287">
        <f t="shared" si="367"/>
        <v>4.4451203372005044E-7</v>
      </c>
      <c r="AD547" s="197">
        <f t="shared" si="398"/>
        <v>11.693936048110356</v>
      </c>
      <c r="AE547" s="197">
        <f t="shared" si="399"/>
        <v>35.08180814433107</v>
      </c>
      <c r="AF547" s="197">
        <f t="shared" si="400"/>
        <v>8.5178571428571423E-2</v>
      </c>
      <c r="AG547" s="197">
        <f t="shared" si="401"/>
        <v>0.25553571428571431</v>
      </c>
      <c r="AH547" s="197">
        <f t="shared" si="368"/>
        <v>0.11660930017110901</v>
      </c>
      <c r="AI547" s="197">
        <f t="shared" si="402"/>
        <v>0.11660930017110901</v>
      </c>
      <c r="AJ547" s="218">
        <f t="shared" si="369"/>
        <v>390.00000000000006</v>
      </c>
      <c r="AK547" s="197">
        <f t="shared" si="403"/>
        <v>6.0930617977437734E-2</v>
      </c>
      <c r="AL547" s="197">
        <f t="shared" si="404"/>
        <v>9.6203707235237593E-2</v>
      </c>
      <c r="AM547" s="197">
        <f t="shared" si="405"/>
        <v>4.0790371867740751E-3</v>
      </c>
      <c r="AN547" s="197">
        <f t="shared" si="370"/>
        <v>24.05</v>
      </c>
      <c r="AO547" s="197">
        <f t="shared" si="371"/>
        <v>21.69</v>
      </c>
      <c r="AP547" s="197">
        <f t="shared" si="406"/>
        <v>7.4093290390420161E-2</v>
      </c>
      <c r="AQ547" s="197">
        <f t="shared" si="407"/>
        <v>0.42250439890466829</v>
      </c>
      <c r="AR547" s="197">
        <f t="shared" si="408"/>
        <v>0.30589509873355925</v>
      </c>
      <c r="AS547" s="258">
        <f t="shared" si="409"/>
        <v>0.15228632177729159</v>
      </c>
      <c r="AT547" s="197">
        <f t="shared" si="372"/>
        <v>2.5974058656511614E-4</v>
      </c>
      <c r="AU547" s="194">
        <f t="shared" si="373"/>
        <v>21.19</v>
      </c>
      <c r="AV547" s="197">
        <f t="shared" si="374"/>
        <v>2.7E-2</v>
      </c>
      <c r="AW547" s="197">
        <f t="shared" si="375"/>
        <v>3.4260000000000002E-3</v>
      </c>
      <c r="AX547" s="197">
        <f t="shared" si="410"/>
        <v>6.1668000000000001E-2</v>
      </c>
      <c r="AY547" s="197">
        <f t="shared" si="376"/>
        <v>2.8867476000000005E-3</v>
      </c>
      <c r="AZ547" s="197">
        <f t="shared" si="377"/>
        <v>0</v>
      </c>
      <c r="BA547" s="197">
        <f t="shared" si="411"/>
        <v>7.2596940000000013E-2</v>
      </c>
      <c r="BB547" s="258">
        <f t="shared" si="378"/>
        <v>0.36575210336206115</v>
      </c>
      <c r="BC547" s="197">
        <f t="shared" si="379"/>
        <v>2.2380490766334034E-2</v>
      </c>
      <c r="BD547" s="197">
        <f t="shared" si="412"/>
        <v>4.4760981532668068E-3</v>
      </c>
      <c r="BE547" s="197">
        <f t="shared" si="413"/>
        <v>2.6856588919600841E-2</v>
      </c>
      <c r="BF547" s="197">
        <f t="shared" si="380"/>
        <v>0.20773291256157633</v>
      </c>
      <c r="BG547" s="197">
        <f t="shared" si="381"/>
        <v>5.4608303342508187E-4</v>
      </c>
      <c r="BH547" s="197">
        <f t="shared" si="382"/>
        <v>3.5336687086656722E-2</v>
      </c>
      <c r="BI547" s="197">
        <f t="shared" si="414"/>
        <v>0.44730899017824427</v>
      </c>
      <c r="BJ547" s="197">
        <f t="shared" si="383"/>
        <v>6.769615024661003</v>
      </c>
      <c r="BK547" s="288">
        <f t="shared" si="384"/>
        <v>0.93392401361838984</v>
      </c>
      <c r="BL547" s="197">
        <f t="shared" si="385"/>
        <v>0.37608972359227794</v>
      </c>
      <c r="BM547" s="197">
        <f t="shared" si="386"/>
        <v>7.4353030976985271E-2</v>
      </c>
      <c r="BN547" s="197">
        <f t="shared" si="387"/>
        <v>54.461181858619113</v>
      </c>
      <c r="BO547" s="197">
        <f t="shared" si="415"/>
        <v>0.2082789955950014</v>
      </c>
      <c r="BP547" s="197">
        <f t="shared" si="388"/>
        <v>65.620924669625111</v>
      </c>
      <c r="BQ547" s="197">
        <f t="shared" si="389"/>
        <v>9.9596940000000009E-2</v>
      </c>
      <c r="BR547" s="288">
        <f t="shared" si="390"/>
        <v>0.16008975919012108</v>
      </c>
      <c r="BS547" s="197">
        <f t="shared" si="391"/>
        <v>0.11660930017110901</v>
      </c>
      <c r="BT547" s="197">
        <f t="shared" si="392"/>
        <v>0.36419974881911377</v>
      </c>
      <c r="BU547" s="197">
        <f t="shared" si="393"/>
        <v>0.1713930788771201</v>
      </c>
      <c r="BV547" s="197">
        <f t="shared" si="394"/>
        <v>0.53530306917875781</v>
      </c>
      <c r="BW547" s="194"/>
      <c r="BX547" s="194"/>
      <c r="BY547" s="194"/>
      <c r="BZ547" s="194"/>
      <c r="CA547" s="194"/>
      <c r="CB547" s="194"/>
      <c r="CC547" s="194"/>
      <c r="CD547" s="194"/>
      <c r="CE547" s="194"/>
      <c r="CF547" s="194"/>
      <c r="CG547" s="194"/>
      <c r="CH547" s="194"/>
      <c r="CI547" s="194"/>
      <c r="CJ547" s="194"/>
      <c r="CK547" s="194"/>
      <c r="CL547" s="194"/>
      <c r="CM547" s="194"/>
      <c r="CN547" s="194"/>
      <c r="CO547" s="194"/>
      <c r="CP547" s="194"/>
      <c r="CQ547" s="194"/>
      <c r="CR547" s="194"/>
      <c r="CS547" s="194"/>
      <c r="CT547" s="194"/>
      <c r="CU547" s="194"/>
      <c r="CV547" s="194"/>
      <c r="CW547" s="194"/>
      <c r="CX547" s="194"/>
      <c r="CY547" s="194"/>
      <c r="CZ547" s="194"/>
      <c r="DA547" s="194"/>
      <c r="DB547" s="194"/>
      <c r="DC547" s="194"/>
      <c r="DD547" s="194"/>
      <c r="DE547" s="194"/>
      <c r="DF547" s="194"/>
    </row>
    <row r="548" spans="2:110" s="192" customFormat="1" hidden="1" x14ac:dyDescent="0.35">
      <c r="B548" s="289"/>
      <c r="C548" s="289"/>
      <c r="Q548" s="193"/>
      <c r="R548" s="194">
        <f t="shared" si="395"/>
        <v>18</v>
      </c>
      <c r="S548" s="197">
        <f t="shared" si="361"/>
        <v>0.3888888888888889</v>
      </c>
      <c r="T548" s="194">
        <f t="shared" si="416"/>
        <v>0.69</v>
      </c>
      <c r="U548" s="194">
        <f t="shared" si="417"/>
        <v>1.4999999999999999E-4</v>
      </c>
      <c r="V548" s="197">
        <f t="shared" si="396"/>
        <v>0.3888888888888889</v>
      </c>
      <c r="W548" s="197">
        <f t="shared" si="362"/>
        <v>4.3555555555555561E-3</v>
      </c>
      <c r="X548" s="286">
        <f t="shared" si="363"/>
        <v>1</v>
      </c>
      <c r="Y548" s="286">
        <f t="shared" si="364"/>
        <v>0.17335969315081967</v>
      </c>
      <c r="Z548" s="286">
        <f t="shared" si="365"/>
        <v>0.54964853345132902</v>
      </c>
      <c r="AA548" s="286">
        <f t="shared" si="397"/>
        <v>0.17335969315081967</v>
      </c>
      <c r="AB548" s="197">
        <f t="shared" si="366"/>
        <v>0.36419974881911377</v>
      </c>
      <c r="AC548" s="287">
        <f t="shared" si="367"/>
        <v>4.4451203372005044E-7</v>
      </c>
      <c r="AD548" s="197">
        <f t="shared" si="398"/>
        <v>11.693936048110356</v>
      </c>
      <c r="AE548" s="197">
        <f t="shared" si="399"/>
        <v>35.08180814433107</v>
      </c>
      <c r="AF548" s="197">
        <f t="shared" si="400"/>
        <v>8.5178571428571423E-2</v>
      </c>
      <c r="AG548" s="197">
        <f t="shared" si="401"/>
        <v>0.25553571428571431</v>
      </c>
      <c r="AH548" s="197">
        <f t="shared" si="368"/>
        <v>0.11660930017110901</v>
      </c>
      <c r="AI548" s="197">
        <f t="shared" si="402"/>
        <v>0.11660930017110901</v>
      </c>
      <c r="AJ548" s="218">
        <f t="shared" si="369"/>
        <v>390.00000000000006</v>
      </c>
      <c r="AK548" s="197">
        <f t="shared" si="403"/>
        <v>6.0930617977437734E-2</v>
      </c>
      <c r="AL548" s="197">
        <f t="shared" si="404"/>
        <v>9.6203707235237593E-2</v>
      </c>
      <c r="AM548" s="197">
        <f t="shared" si="405"/>
        <v>4.0790371867740751E-3</v>
      </c>
      <c r="AN548" s="197">
        <f t="shared" si="370"/>
        <v>24.05</v>
      </c>
      <c r="AO548" s="197">
        <f t="shared" si="371"/>
        <v>21.69</v>
      </c>
      <c r="AP548" s="197">
        <f t="shared" si="406"/>
        <v>7.4093290390420161E-2</v>
      </c>
      <c r="AQ548" s="197">
        <f t="shared" si="407"/>
        <v>0.42250439890466829</v>
      </c>
      <c r="AR548" s="197">
        <f t="shared" si="408"/>
        <v>0.30589509873355925</v>
      </c>
      <c r="AS548" s="258">
        <f t="shared" si="409"/>
        <v>0.15228632177729159</v>
      </c>
      <c r="AT548" s="197">
        <f t="shared" si="372"/>
        <v>2.5974058656511614E-4</v>
      </c>
      <c r="AU548" s="194">
        <f t="shared" si="373"/>
        <v>21.19</v>
      </c>
      <c r="AV548" s="197">
        <f t="shared" si="374"/>
        <v>2.7E-2</v>
      </c>
      <c r="AW548" s="197">
        <f t="shared" si="375"/>
        <v>3.4260000000000002E-3</v>
      </c>
      <c r="AX548" s="197">
        <f t="shared" si="410"/>
        <v>6.1668000000000001E-2</v>
      </c>
      <c r="AY548" s="197">
        <f t="shared" si="376"/>
        <v>2.8867476000000005E-3</v>
      </c>
      <c r="AZ548" s="197">
        <f t="shared" si="377"/>
        <v>0</v>
      </c>
      <c r="BA548" s="197">
        <f t="shared" si="411"/>
        <v>7.2596940000000013E-2</v>
      </c>
      <c r="BB548" s="258">
        <f t="shared" si="378"/>
        <v>0.36575210336206115</v>
      </c>
      <c r="BC548" s="197">
        <f t="shared" si="379"/>
        <v>2.2380490766334034E-2</v>
      </c>
      <c r="BD548" s="197">
        <f t="shared" si="412"/>
        <v>4.4760981532668068E-3</v>
      </c>
      <c r="BE548" s="197">
        <f t="shared" si="413"/>
        <v>2.6856588919600841E-2</v>
      </c>
      <c r="BF548" s="197">
        <f t="shared" si="380"/>
        <v>0.20773291256157633</v>
      </c>
      <c r="BG548" s="197">
        <f t="shared" si="381"/>
        <v>5.4608303342508187E-4</v>
      </c>
      <c r="BH548" s="197">
        <f t="shared" si="382"/>
        <v>3.5336687086656722E-2</v>
      </c>
      <c r="BI548" s="197">
        <f t="shared" si="414"/>
        <v>0.44730899017824427</v>
      </c>
      <c r="BJ548" s="197">
        <f t="shared" si="383"/>
        <v>6.769615024661003</v>
      </c>
      <c r="BK548" s="288">
        <f t="shared" si="384"/>
        <v>0.93392401361838984</v>
      </c>
      <c r="BL548" s="197">
        <f t="shared" si="385"/>
        <v>0.37608972359227794</v>
      </c>
      <c r="BM548" s="197">
        <f t="shared" si="386"/>
        <v>7.4353030976985271E-2</v>
      </c>
      <c r="BN548" s="197">
        <f t="shared" si="387"/>
        <v>54.461181858619113</v>
      </c>
      <c r="BO548" s="197">
        <f t="shared" si="415"/>
        <v>0.2082789955950014</v>
      </c>
      <c r="BP548" s="197">
        <f t="shared" si="388"/>
        <v>65.620924669625111</v>
      </c>
      <c r="BQ548" s="197">
        <f t="shared" si="389"/>
        <v>9.9596940000000009E-2</v>
      </c>
      <c r="BR548" s="288">
        <f t="shared" si="390"/>
        <v>0.16008975919012108</v>
      </c>
      <c r="BS548" s="197">
        <f t="shared" si="391"/>
        <v>0.11660930017110901</v>
      </c>
      <c r="BT548" s="197">
        <f t="shared" si="392"/>
        <v>0.36419974881911377</v>
      </c>
      <c r="BU548" s="197">
        <f t="shared" si="393"/>
        <v>0.1713930788771201</v>
      </c>
      <c r="BV548" s="197">
        <f t="shared" si="394"/>
        <v>0.53530306917875781</v>
      </c>
      <c r="BW548" s="194"/>
      <c r="BX548" s="194"/>
      <c r="BY548" s="194"/>
      <c r="BZ548" s="194"/>
      <c r="CA548" s="194"/>
      <c r="CB548" s="194"/>
      <c r="CC548" s="194"/>
      <c r="CD548" s="194"/>
      <c r="CE548" s="194"/>
      <c r="CF548" s="194"/>
      <c r="CG548" s="194"/>
      <c r="CH548" s="194"/>
      <c r="CI548" s="194"/>
      <c r="CJ548" s="194"/>
      <c r="CK548" s="194"/>
      <c r="CL548" s="194"/>
      <c r="CM548" s="194"/>
      <c r="CN548" s="194"/>
      <c r="CO548" s="194"/>
      <c r="CP548" s="194"/>
      <c r="CQ548" s="194"/>
      <c r="CR548" s="194"/>
      <c r="CS548" s="194"/>
      <c r="CT548" s="194"/>
      <c r="CU548" s="194"/>
      <c r="CV548" s="194"/>
      <c r="CW548" s="194"/>
      <c r="CX548" s="194"/>
      <c r="CY548" s="194"/>
      <c r="CZ548" s="194"/>
      <c r="DA548" s="194"/>
      <c r="DB548" s="194"/>
      <c r="DC548" s="194"/>
      <c r="DD548" s="194"/>
      <c r="DE548" s="194"/>
      <c r="DF548" s="194"/>
    </row>
    <row r="549" spans="2:110" s="192" customFormat="1" hidden="1" x14ac:dyDescent="0.35">
      <c r="B549" s="289"/>
      <c r="C549" s="289"/>
      <c r="Q549" s="193"/>
      <c r="R549" s="194">
        <f t="shared" si="395"/>
        <v>18</v>
      </c>
      <c r="S549" s="197">
        <f t="shared" si="361"/>
        <v>0.3888888888888889</v>
      </c>
      <c r="T549" s="194">
        <f t="shared" si="416"/>
        <v>0.69</v>
      </c>
      <c r="U549" s="194">
        <f t="shared" si="417"/>
        <v>1.4999999999999999E-4</v>
      </c>
      <c r="V549" s="197">
        <f t="shared" si="396"/>
        <v>0.3888888888888889</v>
      </c>
      <c r="W549" s="197">
        <f t="shared" si="362"/>
        <v>4.3555555555555561E-3</v>
      </c>
      <c r="X549" s="286">
        <f t="shared" si="363"/>
        <v>1</v>
      </c>
      <c r="Y549" s="286">
        <f t="shared" si="364"/>
        <v>0.17335969315081967</v>
      </c>
      <c r="Z549" s="286">
        <f t="shared" si="365"/>
        <v>0.54964853345132902</v>
      </c>
      <c r="AA549" s="286">
        <f t="shared" si="397"/>
        <v>0.17335969315081967</v>
      </c>
      <c r="AB549" s="197">
        <f t="shared" si="366"/>
        <v>0.36419974881911377</v>
      </c>
      <c r="AC549" s="287">
        <f t="shared" si="367"/>
        <v>4.4451203372005044E-7</v>
      </c>
      <c r="AD549" s="197">
        <f t="shared" si="398"/>
        <v>11.693936048110356</v>
      </c>
      <c r="AE549" s="197">
        <f t="shared" si="399"/>
        <v>35.08180814433107</v>
      </c>
      <c r="AF549" s="197">
        <f t="shared" si="400"/>
        <v>8.5178571428571423E-2</v>
      </c>
      <c r="AG549" s="197">
        <f t="shared" si="401"/>
        <v>0.25553571428571431</v>
      </c>
      <c r="AH549" s="197">
        <f t="shared" si="368"/>
        <v>0.11660930017110901</v>
      </c>
      <c r="AI549" s="197">
        <f t="shared" si="402"/>
        <v>0.11660930017110901</v>
      </c>
      <c r="AJ549" s="218">
        <f t="shared" si="369"/>
        <v>390.00000000000006</v>
      </c>
      <c r="AK549" s="197">
        <f t="shared" si="403"/>
        <v>6.0930617977437734E-2</v>
      </c>
      <c r="AL549" s="197">
        <f t="shared" si="404"/>
        <v>9.6203707235237593E-2</v>
      </c>
      <c r="AM549" s="197">
        <f t="shared" si="405"/>
        <v>4.0790371867740751E-3</v>
      </c>
      <c r="AN549" s="197">
        <f t="shared" si="370"/>
        <v>24.05</v>
      </c>
      <c r="AO549" s="197">
        <f t="shared" si="371"/>
        <v>21.69</v>
      </c>
      <c r="AP549" s="197">
        <f t="shared" si="406"/>
        <v>7.4093290390420161E-2</v>
      </c>
      <c r="AQ549" s="197">
        <f t="shared" si="407"/>
        <v>0.42250439890466829</v>
      </c>
      <c r="AR549" s="197">
        <f t="shared" si="408"/>
        <v>0.30589509873355925</v>
      </c>
      <c r="AS549" s="258">
        <f t="shared" si="409"/>
        <v>0.15228632177729159</v>
      </c>
      <c r="AT549" s="197">
        <f t="shared" si="372"/>
        <v>2.5974058656511614E-4</v>
      </c>
      <c r="AU549" s="194">
        <f t="shared" si="373"/>
        <v>21.19</v>
      </c>
      <c r="AV549" s="197">
        <f t="shared" si="374"/>
        <v>2.7E-2</v>
      </c>
      <c r="AW549" s="197">
        <f t="shared" si="375"/>
        <v>3.4260000000000002E-3</v>
      </c>
      <c r="AX549" s="197">
        <f t="shared" si="410"/>
        <v>6.1668000000000001E-2</v>
      </c>
      <c r="AY549" s="197">
        <f t="shared" si="376"/>
        <v>2.8867476000000005E-3</v>
      </c>
      <c r="AZ549" s="197">
        <f t="shared" si="377"/>
        <v>0</v>
      </c>
      <c r="BA549" s="197">
        <f t="shared" si="411"/>
        <v>7.2596940000000013E-2</v>
      </c>
      <c r="BB549" s="258">
        <f t="shared" si="378"/>
        <v>0.36575210336206115</v>
      </c>
      <c r="BC549" s="197">
        <f t="shared" si="379"/>
        <v>2.2380490766334034E-2</v>
      </c>
      <c r="BD549" s="197">
        <f t="shared" si="412"/>
        <v>4.4760981532668068E-3</v>
      </c>
      <c r="BE549" s="197">
        <f t="shared" si="413"/>
        <v>2.6856588919600841E-2</v>
      </c>
      <c r="BF549" s="197">
        <f t="shared" si="380"/>
        <v>0.20773291256157633</v>
      </c>
      <c r="BG549" s="197">
        <f t="shared" si="381"/>
        <v>5.4608303342508187E-4</v>
      </c>
      <c r="BH549" s="197">
        <f t="shared" si="382"/>
        <v>3.5336687086656722E-2</v>
      </c>
      <c r="BI549" s="197">
        <f t="shared" si="414"/>
        <v>0.44730899017824427</v>
      </c>
      <c r="BJ549" s="197">
        <f t="shared" si="383"/>
        <v>6.769615024661003</v>
      </c>
      <c r="BK549" s="288">
        <f t="shared" si="384"/>
        <v>0.93392401361838984</v>
      </c>
      <c r="BL549" s="197">
        <f t="shared" si="385"/>
        <v>0.37608972359227794</v>
      </c>
      <c r="BM549" s="197">
        <f t="shared" si="386"/>
        <v>7.4353030976985271E-2</v>
      </c>
      <c r="BN549" s="197">
        <f t="shared" si="387"/>
        <v>54.461181858619113</v>
      </c>
      <c r="BO549" s="197">
        <f t="shared" si="415"/>
        <v>0.2082789955950014</v>
      </c>
      <c r="BP549" s="197">
        <f t="shared" si="388"/>
        <v>65.620924669625111</v>
      </c>
      <c r="BQ549" s="197">
        <f t="shared" si="389"/>
        <v>9.9596940000000009E-2</v>
      </c>
      <c r="BR549" s="288">
        <f t="shared" si="390"/>
        <v>0.16008975919012108</v>
      </c>
      <c r="BS549" s="197">
        <f t="shared" si="391"/>
        <v>0.11660930017110901</v>
      </c>
      <c r="BT549" s="197">
        <f t="shared" si="392"/>
        <v>0.36419974881911377</v>
      </c>
      <c r="BU549" s="197">
        <f t="shared" si="393"/>
        <v>0.1713930788771201</v>
      </c>
      <c r="BV549" s="197">
        <f t="shared" si="394"/>
        <v>0.53530306917875781</v>
      </c>
      <c r="BW549" s="194"/>
      <c r="BX549" s="194"/>
      <c r="BY549" s="194"/>
      <c r="BZ549" s="194"/>
      <c r="CA549" s="194"/>
      <c r="CB549" s="194"/>
      <c r="CC549" s="194"/>
      <c r="CD549" s="194"/>
      <c r="CE549" s="194"/>
      <c r="CF549" s="194"/>
      <c r="CG549" s="194"/>
      <c r="CH549" s="194"/>
      <c r="CI549" s="194"/>
      <c r="CJ549" s="194"/>
      <c r="CK549" s="194"/>
      <c r="CL549" s="194"/>
      <c r="CM549" s="194"/>
      <c r="CN549" s="194"/>
      <c r="CO549" s="194"/>
      <c r="CP549" s="194"/>
      <c r="CQ549" s="194"/>
      <c r="CR549" s="194"/>
      <c r="CS549" s="194"/>
      <c r="CT549" s="194"/>
      <c r="CU549" s="194"/>
      <c r="CV549" s="194"/>
      <c r="CW549" s="194"/>
      <c r="CX549" s="194"/>
      <c r="CY549" s="194"/>
      <c r="CZ549" s="194"/>
      <c r="DA549" s="194"/>
      <c r="DB549" s="194"/>
      <c r="DC549" s="194"/>
      <c r="DD549" s="194"/>
      <c r="DE549" s="194"/>
      <c r="DF549" s="194"/>
    </row>
    <row r="550" spans="2:110" s="192" customFormat="1" hidden="1" x14ac:dyDescent="0.35">
      <c r="B550" s="289"/>
      <c r="C550" s="289"/>
      <c r="Q550" s="193"/>
      <c r="R550" s="194">
        <f t="shared" si="395"/>
        <v>18</v>
      </c>
      <c r="S550" s="197">
        <f t="shared" si="361"/>
        <v>0.3888888888888889</v>
      </c>
      <c r="T550" s="194">
        <f t="shared" si="416"/>
        <v>0.69</v>
      </c>
      <c r="U550" s="194">
        <f t="shared" si="417"/>
        <v>1.4999999999999999E-4</v>
      </c>
      <c r="V550" s="197">
        <f t="shared" si="396"/>
        <v>0.3888888888888889</v>
      </c>
      <c r="W550" s="197">
        <f t="shared" si="362"/>
        <v>4.3555555555555561E-3</v>
      </c>
      <c r="X550" s="286">
        <f t="shared" si="363"/>
        <v>1</v>
      </c>
      <c r="Y550" s="286">
        <f t="shared" si="364"/>
        <v>0.17335969315081967</v>
      </c>
      <c r="Z550" s="286">
        <f t="shared" si="365"/>
        <v>0.54964853345132902</v>
      </c>
      <c r="AA550" s="286">
        <f t="shared" si="397"/>
        <v>0.17335969315081967</v>
      </c>
      <c r="AB550" s="197">
        <f t="shared" si="366"/>
        <v>0.36419974881911377</v>
      </c>
      <c r="AC550" s="287">
        <f t="shared" si="367"/>
        <v>4.4451203372005044E-7</v>
      </c>
      <c r="AD550" s="197">
        <f t="shared" si="398"/>
        <v>11.693936048110356</v>
      </c>
      <c r="AE550" s="197">
        <f t="shared" si="399"/>
        <v>35.08180814433107</v>
      </c>
      <c r="AF550" s="197">
        <f t="shared" si="400"/>
        <v>8.5178571428571423E-2</v>
      </c>
      <c r="AG550" s="197">
        <f t="shared" si="401"/>
        <v>0.25553571428571431</v>
      </c>
      <c r="AH550" s="197">
        <f t="shared" si="368"/>
        <v>0.11660930017110901</v>
      </c>
      <c r="AI550" s="197">
        <f t="shared" si="402"/>
        <v>0.11660930017110901</v>
      </c>
      <c r="AJ550" s="218">
        <f t="shared" si="369"/>
        <v>390.00000000000006</v>
      </c>
      <c r="AK550" s="197">
        <f t="shared" si="403"/>
        <v>6.0930617977437734E-2</v>
      </c>
      <c r="AL550" s="197">
        <f t="shared" si="404"/>
        <v>9.6203707235237593E-2</v>
      </c>
      <c r="AM550" s="197">
        <f t="shared" si="405"/>
        <v>4.0790371867740751E-3</v>
      </c>
      <c r="AN550" s="197">
        <f t="shared" si="370"/>
        <v>24.05</v>
      </c>
      <c r="AO550" s="197">
        <f t="shared" si="371"/>
        <v>21.69</v>
      </c>
      <c r="AP550" s="197">
        <f t="shared" si="406"/>
        <v>7.4093290390420161E-2</v>
      </c>
      <c r="AQ550" s="197">
        <f t="shared" si="407"/>
        <v>0.42250439890466829</v>
      </c>
      <c r="AR550" s="197">
        <f t="shared" si="408"/>
        <v>0.30589509873355925</v>
      </c>
      <c r="AS550" s="258">
        <f t="shared" si="409"/>
        <v>0.15228632177729159</v>
      </c>
      <c r="AT550" s="197">
        <f t="shared" si="372"/>
        <v>2.5974058656511614E-4</v>
      </c>
      <c r="AU550" s="194">
        <f t="shared" si="373"/>
        <v>21.19</v>
      </c>
      <c r="AV550" s="197">
        <f t="shared" si="374"/>
        <v>2.7E-2</v>
      </c>
      <c r="AW550" s="197">
        <f t="shared" si="375"/>
        <v>3.4260000000000002E-3</v>
      </c>
      <c r="AX550" s="197">
        <f t="shared" si="410"/>
        <v>6.1668000000000001E-2</v>
      </c>
      <c r="AY550" s="197">
        <f t="shared" si="376"/>
        <v>2.8867476000000005E-3</v>
      </c>
      <c r="AZ550" s="197">
        <f t="shared" si="377"/>
        <v>0</v>
      </c>
      <c r="BA550" s="197">
        <f t="shared" si="411"/>
        <v>7.2596940000000013E-2</v>
      </c>
      <c r="BB550" s="258">
        <f t="shared" si="378"/>
        <v>0.36575210336206115</v>
      </c>
      <c r="BC550" s="197">
        <f t="shared" si="379"/>
        <v>2.2380490766334034E-2</v>
      </c>
      <c r="BD550" s="197">
        <f t="shared" si="412"/>
        <v>4.4760981532668068E-3</v>
      </c>
      <c r="BE550" s="197">
        <f t="shared" si="413"/>
        <v>2.6856588919600841E-2</v>
      </c>
      <c r="BF550" s="197">
        <f t="shared" si="380"/>
        <v>0.20773291256157633</v>
      </c>
      <c r="BG550" s="197">
        <f t="shared" si="381"/>
        <v>5.4608303342508187E-4</v>
      </c>
      <c r="BH550" s="197">
        <f t="shared" si="382"/>
        <v>3.5336687086656722E-2</v>
      </c>
      <c r="BI550" s="197">
        <f t="shared" si="414"/>
        <v>0.44730899017824427</v>
      </c>
      <c r="BJ550" s="197">
        <f t="shared" si="383"/>
        <v>6.769615024661003</v>
      </c>
      <c r="BK550" s="288">
        <f t="shared" si="384"/>
        <v>0.93392401361838984</v>
      </c>
      <c r="BL550" s="197">
        <f t="shared" si="385"/>
        <v>0.37608972359227794</v>
      </c>
      <c r="BM550" s="197">
        <f t="shared" si="386"/>
        <v>7.4353030976985271E-2</v>
      </c>
      <c r="BN550" s="197">
        <f t="shared" si="387"/>
        <v>54.461181858619113</v>
      </c>
      <c r="BO550" s="197">
        <f t="shared" si="415"/>
        <v>0.2082789955950014</v>
      </c>
      <c r="BP550" s="197">
        <f t="shared" si="388"/>
        <v>65.620924669625111</v>
      </c>
      <c r="BQ550" s="197">
        <f t="shared" si="389"/>
        <v>9.9596940000000009E-2</v>
      </c>
      <c r="BR550" s="288">
        <f t="shared" si="390"/>
        <v>0.16008975919012108</v>
      </c>
      <c r="BS550" s="197">
        <f t="shared" si="391"/>
        <v>0.11660930017110901</v>
      </c>
      <c r="BT550" s="197">
        <f t="shared" si="392"/>
        <v>0.36419974881911377</v>
      </c>
      <c r="BU550" s="197">
        <f t="shared" si="393"/>
        <v>0.1713930788771201</v>
      </c>
      <c r="BV550" s="197">
        <f t="shared" si="394"/>
        <v>0.53530306917875781</v>
      </c>
      <c r="BW550" s="194"/>
      <c r="BX550" s="194"/>
      <c r="BY550" s="194"/>
      <c r="BZ550" s="194"/>
      <c r="CA550" s="194"/>
      <c r="CB550" s="194"/>
      <c r="CC550" s="194"/>
      <c r="CD550" s="194"/>
      <c r="CE550" s="194"/>
      <c r="CF550" s="194"/>
      <c r="CG550" s="194"/>
      <c r="CH550" s="194"/>
      <c r="CI550" s="194"/>
      <c r="CJ550" s="194"/>
      <c r="CK550" s="194"/>
      <c r="CL550" s="194"/>
      <c r="CM550" s="194"/>
      <c r="CN550" s="194"/>
      <c r="CO550" s="194"/>
      <c r="CP550" s="194"/>
      <c r="CQ550" s="194"/>
      <c r="CR550" s="194"/>
      <c r="CS550" s="194"/>
      <c r="CT550" s="194"/>
      <c r="CU550" s="194"/>
      <c r="CV550" s="194"/>
      <c r="CW550" s="194"/>
      <c r="CX550" s="194"/>
      <c r="CY550" s="194"/>
      <c r="CZ550" s="194"/>
      <c r="DA550" s="194"/>
      <c r="DB550" s="194"/>
      <c r="DC550" s="194"/>
      <c r="DD550" s="194"/>
      <c r="DE550" s="194"/>
      <c r="DF550" s="194"/>
    </row>
    <row r="551" spans="2:110" s="192" customFormat="1" hidden="1" x14ac:dyDescent="0.35">
      <c r="B551" s="289"/>
      <c r="C551" s="289"/>
      <c r="Q551" s="193"/>
      <c r="R551" s="194">
        <f t="shared" si="395"/>
        <v>18</v>
      </c>
      <c r="S551" s="197">
        <f t="shared" si="361"/>
        <v>0.3888888888888889</v>
      </c>
      <c r="T551" s="194">
        <f t="shared" si="416"/>
        <v>0.69</v>
      </c>
      <c r="U551" s="194">
        <f t="shared" si="417"/>
        <v>1.4999999999999999E-4</v>
      </c>
      <c r="V551" s="197">
        <f t="shared" si="396"/>
        <v>0.3888888888888889</v>
      </c>
      <c r="W551" s="197">
        <f t="shared" si="362"/>
        <v>4.3555555555555561E-3</v>
      </c>
      <c r="X551" s="286">
        <f t="shared" si="363"/>
        <v>1</v>
      </c>
      <c r="Y551" s="286">
        <f t="shared" si="364"/>
        <v>0.17335969315081967</v>
      </c>
      <c r="Z551" s="286">
        <f t="shared" si="365"/>
        <v>0.54964853345132902</v>
      </c>
      <c r="AA551" s="286">
        <f t="shared" si="397"/>
        <v>0.17335969315081967</v>
      </c>
      <c r="AB551" s="197">
        <f t="shared" si="366"/>
        <v>0.36419974881911377</v>
      </c>
      <c r="AC551" s="287">
        <f t="shared" si="367"/>
        <v>4.4451203372005044E-7</v>
      </c>
      <c r="AD551" s="197">
        <f t="shared" si="398"/>
        <v>11.693936048110356</v>
      </c>
      <c r="AE551" s="197">
        <f t="shared" si="399"/>
        <v>35.08180814433107</v>
      </c>
      <c r="AF551" s="197">
        <f t="shared" si="400"/>
        <v>8.5178571428571423E-2</v>
      </c>
      <c r="AG551" s="197">
        <f t="shared" si="401"/>
        <v>0.25553571428571431</v>
      </c>
      <c r="AH551" s="197">
        <f t="shared" si="368"/>
        <v>0.11660930017110901</v>
      </c>
      <c r="AI551" s="197">
        <f t="shared" si="402"/>
        <v>0.11660930017110901</v>
      </c>
      <c r="AJ551" s="218">
        <f t="shared" si="369"/>
        <v>390.00000000000006</v>
      </c>
      <c r="AK551" s="197">
        <f t="shared" si="403"/>
        <v>6.0930617977437734E-2</v>
      </c>
      <c r="AL551" s="197">
        <f t="shared" si="404"/>
        <v>9.6203707235237593E-2</v>
      </c>
      <c r="AM551" s="197">
        <f t="shared" si="405"/>
        <v>4.0790371867740751E-3</v>
      </c>
      <c r="AN551" s="197">
        <f t="shared" si="370"/>
        <v>24.05</v>
      </c>
      <c r="AO551" s="197">
        <f t="shared" si="371"/>
        <v>21.69</v>
      </c>
      <c r="AP551" s="197">
        <f t="shared" si="406"/>
        <v>7.4093290390420161E-2</v>
      </c>
      <c r="AQ551" s="197">
        <f t="shared" si="407"/>
        <v>0.42250439890466829</v>
      </c>
      <c r="AR551" s="197">
        <f t="shared" si="408"/>
        <v>0.30589509873355925</v>
      </c>
      <c r="AS551" s="258">
        <f t="shared" si="409"/>
        <v>0.15228632177729159</v>
      </c>
      <c r="AT551" s="197">
        <f t="shared" si="372"/>
        <v>2.5974058656511614E-4</v>
      </c>
      <c r="AU551" s="194">
        <f t="shared" si="373"/>
        <v>21.19</v>
      </c>
      <c r="AV551" s="197">
        <f t="shared" si="374"/>
        <v>2.7E-2</v>
      </c>
      <c r="AW551" s="197">
        <f t="shared" si="375"/>
        <v>3.4260000000000002E-3</v>
      </c>
      <c r="AX551" s="197">
        <f t="shared" si="410"/>
        <v>6.1668000000000001E-2</v>
      </c>
      <c r="AY551" s="197">
        <f t="shared" si="376"/>
        <v>2.8867476000000005E-3</v>
      </c>
      <c r="AZ551" s="197">
        <f t="shared" si="377"/>
        <v>0</v>
      </c>
      <c r="BA551" s="197">
        <f t="shared" si="411"/>
        <v>7.2596940000000013E-2</v>
      </c>
      <c r="BB551" s="258">
        <f t="shared" si="378"/>
        <v>0.36575210336206115</v>
      </c>
      <c r="BC551" s="197">
        <f t="shared" si="379"/>
        <v>2.2380490766334034E-2</v>
      </c>
      <c r="BD551" s="197">
        <f t="shared" si="412"/>
        <v>4.4760981532668068E-3</v>
      </c>
      <c r="BE551" s="197">
        <f t="shared" si="413"/>
        <v>2.6856588919600841E-2</v>
      </c>
      <c r="BF551" s="197">
        <f t="shared" si="380"/>
        <v>0.20773291256157633</v>
      </c>
      <c r="BG551" s="197">
        <f t="shared" si="381"/>
        <v>5.4608303342508187E-4</v>
      </c>
      <c r="BH551" s="197">
        <f t="shared" si="382"/>
        <v>3.5336687086656722E-2</v>
      </c>
      <c r="BI551" s="197">
        <f t="shared" si="414"/>
        <v>0.44730899017824427</v>
      </c>
      <c r="BJ551" s="197">
        <f t="shared" si="383"/>
        <v>6.769615024661003</v>
      </c>
      <c r="BK551" s="288">
        <f t="shared" si="384"/>
        <v>0.93392401361838984</v>
      </c>
      <c r="BL551" s="197">
        <f t="shared" si="385"/>
        <v>0.37608972359227794</v>
      </c>
      <c r="BM551" s="197">
        <f t="shared" si="386"/>
        <v>7.4353030976985271E-2</v>
      </c>
      <c r="BN551" s="197">
        <f t="shared" si="387"/>
        <v>54.461181858619113</v>
      </c>
      <c r="BO551" s="197">
        <f t="shared" si="415"/>
        <v>0.2082789955950014</v>
      </c>
      <c r="BP551" s="197">
        <f t="shared" si="388"/>
        <v>65.620924669625111</v>
      </c>
      <c r="BQ551" s="197">
        <f t="shared" si="389"/>
        <v>9.9596940000000009E-2</v>
      </c>
      <c r="BR551" s="288">
        <f t="shared" si="390"/>
        <v>0.16008975919012108</v>
      </c>
      <c r="BS551" s="197">
        <f t="shared" si="391"/>
        <v>0.11660930017110901</v>
      </c>
      <c r="BT551" s="197">
        <f t="shared" si="392"/>
        <v>0.36419974881911377</v>
      </c>
      <c r="BU551" s="197">
        <f t="shared" si="393"/>
        <v>0.1713930788771201</v>
      </c>
      <c r="BV551" s="197">
        <f t="shared" si="394"/>
        <v>0.53530306917875781</v>
      </c>
      <c r="BW551" s="194"/>
      <c r="BX551" s="194"/>
      <c r="BY551" s="194"/>
      <c r="BZ551" s="194"/>
      <c r="CA551" s="194"/>
      <c r="CB551" s="194"/>
      <c r="CC551" s="194"/>
      <c r="CD551" s="194"/>
      <c r="CE551" s="194"/>
      <c r="CF551" s="194"/>
      <c r="CG551" s="194"/>
      <c r="CH551" s="194"/>
      <c r="CI551" s="194"/>
      <c r="CJ551" s="194"/>
      <c r="CK551" s="194"/>
      <c r="CL551" s="194"/>
      <c r="CM551" s="194"/>
      <c r="CN551" s="194"/>
      <c r="CO551" s="194"/>
      <c r="CP551" s="194"/>
      <c r="CQ551" s="194"/>
      <c r="CR551" s="194"/>
      <c r="CS551" s="194"/>
      <c r="CT551" s="194"/>
      <c r="CU551" s="194"/>
      <c r="CV551" s="194"/>
      <c r="CW551" s="194"/>
      <c r="CX551" s="194"/>
      <c r="CY551" s="194"/>
      <c r="CZ551" s="194"/>
      <c r="DA551" s="194"/>
      <c r="DB551" s="194"/>
      <c r="DC551" s="194"/>
      <c r="DD551" s="194"/>
      <c r="DE551" s="194"/>
      <c r="DF551" s="194"/>
    </row>
    <row r="552" spans="2:110" s="192" customFormat="1" hidden="1" x14ac:dyDescent="0.35">
      <c r="B552" s="289"/>
      <c r="C552" s="289"/>
      <c r="Q552" s="193"/>
      <c r="R552" s="194">
        <f t="shared" si="395"/>
        <v>18</v>
      </c>
      <c r="S552" s="197">
        <f t="shared" si="361"/>
        <v>0.3888888888888889</v>
      </c>
      <c r="T552" s="194">
        <f t="shared" si="416"/>
        <v>0.69</v>
      </c>
      <c r="U552" s="194">
        <f t="shared" si="417"/>
        <v>1.4999999999999999E-4</v>
      </c>
      <c r="V552" s="197">
        <f t="shared" si="396"/>
        <v>0.3888888888888889</v>
      </c>
      <c r="W552" s="197">
        <f t="shared" si="362"/>
        <v>4.3555555555555561E-3</v>
      </c>
      <c r="X552" s="286">
        <f t="shared" si="363"/>
        <v>1</v>
      </c>
      <c r="Y552" s="286">
        <f t="shared" si="364"/>
        <v>0.17335969315081967</v>
      </c>
      <c r="Z552" s="286">
        <f t="shared" si="365"/>
        <v>0.54964853345132902</v>
      </c>
      <c r="AA552" s="286">
        <f t="shared" si="397"/>
        <v>0.17335969315081967</v>
      </c>
      <c r="AB552" s="197">
        <f t="shared" si="366"/>
        <v>0.36419974881911377</v>
      </c>
      <c r="AC552" s="287">
        <f t="shared" si="367"/>
        <v>4.4451203372005044E-7</v>
      </c>
      <c r="AD552" s="197">
        <f t="shared" si="398"/>
        <v>11.693936048110356</v>
      </c>
      <c r="AE552" s="197">
        <f t="shared" si="399"/>
        <v>35.08180814433107</v>
      </c>
      <c r="AF552" s="197">
        <f t="shared" si="400"/>
        <v>8.5178571428571423E-2</v>
      </c>
      <c r="AG552" s="197">
        <f t="shared" si="401"/>
        <v>0.25553571428571431</v>
      </c>
      <c r="AH552" s="197">
        <f t="shared" si="368"/>
        <v>0.11660930017110901</v>
      </c>
      <c r="AI552" s="197">
        <f t="shared" si="402"/>
        <v>0.11660930017110901</v>
      </c>
      <c r="AJ552" s="218">
        <f t="shared" si="369"/>
        <v>390.00000000000006</v>
      </c>
      <c r="AK552" s="197">
        <f t="shared" si="403"/>
        <v>6.0930617977437734E-2</v>
      </c>
      <c r="AL552" s="197">
        <f t="shared" si="404"/>
        <v>9.6203707235237593E-2</v>
      </c>
      <c r="AM552" s="197">
        <f t="shared" si="405"/>
        <v>4.0790371867740751E-3</v>
      </c>
      <c r="AN552" s="197">
        <f t="shared" si="370"/>
        <v>24.05</v>
      </c>
      <c r="AO552" s="197">
        <f t="shared" si="371"/>
        <v>21.69</v>
      </c>
      <c r="AP552" s="197">
        <f t="shared" si="406"/>
        <v>7.4093290390420161E-2</v>
      </c>
      <c r="AQ552" s="197">
        <f t="shared" si="407"/>
        <v>0.42250439890466829</v>
      </c>
      <c r="AR552" s="197">
        <f t="shared" si="408"/>
        <v>0.30589509873355925</v>
      </c>
      <c r="AS552" s="258">
        <f t="shared" si="409"/>
        <v>0.15228632177729159</v>
      </c>
      <c r="AT552" s="197">
        <f t="shared" si="372"/>
        <v>2.5974058656511614E-4</v>
      </c>
      <c r="AU552" s="194">
        <f t="shared" si="373"/>
        <v>21.19</v>
      </c>
      <c r="AV552" s="197">
        <f t="shared" si="374"/>
        <v>2.7E-2</v>
      </c>
      <c r="AW552" s="197">
        <f t="shared" si="375"/>
        <v>3.4260000000000002E-3</v>
      </c>
      <c r="AX552" s="197">
        <f t="shared" si="410"/>
        <v>6.1668000000000001E-2</v>
      </c>
      <c r="AY552" s="197">
        <f t="shared" si="376"/>
        <v>2.8867476000000005E-3</v>
      </c>
      <c r="AZ552" s="197">
        <f t="shared" si="377"/>
        <v>0</v>
      </c>
      <c r="BA552" s="197">
        <f t="shared" si="411"/>
        <v>7.2596940000000013E-2</v>
      </c>
      <c r="BB552" s="258">
        <f t="shared" si="378"/>
        <v>0.36575210336206115</v>
      </c>
      <c r="BC552" s="197">
        <f t="shared" si="379"/>
        <v>2.2380490766334034E-2</v>
      </c>
      <c r="BD552" s="197">
        <f t="shared" si="412"/>
        <v>4.4760981532668068E-3</v>
      </c>
      <c r="BE552" s="197">
        <f t="shared" si="413"/>
        <v>2.6856588919600841E-2</v>
      </c>
      <c r="BF552" s="197">
        <f t="shared" si="380"/>
        <v>0.20773291256157633</v>
      </c>
      <c r="BG552" s="197">
        <f t="shared" si="381"/>
        <v>5.4608303342508187E-4</v>
      </c>
      <c r="BH552" s="197">
        <f t="shared" si="382"/>
        <v>3.5336687086656722E-2</v>
      </c>
      <c r="BI552" s="197">
        <f t="shared" si="414"/>
        <v>0.44730899017824427</v>
      </c>
      <c r="BJ552" s="197">
        <f t="shared" si="383"/>
        <v>6.769615024661003</v>
      </c>
      <c r="BK552" s="288">
        <f t="shared" si="384"/>
        <v>0.93392401361838984</v>
      </c>
      <c r="BL552" s="197">
        <f t="shared" si="385"/>
        <v>0.37608972359227794</v>
      </c>
      <c r="BM552" s="197">
        <f t="shared" si="386"/>
        <v>7.4353030976985271E-2</v>
      </c>
      <c r="BN552" s="197">
        <f t="shared" si="387"/>
        <v>54.461181858619113</v>
      </c>
      <c r="BO552" s="197">
        <f t="shared" si="415"/>
        <v>0.2082789955950014</v>
      </c>
      <c r="BP552" s="197">
        <f t="shared" si="388"/>
        <v>65.620924669625111</v>
      </c>
      <c r="BQ552" s="197">
        <f t="shared" si="389"/>
        <v>9.9596940000000009E-2</v>
      </c>
      <c r="BR552" s="288">
        <f t="shared" si="390"/>
        <v>0.16008975919012108</v>
      </c>
      <c r="BS552" s="197">
        <f t="shared" si="391"/>
        <v>0.11660930017110901</v>
      </c>
      <c r="BT552" s="197">
        <f t="shared" si="392"/>
        <v>0.36419974881911377</v>
      </c>
      <c r="BU552" s="197">
        <f t="shared" si="393"/>
        <v>0.1713930788771201</v>
      </c>
      <c r="BV552" s="197">
        <f t="shared" si="394"/>
        <v>0.53530306917875781</v>
      </c>
      <c r="BW552" s="194"/>
      <c r="BX552" s="194"/>
      <c r="BY552" s="194"/>
      <c r="BZ552" s="194"/>
      <c r="CA552" s="194"/>
      <c r="CB552" s="194"/>
      <c r="CC552" s="194"/>
      <c r="CD552" s="194"/>
      <c r="CE552" s="194"/>
      <c r="CF552" s="194"/>
      <c r="CG552" s="194"/>
      <c r="CH552" s="194"/>
      <c r="CI552" s="194"/>
      <c r="CJ552" s="194"/>
      <c r="CK552" s="194"/>
      <c r="CL552" s="194"/>
      <c r="CM552" s="194"/>
      <c r="CN552" s="194"/>
      <c r="CO552" s="194"/>
      <c r="CP552" s="194"/>
      <c r="CQ552" s="194"/>
      <c r="CR552" s="194"/>
      <c r="CS552" s="194"/>
      <c r="CT552" s="194"/>
      <c r="CU552" s="194"/>
      <c r="CV552" s="194"/>
      <c r="CW552" s="194"/>
      <c r="CX552" s="194"/>
      <c r="CY552" s="194"/>
      <c r="CZ552" s="194"/>
      <c r="DA552" s="194"/>
      <c r="DB552" s="194"/>
      <c r="DC552" s="194"/>
      <c r="DD552" s="194"/>
      <c r="DE552" s="194"/>
      <c r="DF552" s="194"/>
    </row>
    <row r="553" spans="2:110" s="192" customFormat="1" hidden="1" x14ac:dyDescent="0.35">
      <c r="B553" s="289"/>
      <c r="C553" s="289"/>
      <c r="Q553" s="193"/>
      <c r="R553" s="194">
        <f t="shared" si="395"/>
        <v>18</v>
      </c>
      <c r="S553" s="197">
        <f t="shared" si="361"/>
        <v>0.3888888888888889</v>
      </c>
      <c r="T553" s="194">
        <f t="shared" si="416"/>
        <v>0.69</v>
      </c>
      <c r="U553" s="194">
        <f t="shared" si="417"/>
        <v>1.4999999999999999E-4</v>
      </c>
      <c r="V553" s="197">
        <f t="shared" si="396"/>
        <v>0.3888888888888889</v>
      </c>
      <c r="W553" s="197">
        <f t="shared" si="362"/>
        <v>4.3555555555555561E-3</v>
      </c>
      <c r="X553" s="286">
        <f t="shared" si="363"/>
        <v>1</v>
      </c>
      <c r="Y553" s="286">
        <f t="shared" si="364"/>
        <v>0.17335969315081967</v>
      </c>
      <c r="Z553" s="286">
        <f t="shared" si="365"/>
        <v>0.54964853345132902</v>
      </c>
      <c r="AA553" s="286">
        <f t="shared" si="397"/>
        <v>0.17335969315081967</v>
      </c>
      <c r="AB553" s="197">
        <f t="shared" si="366"/>
        <v>0.36419974881911377</v>
      </c>
      <c r="AC553" s="287">
        <f t="shared" si="367"/>
        <v>4.4451203372005044E-7</v>
      </c>
      <c r="AD553" s="197">
        <f t="shared" si="398"/>
        <v>11.693936048110356</v>
      </c>
      <c r="AE553" s="197">
        <f t="shared" si="399"/>
        <v>35.08180814433107</v>
      </c>
      <c r="AF553" s="197">
        <f t="shared" si="400"/>
        <v>8.5178571428571423E-2</v>
      </c>
      <c r="AG553" s="197">
        <f t="shared" si="401"/>
        <v>0.25553571428571431</v>
      </c>
      <c r="AH553" s="197">
        <f t="shared" si="368"/>
        <v>0.11660930017110901</v>
      </c>
      <c r="AI553" s="197">
        <f t="shared" si="402"/>
        <v>0.11660930017110901</v>
      </c>
      <c r="AJ553" s="218">
        <f t="shared" si="369"/>
        <v>390.00000000000006</v>
      </c>
      <c r="AK553" s="197">
        <f t="shared" si="403"/>
        <v>6.0930617977437734E-2</v>
      </c>
      <c r="AL553" s="197">
        <f t="shared" si="404"/>
        <v>9.6203707235237593E-2</v>
      </c>
      <c r="AM553" s="197">
        <f t="shared" si="405"/>
        <v>4.0790371867740751E-3</v>
      </c>
      <c r="AN553" s="197">
        <f t="shared" si="370"/>
        <v>24.05</v>
      </c>
      <c r="AO553" s="197">
        <f t="shared" si="371"/>
        <v>21.69</v>
      </c>
      <c r="AP553" s="197">
        <f t="shared" si="406"/>
        <v>7.4093290390420161E-2</v>
      </c>
      <c r="AQ553" s="197">
        <f t="shared" si="407"/>
        <v>0.42250439890466829</v>
      </c>
      <c r="AR553" s="197">
        <f t="shared" si="408"/>
        <v>0.30589509873355925</v>
      </c>
      <c r="AS553" s="258">
        <f t="shared" si="409"/>
        <v>0.15228632177729159</v>
      </c>
      <c r="AT553" s="197">
        <f t="shared" si="372"/>
        <v>2.5974058656511614E-4</v>
      </c>
      <c r="AU553" s="194">
        <f t="shared" si="373"/>
        <v>21.19</v>
      </c>
      <c r="AV553" s="197">
        <f t="shared" si="374"/>
        <v>2.7E-2</v>
      </c>
      <c r="AW553" s="197">
        <f t="shared" si="375"/>
        <v>3.4260000000000002E-3</v>
      </c>
      <c r="AX553" s="197">
        <f t="shared" si="410"/>
        <v>6.1668000000000001E-2</v>
      </c>
      <c r="AY553" s="197">
        <f t="shared" si="376"/>
        <v>2.8867476000000005E-3</v>
      </c>
      <c r="AZ553" s="197">
        <f t="shared" si="377"/>
        <v>0</v>
      </c>
      <c r="BA553" s="197">
        <f t="shared" si="411"/>
        <v>7.2596940000000013E-2</v>
      </c>
      <c r="BB553" s="258">
        <f t="shared" si="378"/>
        <v>0.36575210336206115</v>
      </c>
      <c r="BC553" s="197">
        <f t="shared" si="379"/>
        <v>2.2380490766334034E-2</v>
      </c>
      <c r="BD553" s="197">
        <f t="shared" si="412"/>
        <v>4.4760981532668068E-3</v>
      </c>
      <c r="BE553" s="197">
        <f t="shared" si="413"/>
        <v>2.6856588919600841E-2</v>
      </c>
      <c r="BF553" s="197">
        <f t="shared" si="380"/>
        <v>0.20773291256157633</v>
      </c>
      <c r="BG553" s="197">
        <f t="shared" si="381"/>
        <v>5.4608303342508187E-4</v>
      </c>
      <c r="BH553" s="197">
        <f t="shared" si="382"/>
        <v>3.5336687086656722E-2</v>
      </c>
      <c r="BI553" s="197">
        <f t="shared" si="414"/>
        <v>0.44730899017824427</v>
      </c>
      <c r="BJ553" s="197">
        <f t="shared" si="383"/>
        <v>6.769615024661003</v>
      </c>
      <c r="BK553" s="288">
        <f t="shared" si="384"/>
        <v>0.93392401361838984</v>
      </c>
      <c r="BL553" s="197">
        <f t="shared" si="385"/>
        <v>0.37608972359227794</v>
      </c>
      <c r="BM553" s="197">
        <f t="shared" si="386"/>
        <v>7.4353030976985271E-2</v>
      </c>
      <c r="BN553" s="197">
        <f t="shared" si="387"/>
        <v>54.461181858619113</v>
      </c>
      <c r="BO553" s="197">
        <f t="shared" si="415"/>
        <v>0.2082789955950014</v>
      </c>
      <c r="BP553" s="197">
        <f t="shared" si="388"/>
        <v>65.620924669625111</v>
      </c>
      <c r="BQ553" s="197">
        <f t="shared" si="389"/>
        <v>9.9596940000000009E-2</v>
      </c>
      <c r="BR553" s="288">
        <f t="shared" si="390"/>
        <v>0.16008975919012108</v>
      </c>
      <c r="BS553" s="197">
        <f t="shared" si="391"/>
        <v>0.11660930017110901</v>
      </c>
      <c r="BT553" s="197">
        <f t="shared" si="392"/>
        <v>0.36419974881911377</v>
      </c>
      <c r="BU553" s="197">
        <f t="shared" si="393"/>
        <v>0.1713930788771201</v>
      </c>
      <c r="BV553" s="197">
        <f t="shared" si="394"/>
        <v>0.53530306917875781</v>
      </c>
      <c r="BW553" s="194"/>
      <c r="BX553" s="194"/>
      <c r="BY553" s="194"/>
      <c r="BZ553" s="194"/>
      <c r="CA553" s="194"/>
      <c r="CB553" s="194"/>
      <c r="CC553" s="194"/>
      <c r="CD553" s="194"/>
      <c r="CE553" s="194"/>
      <c r="CF553" s="194"/>
      <c r="CG553" s="194"/>
      <c r="CH553" s="194"/>
      <c r="CI553" s="194"/>
      <c r="CJ553" s="194"/>
      <c r="CK553" s="194"/>
      <c r="CL553" s="194"/>
      <c r="CM553" s="194"/>
      <c r="CN553" s="194"/>
      <c r="CO553" s="194"/>
      <c r="CP553" s="194"/>
      <c r="CQ553" s="194"/>
      <c r="CR553" s="194"/>
      <c r="CS553" s="194"/>
      <c r="CT553" s="194"/>
      <c r="CU553" s="194"/>
      <c r="CV553" s="194"/>
      <c r="CW553" s="194"/>
      <c r="CX553" s="194"/>
      <c r="CY553" s="194"/>
      <c r="CZ553" s="194"/>
      <c r="DA553" s="194"/>
      <c r="DB553" s="194"/>
      <c r="DC553" s="194"/>
      <c r="DD553" s="194"/>
      <c r="DE553" s="194"/>
      <c r="DF553" s="194"/>
    </row>
    <row r="554" spans="2:110" s="192" customFormat="1" hidden="1" x14ac:dyDescent="0.35">
      <c r="B554" s="289"/>
      <c r="C554" s="289"/>
      <c r="Q554" s="193"/>
      <c r="R554" s="194">
        <f t="shared" si="395"/>
        <v>18</v>
      </c>
      <c r="S554" s="197">
        <f t="shared" si="361"/>
        <v>0.3888888888888889</v>
      </c>
      <c r="T554" s="194">
        <f t="shared" si="416"/>
        <v>0.69</v>
      </c>
      <c r="U554" s="194">
        <f t="shared" si="417"/>
        <v>1.4999999999999999E-4</v>
      </c>
      <c r="V554" s="197">
        <f t="shared" si="396"/>
        <v>0.3888888888888889</v>
      </c>
      <c r="W554" s="197">
        <f t="shared" si="362"/>
        <v>4.3555555555555561E-3</v>
      </c>
      <c r="X554" s="286">
        <f t="shared" si="363"/>
        <v>1</v>
      </c>
      <c r="Y554" s="286">
        <f t="shared" si="364"/>
        <v>0.17335969315081967</v>
      </c>
      <c r="Z554" s="286">
        <f t="shared" si="365"/>
        <v>0.54964853345132902</v>
      </c>
      <c r="AA554" s="286">
        <f t="shared" si="397"/>
        <v>0.17335969315081967</v>
      </c>
      <c r="AB554" s="197">
        <f t="shared" si="366"/>
        <v>0.36419974881911377</v>
      </c>
      <c r="AC554" s="287">
        <f t="shared" si="367"/>
        <v>4.4451203372005044E-7</v>
      </c>
      <c r="AD554" s="197">
        <f t="shared" si="398"/>
        <v>11.693936048110356</v>
      </c>
      <c r="AE554" s="197">
        <f t="shared" si="399"/>
        <v>35.08180814433107</v>
      </c>
      <c r="AF554" s="197">
        <f t="shared" si="400"/>
        <v>8.5178571428571423E-2</v>
      </c>
      <c r="AG554" s="197">
        <f t="shared" si="401"/>
        <v>0.25553571428571431</v>
      </c>
      <c r="AH554" s="197">
        <f t="shared" si="368"/>
        <v>0.11660930017110901</v>
      </c>
      <c r="AI554" s="197">
        <f t="shared" si="402"/>
        <v>0.11660930017110901</v>
      </c>
      <c r="AJ554" s="218">
        <f t="shared" si="369"/>
        <v>390.00000000000006</v>
      </c>
      <c r="AK554" s="197">
        <f t="shared" si="403"/>
        <v>6.0930617977437734E-2</v>
      </c>
      <c r="AL554" s="197">
        <f t="shared" si="404"/>
        <v>9.6203707235237593E-2</v>
      </c>
      <c r="AM554" s="197">
        <f t="shared" si="405"/>
        <v>4.0790371867740751E-3</v>
      </c>
      <c r="AN554" s="197">
        <f t="shared" si="370"/>
        <v>24.05</v>
      </c>
      <c r="AO554" s="197">
        <f t="shared" si="371"/>
        <v>21.69</v>
      </c>
      <c r="AP554" s="197">
        <f t="shared" si="406"/>
        <v>7.4093290390420161E-2</v>
      </c>
      <c r="AQ554" s="197">
        <f t="shared" si="407"/>
        <v>0.42250439890466829</v>
      </c>
      <c r="AR554" s="197">
        <f t="shared" si="408"/>
        <v>0.30589509873355925</v>
      </c>
      <c r="AS554" s="258">
        <f t="shared" si="409"/>
        <v>0.15228632177729159</v>
      </c>
      <c r="AT554" s="197">
        <f t="shared" si="372"/>
        <v>2.5974058656511614E-4</v>
      </c>
      <c r="AU554" s="194">
        <f t="shared" si="373"/>
        <v>21.19</v>
      </c>
      <c r="AV554" s="197">
        <f t="shared" si="374"/>
        <v>2.7E-2</v>
      </c>
      <c r="AW554" s="197">
        <f t="shared" si="375"/>
        <v>3.4260000000000002E-3</v>
      </c>
      <c r="AX554" s="197">
        <f t="shared" si="410"/>
        <v>6.1668000000000001E-2</v>
      </c>
      <c r="AY554" s="197">
        <f t="shared" si="376"/>
        <v>2.8867476000000005E-3</v>
      </c>
      <c r="AZ554" s="197">
        <f t="shared" si="377"/>
        <v>0</v>
      </c>
      <c r="BA554" s="197">
        <f t="shared" si="411"/>
        <v>7.2596940000000013E-2</v>
      </c>
      <c r="BB554" s="258">
        <f t="shared" si="378"/>
        <v>0.36575210336206115</v>
      </c>
      <c r="BC554" s="197">
        <f t="shared" si="379"/>
        <v>2.2380490766334034E-2</v>
      </c>
      <c r="BD554" s="197">
        <f t="shared" si="412"/>
        <v>4.4760981532668068E-3</v>
      </c>
      <c r="BE554" s="197">
        <f t="shared" si="413"/>
        <v>2.6856588919600841E-2</v>
      </c>
      <c r="BF554" s="197">
        <f t="shared" si="380"/>
        <v>0.20773291256157633</v>
      </c>
      <c r="BG554" s="197">
        <f t="shared" si="381"/>
        <v>5.4608303342508187E-4</v>
      </c>
      <c r="BH554" s="197">
        <f t="shared" si="382"/>
        <v>3.5336687086656722E-2</v>
      </c>
      <c r="BI554" s="197">
        <f t="shared" si="414"/>
        <v>0.44730899017824427</v>
      </c>
      <c r="BJ554" s="197">
        <f t="shared" si="383"/>
        <v>6.769615024661003</v>
      </c>
      <c r="BK554" s="288">
        <f t="shared" si="384"/>
        <v>0.93392401361838984</v>
      </c>
      <c r="BL554" s="197">
        <f t="shared" si="385"/>
        <v>0.37608972359227794</v>
      </c>
      <c r="BM554" s="197">
        <f t="shared" si="386"/>
        <v>7.4353030976985271E-2</v>
      </c>
      <c r="BN554" s="197">
        <f t="shared" si="387"/>
        <v>54.461181858619113</v>
      </c>
      <c r="BO554" s="197">
        <f t="shared" si="415"/>
        <v>0.2082789955950014</v>
      </c>
      <c r="BP554" s="197">
        <f t="shared" si="388"/>
        <v>65.620924669625111</v>
      </c>
      <c r="BQ554" s="197">
        <f t="shared" si="389"/>
        <v>9.9596940000000009E-2</v>
      </c>
      <c r="BR554" s="288">
        <f t="shared" si="390"/>
        <v>0.16008975919012108</v>
      </c>
      <c r="BS554" s="197">
        <f t="shared" si="391"/>
        <v>0.11660930017110901</v>
      </c>
      <c r="BT554" s="197">
        <f t="shared" si="392"/>
        <v>0.36419974881911377</v>
      </c>
      <c r="BU554" s="197">
        <f t="shared" si="393"/>
        <v>0.1713930788771201</v>
      </c>
      <c r="BV554" s="197">
        <f t="shared" si="394"/>
        <v>0.53530306917875781</v>
      </c>
      <c r="BW554" s="194"/>
      <c r="BX554" s="194"/>
      <c r="BY554" s="194"/>
      <c r="BZ554" s="194"/>
      <c r="CA554" s="194"/>
      <c r="CB554" s="194"/>
      <c r="CC554" s="194"/>
      <c r="CD554" s="194"/>
      <c r="CE554" s="194"/>
      <c r="CF554" s="194"/>
      <c r="CG554" s="194"/>
      <c r="CH554" s="194"/>
      <c r="CI554" s="194"/>
      <c r="CJ554" s="194"/>
      <c r="CK554" s="194"/>
      <c r="CL554" s="194"/>
      <c r="CM554" s="194"/>
      <c r="CN554" s="194"/>
      <c r="CO554" s="194"/>
      <c r="CP554" s="194"/>
      <c r="CQ554" s="194"/>
      <c r="CR554" s="194"/>
      <c r="CS554" s="194"/>
      <c r="CT554" s="194"/>
      <c r="CU554" s="194"/>
      <c r="CV554" s="194"/>
      <c r="CW554" s="194"/>
      <c r="CX554" s="194"/>
      <c r="CY554" s="194"/>
      <c r="CZ554" s="194"/>
      <c r="DA554" s="194"/>
      <c r="DB554" s="194"/>
      <c r="DC554" s="194"/>
      <c r="DD554" s="194"/>
      <c r="DE554" s="194"/>
      <c r="DF554" s="194"/>
    </row>
    <row r="555" spans="2:110" s="192" customFormat="1" hidden="1" x14ac:dyDescent="0.35">
      <c r="B555" s="289"/>
      <c r="C555" s="289"/>
      <c r="Q555" s="193"/>
      <c r="R555" s="194">
        <f t="shared" si="395"/>
        <v>18</v>
      </c>
      <c r="S555" s="197">
        <f t="shared" si="361"/>
        <v>0.3888888888888889</v>
      </c>
      <c r="T555" s="194">
        <f t="shared" si="416"/>
        <v>0.69</v>
      </c>
      <c r="U555" s="194">
        <f t="shared" si="417"/>
        <v>1.4999999999999999E-4</v>
      </c>
      <c r="V555" s="197">
        <f t="shared" si="396"/>
        <v>0.3888888888888889</v>
      </c>
      <c r="W555" s="197">
        <f t="shared" si="362"/>
        <v>4.3555555555555561E-3</v>
      </c>
      <c r="X555" s="286">
        <f t="shared" si="363"/>
        <v>1</v>
      </c>
      <c r="Y555" s="286">
        <f t="shared" si="364"/>
        <v>0.17335969315081967</v>
      </c>
      <c r="Z555" s="286">
        <f t="shared" si="365"/>
        <v>0.54964853345132902</v>
      </c>
      <c r="AA555" s="286">
        <f t="shared" si="397"/>
        <v>0.17335969315081967</v>
      </c>
      <c r="AB555" s="197">
        <f t="shared" si="366"/>
        <v>0.36419974881911377</v>
      </c>
      <c r="AC555" s="287">
        <f t="shared" si="367"/>
        <v>4.4451203372005044E-7</v>
      </c>
      <c r="AD555" s="197">
        <f t="shared" si="398"/>
        <v>11.693936048110356</v>
      </c>
      <c r="AE555" s="197">
        <f t="shared" si="399"/>
        <v>35.08180814433107</v>
      </c>
      <c r="AF555" s="197">
        <f t="shared" si="400"/>
        <v>8.5178571428571423E-2</v>
      </c>
      <c r="AG555" s="197">
        <f t="shared" si="401"/>
        <v>0.25553571428571431</v>
      </c>
      <c r="AH555" s="197">
        <f t="shared" si="368"/>
        <v>0.11660930017110901</v>
      </c>
      <c r="AI555" s="197">
        <f t="shared" si="402"/>
        <v>0.11660930017110901</v>
      </c>
      <c r="AJ555" s="218">
        <f t="shared" si="369"/>
        <v>390.00000000000006</v>
      </c>
      <c r="AK555" s="197">
        <f t="shared" si="403"/>
        <v>6.0930617977437734E-2</v>
      </c>
      <c r="AL555" s="197">
        <f t="shared" si="404"/>
        <v>9.6203707235237593E-2</v>
      </c>
      <c r="AM555" s="197">
        <f t="shared" si="405"/>
        <v>4.0790371867740751E-3</v>
      </c>
      <c r="AN555" s="197">
        <f t="shared" si="370"/>
        <v>24.05</v>
      </c>
      <c r="AO555" s="197">
        <f t="shared" si="371"/>
        <v>21.69</v>
      </c>
      <c r="AP555" s="197">
        <f t="shared" si="406"/>
        <v>7.4093290390420161E-2</v>
      </c>
      <c r="AQ555" s="197">
        <f t="shared" si="407"/>
        <v>0.42250439890466829</v>
      </c>
      <c r="AR555" s="197">
        <f t="shared" si="408"/>
        <v>0.30589509873355925</v>
      </c>
      <c r="AS555" s="258">
        <f t="shared" si="409"/>
        <v>0.15228632177729159</v>
      </c>
      <c r="AT555" s="197">
        <f t="shared" si="372"/>
        <v>2.5974058656511614E-4</v>
      </c>
      <c r="AU555" s="194">
        <f t="shared" si="373"/>
        <v>21.19</v>
      </c>
      <c r="AV555" s="197">
        <f t="shared" si="374"/>
        <v>2.7E-2</v>
      </c>
      <c r="AW555" s="197">
        <f t="shared" si="375"/>
        <v>3.4260000000000002E-3</v>
      </c>
      <c r="AX555" s="197">
        <f t="shared" si="410"/>
        <v>6.1668000000000001E-2</v>
      </c>
      <c r="AY555" s="197">
        <f t="shared" si="376"/>
        <v>2.8867476000000005E-3</v>
      </c>
      <c r="AZ555" s="197">
        <f t="shared" si="377"/>
        <v>0</v>
      </c>
      <c r="BA555" s="197">
        <f t="shared" si="411"/>
        <v>7.2596940000000013E-2</v>
      </c>
      <c r="BB555" s="258">
        <f t="shared" si="378"/>
        <v>0.36575210336206115</v>
      </c>
      <c r="BC555" s="197">
        <f t="shared" si="379"/>
        <v>2.2380490766334034E-2</v>
      </c>
      <c r="BD555" s="197">
        <f t="shared" si="412"/>
        <v>4.4760981532668068E-3</v>
      </c>
      <c r="BE555" s="197">
        <f t="shared" si="413"/>
        <v>2.6856588919600841E-2</v>
      </c>
      <c r="BF555" s="197">
        <f t="shared" si="380"/>
        <v>0.20773291256157633</v>
      </c>
      <c r="BG555" s="197">
        <f t="shared" si="381"/>
        <v>5.4608303342508187E-4</v>
      </c>
      <c r="BH555" s="197">
        <f t="shared" si="382"/>
        <v>3.5336687086656722E-2</v>
      </c>
      <c r="BI555" s="197">
        <f t="shared" si="414"/>
        <v>0.44730899017824427</v>
      </c>
      <c r="BJ555" s="197">
        <f t="shared" si="383"/>
        <v>6.769615024661003</v>
      </c>
      <c r="BK555" s="288">
        <f t="shared" si="384"/>
        <v>0.93392401361838984</v>
      </c>
      <c r="BL555" s="197">
        <f t="shared" si="385"/>
        <v>0.37608972359227794</v>
      </c>
      <c r="BM555" s="197">
        <f t="shared" si="386"/>
        <v>7.4353030976985271E-2</v>
      </c>
      <c r="BN555" s="197">
        <f t="shared" si="387"/>
        <v>54.461181858619113</v>
      </c>
      <c r="BO555" s="197">
        <f t="shared" si="415"/>
        <v>0.2082789955950014</v>
      </c>
      <c r="BP555" s="197">
        <f t="shared" si="388"/>
        <v>65.620924669625111</v>
      </c>
      <c r="BQ555" s="197">
        <f t="shared" si="389"/>
        <v>9.9596940000000009E-2</v>
      </c>
      <c r="BR555" s="288">
        <f t="shared" si="390"/>
        <v>0.16008975919012108</v>
      </c>
      <c r="BS555" s="197">
        <f t="shared" si="391"/>
        <v>0.11660930017110901</v>
      </c>
      <c r="BT555" s="197">
        <f t="shared" si="392"/>
        <v>0.36419974881911377</v>
      </c>
      <c r="BU555" s="197">
        <f t="shared" si="393"/>
        <v>0.1713930788771201</v>
      </c>
      <c r="BV555" s="197">
        <f t="shared" si="394"/>
        <v>0.53530306917875781</v>
      </c>
      <c r="BW555" s="194"/>
      <c r="BX555" s="194"/>
      <c r="BY555" s="194"/>
      <c r="BZ555" s="194"/>
      <c r="CA555" s="194"/>
      <c r="CB555" s="194"/>
      <c r="CC555" s="194"/>
      <c r="CD555" s="194"/>
      <c r="CE555" s="194"/>
      <c r="CF555" s="194"/>
      <c r="CG555" s="194"/>
      <c r="CH555" s="194"/>
      <c r="CI555" s="194"/>
      <c r="CJ555" s="194"/>
      <c r="CK555" s="194"/>
      <c r="CL555" s="194"/>
      <c r="CM555" s="194"/>
      <c r="CN555" s="194"/>
      <c r="CO555" s="194"/>
      <c r="CP555" s="194"/>
      <c r="CQ555" s="194"/>
      <c r="CR555" s="194"/>
      <c r="CS555" s="194"/>
      <c r="CT555" s="194"/>
      <c r="CU555" s="194"/>
      <c r="CV555" s="194"/>
      <c r="CW555" s="194"/>
      <c r="CX555" s="194"/>
      <c r="CY555" s="194"/>
      <c r="CZ555" s="194"/>
      <c r="DA555" s="194"/>
      <c r="DB555" s="194"/>
      <c r="DC555" s="194"/>
      <c r="DD555" s="194"/>
      <c r="DE555" s="194"/>
      <c r="DF555" s="194"/>
    </row>
    <row r="556" spans="2:110" s="192" customFormat="1" hidden="1" x14ac:dyDescent="0.35">
      <c r="B556" s="289"/>
      <c r="C556" s="289"/>
      <c r="Q556" s="193"/>
      <c r="R556" s="194">
        <f t="shared" si="395"/>
        <v>18</v>
      </c>
      <c r="S556" s="197">
        <f t="shared" si="361"/>
        <v>0.3888888888888889</v>
      </c>
      <c r="T556" s="194">
        <f t="shared" si="416"/>
        <v>0.69</v>
      </c>
      <c r="U556" s="194">
        <f t="shared" si="417"/>
        <v>1.4999999999999999E-4</v>
      </c>
      <c r="V556" s="197">
        <f t="shared" si="396"/>
        <v>0.3888888888888889</v>
      </c>
      <c r="W556" s="197">
        <f t="shared" si="362"/>
        <v>4.3555555555555561E-3</v>
      </c>
      <c r="X556" s="286">
        <f t="shared" si="363"/>
        <v>1</v>
      </c>
      <c r="Y556" s="286">
        <f t="shared" si="364"/>
        <v>0.17335969315081967</v>
      </c>
      <c r="Z556" s="286">
        <f t="shared" si="365"/>
        <v>0.54964853345132902</v>
      </c>
      <c r="AA556" s="286">
        <f t="shared" si="397"/>
        <v>0.17335969315081967</v>
      </c>
      <c r="AB556" s="197">
        <f t="shared" si="366"/>
        <v>0.36419974881911377</v>
      </c>
      <c r="AC556" s="287">
        <f t="shared" si="367"/>
        <v>4.4451203372005044E-7</v>
      </c>
      <c r="AD556" s="197">
        <f t="shared" si="398"/>
        <v>11.693936048110356</v>
      </c>
      <c r="AE556" s="197">
        <f t="shared" si="399"/>
        <v>35.08180814433107</v>
      </c>
      <c r="AF556" s="197">
        <f t="shared" si="400"/>
        <v>8.5178571428571423E-2</v>
      </c>
      <c r="AG556" s="197">
        <f t="shared" si="401"/>
        <v>0.25553571428571431</v>
      </c>
      <c r="AH556" s="197">
        <f t="shared" si="368"/>
        <v>0.11660930017110901</v>
      </c>
      <c r="AI556" s="197">
        <f t="shared" si="402"/>
        <v>0.11660930017110901</v>
      </c>
      <c r="AJ556" s="218">
        <f t="shared" si="369"/>
        <v>390.00000000000006</v>
      </c>
      <c r="AK556" s="197">
        <f t="shared" si="403"/>
        <v>6.0930617977437734E-2</v>
      </c>
      <c r="AL556" s="197">
        <f t="shared" si="404"/>
        <v>9.6203707235237593E-2</v>
      </c>
      <c r="AM556" s="197">
        <f t="shared" si="405"/>
        <v>4.0790371867740751E-3</v>
      </c>
      <c r="AN556" s="197">
        <f t="shared" si="370"/>
        <v>24.05</v>
      </c>
      <c r="AO556" s="197">
        <f t="shared" si="371"/>
        <v>21.69</v>
      </c>
      <c r="AP556" s="197">
        <f t="shared" si="406"/>
        <v>7.4093290390420161E-2</v>
      </c>
      <c r="AQ556" s="197">
        <f t="shared" si="407"/>
        <v>0.42250439890466829</v>
      </c>
      <c r="AR556" s="197">
        <f t="shared" si="408"/>
        <v>0.30589509873355925</v>
      </c>
      <c r="AS556" s="258">
        <f t="shared" si="409"/>
        <v>0.15228632177729159</v>
      </c>
      <c r="AT556" s="197">
        <f t="shared" si="372"/>
        <v>2.5974058656511614E-4</v>
      </c>
      <c r="AU556" s="194">
        <f t="shared" si="373"/>
        <v>21.19</v>
      </c>
      <c r="AV556" s="197">
        <f t="shared" si="374"/>
        <v>2.7E-2</v>
      </c>
      <c r="AW556" s="197">
        <f t="shared" si="375"/>
        <v>3.4260000000000002E-3</v>
      </c>
      <c r="AX556" s="197">
        <f t="shared" si="410"/>
        <v>6.1668000000000001E-2</v>
      </c>
      <c r="AY556" s="197">
        <f t="shared" si="376"/>
        <v>2.8867476000000005E-3</v>
      </c>
      <c r="AZ556" s="197">
        <f t="shared" si="377"/>
        <v>0</v>
      </c>
      <c r="BA556" s="197">
        <f t="shared" si="411"/>
        <v>7.2596940000000013E-2</v>
      </c>
      <c r="BB556" s="258">
        <f t="shared" si="378"/>
        <v>0.36575210336206115</v>
      </c>
      <c r="BC556" s="197">
        <f t="shared" si="379"/>
        <v>2.2380490766334034E-2</v>
      </c>
      <c r="BD556" s="197">
        <f t="shared" si="412"/>
        <v>4.4760981532668068E-3</v>
      </c>
      <c r="BE556" s="197">
        <f t="shared" si="413"/>
        <v>2.6856588919600841E-2</v>
      </c>
      <c r="BF556" s="197">
        <f t="shared" si="380"/>
        <v>0.20773291256157633</v>
      </c>
      <c r="BG556" s="197">
        <f t="shared" si="381"/>
        <v>5.4608303342508187E-4</v>
      </c>
      <c r="BH556" s="197">
        <f t="shared" si="382"/>
        <v>3.5336687086656722E-2</v>
      </c>
      <c r="BI556" s="197">
        <f t="shared" si="414"/>
        <v>0.44730899017824427</v>
      </c>
      <c r="BJ556" s="197">
        <f t="shared" si="383"/>
        <v>6.769615024661003</v>
      </c>
      <c r="BK556" s="288">
        <f t="shared" si="384"/>
        <v>0.93392401361838984</v>
      </c>
      <c r="BL556" s="197">
        <f t="shared" si="385"/>
        <v>0.37608972359227794</v>
      </c>
      <c r="BM556" s="197">
        <f t="shared" si="386"/>
        <v>7.4353030976985271E-2</v>
      </c>
      <c r="BN556" s="197">
        <f t="shared" si="387"/>
        <v>54.461181858619113</v>
      </c>
      <c r="BO556" s="197">
        <f t="shared" si="415"/>
        <v>0.2082789955950014</v>
      </c>
      <c r="BP556" s="197">
        <f t="shared" si="388"/>
        <v>65.620924669625111</v>
      </c>
      <c r="BQ556" s="197">
        <f t="shared" si="389"/>
        <v>9.9596940000000009E-2</v>
      </c>
      <c r="BR556" s="288">
        <f t="shared" si="390"/>
        <v>0.16008975919012108</v>
      </c>
      <c r="BS556" s="197">
        <f t="shared" si="391"/>
        <v>0.11660930017110901</v>
      </c>
      <c r="BT556" s="197">
        <f t="shared" si="392"/>
        <v>0.36419974881911377</v>
      </c>
      <c r="BU556" s="197">
        <f t="shared" si="393"/>
        <v>0.1713930788771201</v>
      </c>
      <c r="BV556" s="197">
        <f t="shared" si="394"/>
        <v>0.53530306917875781</v>
      </c>
      <c r="BW556" s="194"/>
      <c r="BX556" s="194"/>
      <c r="BY556" s="194"/>
      <c r="BZ556" s="194"/>
      <c r="CA556" s="194"/>
      <c r="CB556" s="194"/>
      <c r="CC556" s="194"/>
      <c r="CD556" s="194"/>
      <c r="CE556" s="194"/>
      <c r="CF556" s="194"/>
      <c r="CG556" s="194"/>
      <c r="CH556" s="194"/>
      <c r="CI556" s="194"/>
      <c r="CJ556" s="194"/>
      <c r="CK556" s="194"/>
      <c r="CL556" s="194"/>
      <c r="CM556" s="194"/>
      <c r="CN556" s="194"/>
      <c r="CO556" s="194"/>
      <c r="CP556" s="194"/>
      <c r="CQ556" s="194"/>
      <c r="CR556" s="194"/>
      <c r="CS556" s="194"/>
      <c r="CT556" s="194"/>
      <c r="CU556" s="194"/>
      <c r="CV556" s="194"/>
      <c r="CW556" s="194"/>
      <c r="CX556" s="194"/>
      <c r="CY556" s="194"/>
      <c r="CZ556" s="194"/>
      <c r="DA556" s="194"/>
      <c r="DB556" s="194"/>
      <c r="DC556" s="194"/>
      <c r="DD556" s="194"/>
      <c r="DE556" s="194"/>
      <c r="DF556" s="194"/>
    </row>
    <row r="557" spans="2:110" s="192" customFormat="1" hidden="1" x14ac:dyDescent="0.35">
      <c r="B557" s="289"/>
      <c r="C557" s="289"/>
      <c r="Q557" s="193"/>
      <c r="R557" s="194">
        <f t="shared" si="395"/>
        <v>18</v>
      </c>
      <c r="S557" s="197">
        <f t="shared" si="361"/>
        <v>0.3888888888888889</v>
      </c>
      <c r="T557" s="194">
        <f t="shared" si="416"/>
        <v>0.69</v>
      </c>
      <c r="U557" s="194">
        <f t="shared" si="417"/>
        <v>1.4999999999999999E-4</v>
      </c>
      <c r="V557" s="197">
        <f t="shared" si="396"/>
        <v>0.3888888888888889</v>
      </c>
      <c r="W557" s="197">
        <f t="shared" si="362"/>
        <v>4.3555555555555561E-3</v>
      </c>
      <c r="X557" s="286">
        <f t="shared" si="363"/>
        <v>1</v>
      </c>
      <c r="Y557" s="286">
        <f t="shared" si="364"/>
        <v>0.17335969315081967</v>
      </c>
      <c r="Z557" s="286">
        <f t="shared" si="365"/>
        <v>0.54964853345132902</v>
      </c>
      <c r="AA557" s="286">
        <f t="shared" si="397"/>
        <v>0.17335969315081967</v>
      </c>
      <c r="AB557" s="197">
        <f t="shared" si="366"/>
        <v>0.36419974881911377</v>
      </c>
      <c r="AC557" s="287">
        <f t="shared" si="367"/>
        <v>4.4451203372005044E-7</v>
      </c>
      <c r="AD557" s="197">
        <f t="shared" si="398"/>
        <v>11.693936048110356</v>
      </c>
      <c r="AE557" s="197">
        <f t="shared" si="399"/>
        <v>35.08180814433107</v>
      </c>
      <c r="AF557" s="197">
        <f t="shared" si="400"/>
        <v>8.5178571428571423E-2</v>
      </c>
      <c r="AG557" s="197">
        <f t="shared" si="401"/>
        <v>0.25553571428571431</v>
      </c>
      <c r="AH557" s="197">
        <f t="shared" si="368"/>
        <v>0.11660930017110901</v>
      </c>
      <c r="AI557" s="197">
        <f t="shared" si="402"/>
        <v>0.11660930017110901</v>
      </c>
      <c r="AJ557" s="218">
        <f t="shared" si="369"/>
        <v>390.00000000000006</v>
      </c>
      <c r="AK557" s="197">
        <f t="shared" si="403"/>
        <v>6.0930617977437734E-2</v>
      </c>
      <c r="AL557" s="197">
        <f t="shared" si="404"/>
        <v>9.6203707235237593E-2</v>
      </c>
      <c r="AM557" s="197">
        <f t="shared" si="405"/>
        <v>4.0790371867740751E-3</v>
      </c>
      <c r="AN557" s="197">
        <f t="shared" si="370"/>
        <v>24.05</v>
      </c>
      <c r="AO557" s="197">
        <f t="shared" si="371"/>
        <v>21.69</v>
      </c>
      <c r="AP557" s="197">
        <f t="shared" si="406"/>
        <v>7.4093290390420161E-2</v>
      </c>
      <c r="AQ557" s="197">
        <f t="shared" si="407"/>
        <v>0.42250439890466829</v>
      </c>
      <c r="AR557" s="197">
        <f t="shared" si="408"/>
        <v>0.30589509873355925</v>
      </c>
      <c r="AS557" s="258">
        <f t="shared" si="409"/>
        <v>0.15228632177729159</v>
      </c>
      <c r="AT557" s="197">
        <f t="shared" si="372"/>
        <v>2.5974058656511614E-4</v>
      </c>
      <c r="AU557" s="194">
        <f t="shared" si="373"/>
        <v>21.19</v>
      </c>
      <c r="AV557" s="197">
        <f t="shared" si="374"/>
        <v>2.7E-2</v>
      </c>
      <c r="AW557" s="197">
        <f t="shared" si="375"/>
        <v>3.4260000000000002E-3</v>
      </c>
      <c r="AX557" s="197">
        <f t="shared" si="410"/>
        <v>6.1668000000000001E-2</v>
      </c>
      <c r="AY557" s="197">
        <f t="shared" si="376"/>
        <v>2.8867476000000005E-3</v>
      </c>
      <c r="AZ557" s="197">
        <f t="shared" si="377"/>
        <v>0</v>
      </c>
      <c r="BA557" s="197">
        <f t="shared" si="411"/>
        <v>7.2596940000000013E-2</v>
      </c>
      <c r="BB557" s="258">
        <f t="shared" si="378"/>
        <v>0.36575210336206115</v>
      </c>
      <c r="BC557" s="197">
        <f t="shared" si="379"/>
        <v>2.2380490766334034E-2</v>
      </c>
      <c r="BD557" s="197">
        <f t="shared" si="412"/>
        <v>4.4760981532668068E-3</v>
      </c>
      <c r="BE557" s="197">
        <f t="shared" si="413"/>
        <v>2.6856588919600841E-2</v>
      </c>
      <c r="BF557" s="197">
        <f t="shared" si="380"/>
        <v>0.20773291256157633</v>
      </c>
      <c r="BG557" s="197">
        <f t="shared" si="381"/>
        <v>5.4608303342508187E-4</v>
      </c>
      <c r="BH557" s="197">
        <f t="shared" si="382"/>
        <v>3.5336687086656722E-2</v>
      </c>
      <c r="BI557" s="197">
        <f t="shared" si="414"/>
        <v>0.44730899017824427</v>
      </c>
      <c r="BJ557" s="197">
        <f t="shared" si="383"/>
        <v>6.769615024661003</v>
      </c>
      <c r="BK557" s="288">
        <f t="shared" si="384"/>
        <v>0.93392401361838984</v>
      </c>
      <c r="BL557" s="197">
        <f t="shared" si="385"/>
        <v>0.37608972359227794</v>
      </c>
      <c r="BM557" s="197">
        <f t="shared" si="386"/>
        <v>7.4353030976985271E-2</v>
      </c>
      <c r="BN557" s="197">
        <f t="shared" si="387"/>
        <v>54.461181858619113</v>
      </c>
      <c r="BO557" s="197">
        <f t="shared" si="415"/>
        <v>0.2082789955950014</v>
      </c>
      <c r="BP557" s="197">
        <f t="shared" si="388"/>
        <v>65.620924669625111</v>
      </c>
      <c r="BQ557" s="197">
        <f t="shared" si="389"/>
        <v>9.9596940000000009E-2</v>
      </c>
      <c r="BR557" s="288">
        <f t="shared" si="390"/>
        <v>0.16008975919012108</v>
      </c>
      <c r="BS557" s="197">
        <f t="shared" si="391"/>
        <v>0.11660930017110901</v>
      </c>
      <c r="BT557" s="197">
        <f t="shared" si="392"/>
        <v>0.36419974881911377</v>
      </c>
      <c r="BU557" s="197">
        <f t="shared" si="393"/>
        <v>0.1713930788771201</v>
      </c>
      <c r="BV557" s="197">
        <f t="shared" si="394"/>
        <v>0.53530306917875781</v>
      </c>
      <c r="BW557" s="194"/>
      <c r="BX557" s="194"/>
      <c r="BY557" s="194"/>
      <c r="BZ557" s="194"/>
      <c r="CA557" s="194"/>
      <c r="CB557" s="194"/>
      <c r="CC557" s="194"/>
      <c r="CD557" s="194"/>
      <c r="CE557" s="194"/>
      <c r="CF557" s="194"/>
      <c r="CG557" s="194"/>
      <c r="CH557" s="194"/>
      <c r="CI557" s="194"/>
      <c r="CJ557" s="194"/>
      <c r="CK557" s="194"/>
      <c r="CL557" s="194"/>
      <c r="CM557" s="194"/>
      <c r="CN557" s="194"/>
      <c r="CO557" s="194"/>
      <c r="CP557" s="194"/>
      <c r="CQ557" s="194"/>
      <c r="CR557" s="194"/>
      <c r="CS557" s="194"/>
      <c r="CT557" s="194"/>
      <c r="CU557" s="194"/>
      <c r="CV557" s="194"/>
      <c r="CW557" s="194"/>
      <c r="CX557" s="194"/>
      <c r="CY557" s="194"/>
      <c r="CZ557" s="194"/>
      <c r="DA557" s="194"/>
      <c r="DB557" s="194"/>
      <c r="DC557" s="194"/>
      <c r="DD557" s="194"/>
      <c r="DE557" s="194"/>
      <c r="DF557" s="194"/>
    </row>
    <row r="558" spans="2:110" s="192" customFormat="1" hidden="1" x14ac:dyDescent="0.35">
      <c r="B558" s="289"/>
      <c r="C558" s="289"/>
      <c r="Q558" s="193"/>
      <c r="R558" s="194">
        <f t="shared" si="395"/>
        <v>18</v>
      </c>
      <c r="S558" s="197">
        <f t="shared" si="361"/>
        <v>0.3888888888888889</v>
      </c>
      <c r="T558" s="194">
        <f t="shared" si="416"/>
        <v>0.69</v>
      </c>
      <c r="U558" s="194">
        <f t="shared" si="417"/>
        <v>1.4999999999999999E-4</v>
      </c>
      <c r="V558" s="197">
        <f t="shared" si="396"/>
        <v>0.3888888888888889</v>
      </c>
      <c r="W558" s="197">
        <f t="shared" si="362"/>
        <v>4.3555555555555561E-3</v>
      </c>
      <c r="X558" s="286">
        <f t="shared" si="363"/>
        <v>1</v>
      </c>
      <c r="Y558" s="286">
        <f t="shared" si="364"/>
        <v>0.17335969315081967</v>
      </c>
      <c r="Z558" s="286">
        <f t="shared" si="365"/>
        <v>0.54964853345132902</v>
      </c>
      <c r="AA558" s="286">
        <f t="shared" si="397"/>
        <v>0.17335969315081967</v>
      </c>
      <c r="AB558" s="197">
        <f t="shared" si="366"/>
        <v>0.36419974881911377</v>
      </c>
      <c r="AC558" s="287">
        <f t="shared" si="367"/>
        <v>4.4451203372005044E-7</v>
      </c>
      <c r="AD558" s="197">
        <f t="shared" si="398"/>
        <v>11.693936048110356</v>
      </c>
      <c r="AE558" s="197">
        <f t="shared" si="399"/>
        <v>35.08180814433107</v>
      </c>
      <c r="AF558" s="197">
        <f t="shared" si="400"/>
        <v>8.5178571428571423E-2</v>
      </c>
      <c r="AG558" s="197">
        <f t="shared" si="401"/>
        <v>0.25553571428571431</v>
      </c>
      <c r="AH558" s="197">
        <f t="shared" si="368"/>
        <v>0.11660930017110901</v>
      </c>
      <c r="AI558" s="197">
        <f t="shared" si="402"/>
        <v>0.11660930017110901</v>
      </c>
      <c r="AJ558" s="218">
        <f t="shared" si="369"/>
        <v>390.00000000000006</v>
      </c>
      <c r="AK558" s="197">
        <f t="shared" si="403"/>
        <v>6.0930617977437734E-2</v>
      </c>
      <c r="AL558" s="197">
        <f t="shared" si="404"/>
        <v>9.6203707235237593E-2</v>
      </c>
      <c r="AM558" s="197">
        <f t="shared" si="405"/>
        <v>4.0790371867740751E-3</v>
      </c>
      <c r="AN558" s="197">
        <f t="shared" si="370"/>
        <v>24.05</v>
      </c>
      <c r="AO558" s="197">
        <f t="shared" si="371"/>
        <v>21.69</v>
      </c>
      <c r="AP558" s="197">
        <f t="shared" si="406"/>
        <v>7.4093290390420161E-2</v>
      </c>
      <c r="AQ558" s="197">
        <f t="shared" si="407"/>
        <v>0.42250439890466829</v>
      </c>
      <c r="AR558" s="197">
        <f t="shared" si="408"/>
        <v>0.30589509873355925</v>
      </c>
      <c r="AS558" s="258">
        <f t="shared" si="409"/>
        <v>0.15228632177729159</v>
      </c>
      <c r="AT558" s="197">
        <f t="shared" si="372"/>
        <v>2.5974058656511614E-4</v>
      </c>
      <c r="AU558" s="194">
        <f t="shared" si="373"/>
        <v>21.19</v>
      </c>
      <c r="AV558" s="197">
        <f t="shared" si="374"/>
        <v>2.7E-2</v>
      </c>
      <c r="AW558" s="197">
        <f t="shared" si="375"/>
        <v>3.4260000000000002E-3</v>
      </c>
      <c r="AX558" s="197">
        <f t="shared" si="410"/>
        <v>6.1668000000000001E-2</v>
      </c>
      <c r="AY558" s="197">
        <f t="shared" si="376"/>
        <v>2.8867476000000005E-3</v>
      </c>
      <c r="AZ558" s="197">
        <f t="shared" si="377"/>
        <v>0</v>
      </c>
      <c r="BA558" s="197">
        <f t="shared" si="411"/>
        <v>7.2596940000000013E-2</v>
      </c>
      <c r="BB558" s="258">
        <f t="shared" si="378"/>
        <v>0.36575210336206115</v>
      </c>
      <c r="BC558" s="197">
        <f t="shared" si="379"/>
        <v>2.2380490766334034E-2</v>
      </c>
      <c r="BD558" s="197">
        <f t="shared" si="412"/>
        <v>4.4760981532668068E-3</v>
      </c>
      <c r="BE558" s="197">
        <f t="shared" si="413"/>
        <v>2.6856588919600841E-2</v>
      </c>
      <c r="BF558" s="197">
        <f t="shared" si="380"/>
        <v>0.20773291256157633</v>
      </c>
      <c r="BG558" s="197">
        <f t="shared" si="381"/>
        <v>5.4608303342508187E-4</v>
      </c>
      <c r="BH558" s="197">
        <f t="shared" si="382"/>
        <v>3.5336687086656722E-2</v>
      </c>
      <c r="BI558" s="197">
        <f t="shared" si="414"/>
        <v>0.44730899017824427</v>
      </c>
      <c r="BJ558" s="197">
        <f t="shared" si="383"/>
        <v>6.769615024661003</v>
      </c>
      <c r="BK558" s="288">
        <f t="shared" si="384"/>
        <v>0.93392401361838984</v>
      </c>
      <c r="BL558" s="197">
        <f t="shared" si="385"/>
        <v>0.37608972359227794</v>
      </c>
      <c r="BM558" s="197">
        <f t="shared" si="386"/>
        <v>7.4353030976985271E-2</v>
      </c>
      <c r="BN558" s="197">
        <f t="shared" si="387"/>
        <v>54.461181858619113</v>
      </c>
      <c r="BO558" s="197">
        <f t="shared" si="415"/>
        <v>0.2082789955950014</v>
      </c>
      <c r="BP558" s="197">
        <f t="shared" si="388"/>
        <v>65.620924669625111</v>
      </c>
      <c r="BQ558" s="197">
        <f t="shared" si="389"/>
        <v>9.9596940000000009E-2</v>
      </c>
      <c r="BR558" s="288">
        <f t="shared" si="390"/>
        <v>0.16008975919012108</v>
      </c>
      <c r="BS558" s="197">
        <f t="shared" si="391"/>
        <v>0.11660930017110901</v>
      </c>
      <c r="BT558" s="197">
        <f t="shared" si="392"/>
        <v>0.36419974881911377</v>
      </c>
      <c r="BU558" s="197">
        <f t="shared" si="393"/>
        <v>0.1713930788771201</v>
      </c>
      <c r="BV558" s="197">
        <f t="shared" si="394"/>
        <v>0.53530306917875781</v>
      </c>
      <c r="BW558" s="194"/>
      <c r="BX558" s="194"/>
      <c r="BY558" s="194"/>
      <c r="BZ558" s="194"/>
      <c r="CA558" s="194"/>
      <c r="CB558" s="194"/>
      <c r="CC558" s="194"/>
      <c r="CD558" s="194"/>
      <c r="CE558" s="194"/>
      <c r="CF558" s="194"/>
      <c r="CG558" s="194"/>
      <c r="CH558" s="194"/>
      <c r="CI558" s="194"/>
      <c r="CJ558" s="194"/>
      <c r="CK558" s="194"/>
      <c r="CL558" s="194"/>
      <c r="CM558" s="194"/>
      <c r="CN558" s="194"/>
      <c r="CO558" s="194"/>
      <c r="CP558" s="194"/>
      <c r="CQ558" s="194"/>
      <c r="CR558" s="194"/>
      <c r="CS558" s="194"/>
      <c r="CT558" s="194"/>
      <c r="CU558" s="194"/>
      <c r="CV558" s="194"/>
      <c r="CW558" s="194"/>
      <c r="CX558" s="194"/>
      <c r="CY558" s="194"/>
      <c r="CZ558" s="194"/>
      <c r="DA558" s="194"/>
      <c r="DB558" s="194"/>
      <c r="DC558" s="194"/>
      <c r="DD558" s="194"/>
      <c r="DE558" s="194"/>
      <c r="DF558" s="194"/>
    </row>
    <row r="559" spans="2:110" s="192" customFormat="1" hidden="1" x14ac:dyDescent="0.35">
      <c r="B559" s="289"/>
      <c r="C559" s="289"/>
      <c r="Q559" s="193"/>
      <c r="R559" s="194">
        <f t="shared" si="395"/>
        <v>18</v>
      </c>
      <c r="S559" s="197">
        <f t="shared" si="361"/>
        <v>0.3888888888888889</v>
      </c>
      <c r="T559" s="194">
        <f t="shared" si="416"/>
        <v>0.69</v>
      </c>
      <c r="U559" s="194">
        <f t="shared" si="417"/>
        <v>1.4999999999999999E-4</v>
      </c>
      <c r="V559" s="197">
        <f t="shared" si="396"/>
        <v>0.3888888888888889</v>
      </c>
      <c r="W559" s="197">
        <f t="shared" si="362"/>
        <v>4.3555555555555561E-3</v>
      </c>
      <c r="X559" s="286">
        <f t="shared" si="363"/>
        <v>1</v>
      </c>
      <c r="Y559" s="286">
        <f t="shared" si="364"/>
        <v>0.17335969315081967</v>
      </c>
      <c r="Z559" s="286">
        <f t="shared" si="365"/>
        <v>0.54964853345132902</v>
      </c>
      <c r="AA559" s="286">
        <f t="shared" si="397"/>
        <v>0.17335969315081967</v>
      </c>
      <c r="AB559" s="197">
        <f t="shared" si="366"/>
        <v>0.36419974881911377</v>
      </c>
      <c r="AC559" s="287">
        <f t="shared" si="367"/>
        <v>4.4451203372005044E-7</v>
      </c>
      <c r="AD559" s="197">
        <f t="shared" si="398"/>
        <v>11.693936048110356</v>
      </c>
      <c r="AE559" s="197">
        <f t="shared" si="399"/>
        <v>35.08180814433107</v>
      </c>
      <c r="AF559" s="197">
        <f t="shared" si="400"/>
        <v>8.5178571428571423E-2</v>
      </c>
      <c r="AG559" s="197">
        <f t="shared" si="401"/>
        <v>0.25553571428571431</v>
      </c>
      <c r="AH559" s="197">
        <f t="shared" si="368"/>
        <v>0.11660930017110901</v>
      </c>
      <c r="AI559" s="197">
        <f t="shared" si="402"/>
        <v>0.11660930017110901</v>
      </c>
      <c r="AJ559" s="218">
        <f t="shared" si="369"/>
        <v>390.00000000000006</v>
      </c>
      <c r="AK559" s="197">
        <f t="shared" si="403"/>
        <v>6.0930617977437734E-2</v>
      </c>
      <c r="AL559" s="197">
        <f t="shared" si="404"/>
        <v>9.6203707235237593E-2</v>
      </c>
      <c r="AM559" s="197">
        <f t="shared" si="405"/>
        <v>4.0790371867740751E-3</v>
      </c>
      <c r="AN559" s="197">
        <f t="shared" si="370"/>
        <v>24.05</v>
      </c>
      <c r="AO559" s="197">
        <f t="shared" si="371"/>
        <v>21.69</v>
      </c>
      <c r="AP559" s="197">
        <f t="shared" si="406"/>
        <v>7.4093290390420161E-2</v>
      </c>
      <c r="AQ559" s="197">
        <f t="shared" si="407"/>
        <v>0.42250439890466829</v>
      </c>
      <c r="AR559" s="197">
        <f t="shared" si="408"/>
        <v>0.30589509873355925</v>
      </c>
      <c r="AS559" s="258">
        <f t="shared" si="409"/>
        <v>0.15228632177729159</v>
      </c>
      <c r="AT559" s="197">
        <f t="shared" si="372"/>
        <v>2.5974058656511614E-4</v>
      </c>
      <c r="AU559" s="194">
        <f t="shared" si="373"/>
        <v>21.19</v>
      </c>
      <c r="AV559" s="197">
        <f t="shared" si="374"/>
        <v>2.7E-2</v>
      </c>
      <c r="AW559" s="197">
        <f t="shared" si="375"/>
        <v>3.4260000000000002E-3</v>
      </c>
      <c r="AX559" s="197">
        <f t="shared" si="410"/>
        <v>6.1668000000000001E-2</v>
      </c>
      <c r="AY559" s="197">
        <f t="shared" si="376"/>
        <v>2.8867476000000005E-3</v>
      </c>
      <c r="AZ559" s="197">
        <f t="shared" si="377"/>
        <v>0</v>
      </c>
      <c r="BA559" s="197">
        <f t="shared" si="411"/>
        <v>7.2596940000000013E-2</v>
      </c>
      <c r="BB559" s="258">
        <f t="shared" si="378"/>
        <v>0.36575210336206115</v>
      </c>
      <c r="BC559" s="197">
        <f t="shared" si="379"/>
        <v>2.2380490766334034E-2</v>
      </c>
      <c r="BD559" s="197">
        <f t="shared" si="412"/>
        <v>4.4760981532668068E-3</v>
      </c>
      <c r="BE559" s="197">
        <f t="shared" si="413"/>
        <v>2.6856588919600841E-2</v>
      </c>
      <c r="BF559" s="197">
        <f t="shared" si="380"/>
        <v>0.20773291256157633</v>
      </c>
      <c r="BG559" s="197">
        <f t="shared" si="381"/>
        <v>5.4608303342508187E-4</v>
      </c>
      <c r="BH559" s="197">
        <f t="shared" si="382"/>
        <v>3.5336687086656722E-2</v>
      </c>
      <c r="BI559" s="197">
        <f t="shared" si="414"/>
        <v>0.44730899017824427</v>
      </c>
      <c r="BJ559" s="197">
        <f t="shared" si="383"/>
        <v>6.769615024661003</v>
      </c>
      <c r="BK559" s="288">
        <f t="shared" si="384"/>
        <v>0.93392401361838984</v>
      </c>
      <c r="BL559" s="197">
        <f t="shared" si="385"/>
        <v>0.37608972359227794</v>
      </c>
      <c r="BM559" s="197">
        <f t="shared" si="386"/>
        <v>7.4353030976985271E-2</v>
      </c>
      <c r="BN559" s="197">
        <f t="shared" si="387"/>
        <v>54.461181858619113</v>
      </c>
      <c r="BO559" s="197">
        <f t="shared" si="415"/>
        <v>0.2082789955950014</v>
      </c>
      <c r="BP559" s="197">
        <f t="shared" si="388"/>
        <v>65.620924669625111</v>
      </c>
      <c r="BQ559" s="197">
        <f t="shared" si="389"/>
        <v>9.9596940000000009E-2</v>
      </c>
      <c r="BR559" s="288">
        <f t="shared" si="390"/>
        <v>0.16008975919012108</v>
      </c>
      <c r="BS559" s="197">
        <f t="shared" si="391"/>
        <v>0.11660930017110901</v>
      </c>
      <c r="BT559" s="197">
        <f t="shared" si="392"/>
        <v>0.36419974881911377</v>
      </c>
      <c r="BU559" s="197">
        <f t="shared" si="393"/>
        <v>0.1713930788771201</v>
      </c>
      <c r="BV559" s="197">
        <f t="shared" si="394"/>
        <v>0.53530306917875781</v>
      </c>
      <c r="BW559" s="194"/>
      <c r="BX559" s="194"/>
      <c r="BY559" s="194"/>
      <c r="BZ559" s="194"/>
      <c r="CA559" s="194"/>
      <c r="CB559" s="194"/>
      <c r="CC559" s="194"/>
      <c r="CD559" s="194"/>
      <c r="CE559" s="194"/>
      <c r="CF559" s="194"/>
      <c r="CG559" s="194"/>
      <c r="CH559" s="194"/>
      <c r="CI559" s="194"/>
      <c r="CJ559" s="194"/>
      <c r="CK559" s="194"/>
      <c r="CL559" s="194"/>
      <c r="CM559" s="194"/>
      <c r="CN559" s="194"/>
      <c r="CO559" s="194"/>
      <c r="CP559" s="194"/>
      <c r="CQ559" s="194"/>
      <c r="CR559" s="194"/>
      <c r="CS559" s="194"/>
      <c r="CT559" s="194"/>
      <c r="CU559" s="194"/>
      <c r="CV559" s="194"/>
      <c r="CW559" s="194"/>
      <c r="CX559" s="194"/>
      <c r="CY559" s="194"/>
      <c r="CZ559" s="194"/>
      <c r="DA559" s="194"/>
      <c r="DB559" s="194"/>
      <c r="DC559" s="194"/>
      <c r="DD559" s="194"/>
      <c r="DE559" s="194"/>
      <c r="DF559" s="194"/>
    </row>
    <row r="560" spans="2:110" s="192" customFormat="1" hidden="1" x14ac:dyDescent="0.35">
      <c r="B560" s="289"/>
      <c r="C560" s="289"/>
      <c r="Q560" s="193"/>
      <c r="R560" s="194">
        <f t="shared" si="395"/>
        <v>18</v>
      </c>
      <c r="S560" s="197">
        <f t="shared" si="361"/>
        <v>0.3888888888888889</v>
      </c>
      <c r="T560" s="194">
        <f t="shared" si="416"/>
        <v>0.69</v>
      </c>
      <c r="U560" s="194">
        <f t="shared" si="417"/>
        <v>1.4999999999999999E-4</v>
      </c>
      <c r="V560" s="197">
        <f t="shared" si="396"/>
        <v>0.3888888888888889</v>
      </c>
      <c r="W560" s="197">
        <f t="shared" si="362"/>
        <v>4.3555555555555561E-3</v>
      </c>
      <c r="X560" s="286">
        <f t="shared" si="363"/>
        <v>1</v>
      </c>
      <c r="Y560" s="286">
        <f t="shared" si="364"/>
        <v>0.17335969315081967</v>
      </c>
      <c r="Z560" s="286">
        <f t="shared" si="365"/>
        <v>0.54964853345132902</v>
      </c>
      <c r="AA560" s="286">
        <f t="shared" si="397"/>
        <v>0.17335969315081967</v>
      </c>
      <c r="AB560" s="197">
        <f t="shared" si="366"/>
        <v>0.36419974881911377</v>
      </c>
      <c r="AC560" s="287">
        <f t="shared" si="367"/>
        <v>4.4451203372005044E-7</v>
      </c>
      <c r="AD560" s="197">
        <f t="shared" si="398"/>
        <v>11.693936048110356</v>
      </c>
      <c r="AE560" s="197">
        <f t="shared" si="399"/>
        <v>35.08180814433107</v>
      </c>
      <c r="AF560" s="197">
        <f t="shared" si="400"/>
        <v>8.5178571428571423E-2</v>
      </c>
      <c r="AG560" s="197">
        <f t="shared" si="401"/>
        <v>0.25553571428571431</v>
      </c>
      <c r="AH560" s="197">
        <f t="shared" si="368"/>
        <v>0.11660930017110901</v>
      </c>
      <c r="AI560" s="197">
        <f t="shared" si="402"/>
        <v>0.11660930017110901</v>
      </c>
      <c r="AJ560" s="218">
        <f t="shared" si="369"/>
        <v>390.00000000000006</v>
      </c>
      <c r="AK560" s="197">
        <f t="shared" si="403"/>
        <v>6.0930617977437734E-2</v>
      </c>
      <c r="AL560" s="197">
        <f t="shared" si="404"/>
        <v>9.6203707235237593E-2</v>
      </c>
      <c r="AM560" s="197">
        <f t="shared" si="405"/>
        <v>4.0790371867740751E-3</v>
      </c>
      <c r="AN560" s="197">
        <f t="shared" si="370"/>
        <v>24.05</v>
      </c>
      <c r="AO560" s="197">
        <f t="shared" si="371"/>
        <v>21.69</v>
      </c>
      <c r="AP560" s="197">
        <f t="shared" si="406"/>
        <v>7.4093290390420161E-2</v>
      </c>
      <c r="AQ560" s="197">
        <f t="shared" si="407"/>
        <v>0.42250439890466829</v>
      </c>
      <c r="AR560" s="197">
        <f t="shared" si="408"/>
        <v>0.30589509873355925</v>
      </c>
      <c r="AS560" s="258">
        <f t="shared" si="409"/>
        <v>0.15228632177729159</v>
      </c>
      <c r="AT560" s="197">
        <f t="shared" si="372"/>
        <v>2.5974058656511614E-4</v>
      </c>
      <c r="AU560" s="194">
        <f t="shared" si="373"/>
        <v>21.19</v>
      </c>
      <c r="AV560" s="197">
        <f t="shared" si="374"/>
        <v>2.7E-2</v>
      </c>
      <c r="AW560" s="197">
        <f t="shared" si="375"/>
        <v>3.4260000000000002E-3</v>
      </c>
      <c r="AX560" s="197">
        <f t="shared" si="410"/>
        <v>6.1668000000000001E-2</v>
      </c>
      <c r="AY560" s="197">
        <f t="shared" si="376"/>
        <v>2.8867476000000005E-3</v>
      </c>
      <c r="AZ560" s="197">
        <f t="shared" si="377"/>
        <v>0</v>
      </c>
      <c r="BA560" s="197">
        <f t="shared" si="411"/>
        <v>7.2596940000000013E-2</v>
      </c>
      <c r="BB560" s="258">
        <f t="shared" si="378"/>
        <v>0.36575210336206115</v>
      </c>
      <c r="BC560" s="197">
        <f t="shared" si="379"/>
        <v>2.2380490766334034E-2</v>
      </c>
      <c r="BD560" s="197">
        <f t="shared" si="412"/>
        <v>4.4760981532668068E-3</v>
      </c>
      <c r="BE560" s="197">
        <f t="shared" si="413"/>
        <v>2.6856588919600841E-2</v>
      </c>
      <c r="BF560" s="197">
        <f t="shared" si="380"/>
        <v>0.20773291256157633</v>
      </c>
      <c r="BG560" s="197">
        <f t="shared" si="381"/>
        <v>5.4608303342508187E-4</v>
      </c>
      <c r="BH560" s="197">
        <f t="shared" si="382"/>
        <v>3.5336687086656722E-2</v>
      </c>
      <c r="BI560" s="197">
        <f t="shared" si="414"/>
        <v>0.44730899017824427</v>
      </c>
      <c r="BJ560" s="197">
        <f t="shared" si="383"/>
        <v>6.769615024661003</v>
      </c>
      <c r="BK560" s="288">
        <f t="shared" si="384"/>
        <v>0.93392401361838984</v>
      </c>
      <c r="BL560" s="197">
        <f t="shared" si="385"/>
        <v>0.37608972359227794</v>
      </c>
      <c r="BM560" s="197">
        <f t="shared" si="386"/>
        <v>7.4353030976985271E-2</v>
      </c>
      <c r="BN560" s="197">
        <f t="shared" si="387"/>
        <v>54.461181858619113</v>
      </c>
      <c r="BO560" s="197">
        <f t="shared" si="415"/>
        <v>0.2082789955950014</v>
      </c>
      <c r="BP560" s="197">
        <f t="shared" si="388"/>
        <v>65.620924669625111</v>
      </c>
      <c r="BQ560" s="197">
        <f t="shared" si="389"/>
        <v>9.9596940000000009E-2</v>
      </c>
      <c r="BR560" s="288">
        <f t="shared" si="390"/>
        <v>0.16008975919012108</v>
      </c>
      <c r="BS560" s="197">
        <f t="shared" si="391"/>
        <v>0.11660930017110901</v>
      </c>
      <c r="BT560" s="197">
        <f t="shared" si="392"/>
        <v>0.36419974881911377</v>
      </c>
      <c r="BU560" s="197">
        <f t="shared" si="393"/>
        <v>0.1713930788771201</v>
      </c>
      <c r="BV560" s="197">
        <f t="shared" si="394"/>
        <v>0.53530306917875781</v>
      </c>
      <c r="BW560" s="194"/>
      <c r="BX560" s="194"/>
      <c r="BY560" s="194"/>
      <c r="BZ560" s="194"/>
      <c r="CA560" s="194"/>
      <c r="CB560" s="194"/>
      <c r="CC560" s="194"/>
      <c r="CD560" s="194"/>
      <c r="CE560" s="194"/>
      <c r="CF560" s="194"/>
      <c r="CG560" s="194"/>
      <c r="CH560" s="194"/>
      <c r="CI560" s="194"/>
      <c r="CJ560" s="194"/>
      <c r="CK560" s="194"/>
      <c r="CL560" s="194"/>
      <c r="CM560" s="194"/>
      <c r="CN560" s="194"/>
      <c r="CO560" s="194"/>
      <c r="CP560" s="194"/>
      <c r="CQ560" s="194"/>
      <c r="CR560" s="194"/>
      <c r="CS560" s="194"/>
      <c r="CT560" s="194"/>
      <c r="CU560" s="194"/>
      <c r="CV560" s="194"/>
      <c r="CW560" s="194"/>
      <c r="CX560" s="194"/>
      <c r="CY560" s="194"/>
      <c r="CZ560" s="194"/>
      <c r="DA560" s="194"/>
      <c r="DB560" s="194"/>
      <c r="DC560" s="194"/>
      <c r="DD560" s="194"/>
      <c r="DE560" s="194"/>
      <c r="DF560" s="194"/>
    </row>
    <row r="561" spans="2:110" s="192" customFormat="1" hidden="1" x14ac:dyDescent="0.35">
      <c r="B561" s="289"/>
      <c r="C561" s="289"/>
      <c r="Q561" s="193"/>
      <c r="R561" s="194">
        <f t="shared" si="395"/>
        <v>18</v>
      </c>
      <c r="S561" s="197">
        <f t="shared" si="361"/>
        <v>0.3888888888888889</v>
      </c>
      <c r="T561" s="194">
        <f t="shared" si="416"/>
        <v>0.69</v>
      </c>
      <c r="U561" s="194">
        <f t="shared" si="417"/>
        <v>1.4999999999999999E-4</v>
      </c>
      <c r="V561" s="197">
        <f t="shared" si="396"/>
        <v>0.3888888888888889</v>
      </c>
      <c r="W561" s="197">
        <f t="shared" si="362"/>
        <v>4.3555555555555561E-3</v>
      </c>
      <c r="X561" s="286">
        <f t="shared" si="363"/>
        <v>1</v>
      </c>
      <c r="Y561" s="286">
        <f t="shared" si="364"/>
        <v>0.17335969315081967</v>
      </c>
      <c r="Z561" s="286">
        <f t="shared" si="365"/>
        <v>0.54964853345132902</v>
      </c>
      <c r="AA561" s="286">
        <f t="shared" si="397"/>
        <v>0.17335969315081967</v>
      </c>
      <c r="AB561" s="197">
        <f t="shared" si="366"/>
        <v>0.36419974881911377</v>
      </c>
      <c r="AC561" s="287">
        <f t="shared" si="367"/>
        <v>4.4451203372005044E-7</v>
      </c>
      <c r="AD561" s="197">
        <f t="shared" si="398"/>
        <v>11.693936048110356</v>
      </c>
      <c r="AE561" s="197">
        <f t="shared" si="399"/>
        <v>35.08180814433107</v>
      </c>
      <c r="AF561" s="197">
        <f t="shared" si="400"/>
        <v>8.5178571428571423E-2</v>
      </c>
      <c r="AG561" s="197">
        <f t="shared" si="401"/>
        <v>0.25553571428571431</v>
      </c>
      <c r="AH561" s="197">
        <f t="shared" si="368"/>
        <v>0.11660930017110901</v>
      </c>
      <c r="AI561" s="197">
        <f t="shared" si="402"/>
        <v>0.11660930017110901</v>
      </c>
      <c r="AJ561" s="218">
        <f t="shared" si="369"/>
        <v>390.00000000000006</v>
      </c>
      <c r="AK561" s="197">
        <f t="shared" si="403"/>
        <v>6.0930617977437734E-2</v>
      </c>
      <c r="AL561" s="197">
        <f t="shared" si="404"/>
        <v>9.6203707235237593E-2</v>
      </c>
      <c r="AM561" s="197">
        <f t="shared" si="405"/>
        <v>4.0790371867740751E-3</v>
      </c>
      <c r="AN561" s="197">
        <f t="shared" si="370"/>
        <v>24.05</v>
      </c>
      <c r="AO561" s="197">
        <f t="shared" si="371"/>
        <v>21.69</v>
      </c>
      <c r="AP561" s="197">
        <f t="shared" si="406"/>
        <v>7.4093290390420161E-2</v>
      </c>
      <c r="AQ561" s="197">
        <f t="shared" si="407"/>
        <v>0.42250439890466829</v>
      </c>
      <c r="AR561" s="197">
        <f t="shared" si="408"/>
        <v>0.30589509873355925</v>
      </c>
      <c r="AS561" s="258">
        <f t="shared" si="409"/>
        <v>0.15228632177729159</v>
      </c>
      <c r="AT561" s="197">
        <f t="shared" si="372"/>
        <v>2.5974058656511614E-4</v>
      </c>
      <c r="AU561" s="194">
        <f t="shared" si="373"/>
        <v>21.19</v>
      </c>
      <c r="AV561" s="197">
        <f t="shared" si="374"/>
        <v>2.7E-2</v>
      </c>
      <c r="AW561" s="197">
        <f t="shared" si="375"/>
        <v>3.4260000000000002E-3</v>
      </c>
      <c r="AX561" s="197">
        <f t="shared" si="410"/>
        <v>6.1668000000000001E-2</v>
      </c>
      <c r="AY561" s="197">
        <f t="shared" si="376"/>
        <v>2.8867476000000005E-3</v>
      </c>
      <c r="AZ561" s="197">
        <f t="shared" si="377"/>
        <v>0</v>
      </c>
      <c r="BA561" s="197">
        <f t="shared" si="411"/>
        <v>7.2596940000000013E-2</v>
      </c>
      <c r="BB561" s="258">
        <f t="shared" si="378"/>
        <v>0.36575210336206115</v>
      </c>
      <c r="BC561" s="197">
        <f t="shared" si="379"/>
        <v>2.2380490766334034E-2</v>
      </c>
      <c r="BD561" s="197">
        <f t="shared" si="412"/>
        <v>4.4760981532668068E-3</v>
      </c>
      <c r="BE561" s="197">
        <f t="shared" si="413"/>
        <v>2.6856588919600841E-2</v>
      </c>
      <c r="BF561" s="197">
        <f t="shared" si="380"/>
        <v>0.20773291256157633</v>
      </c>
      <c r="BG561" s="197">
        <f t="shared" si="381"/>
        <v>5.4608303342508187E-4</v>
      </c>
      <c r="BH561" s="197">
        <f t="shared" si="382"/>
        <v>3.5336687086656722E-2</v>
      </c>
      <c r="BI561" s="197">
        <f t="shared" si="414"/>
        <v>0.44730899017824427</v>
      </c>
      <c r="BJ561" s="197">
        <f t="shared" si="383"/>
        <v>6.769615024661003</v>
      </c>
      <c r="BK561" s="288">
        <f t="shared" si="384"/>
        <v>0.93392401361838984</v>
      </c>
      <c r="BL561" s="197">
        <f t="shared" si="385"/>
        <v>0.37608972359227794</v>
      </c>
      <c r="BM561" s="197">
        <f t="shared" si="386"/>
        <v>7.4353030976985271E-2</v>
      </c>
      <c r="BN561" s="197">
        <f t="shared" si="387"/>
        <v>54.461181858619113</v>
      </c>
      <c r="BO561" s="197">
        <f t="shared" si="415"/>
        <v>0.2082789955950014</v>
      </c>
      <c r="BP561" s="197">
        <f t="shared" si="388"/>
        <v>65.620924669625111</v>
      </c>
      <c r="BQ561" s="197">
        <f t="shared" si="389"/>
        <v>9.9596940000000009E-2</v>
      </c>
      <c r="BR561" s="288">
        <f t="shared" si="390"/>
        <v>0.16008975919012108</v>
      </c>
      <c r="BS561" s="197">
        <f t="shared" si="391"/>
        <v>0.11660930017110901</v>
      </c>
      <c r="BT561" s="197">
        <f t="shared" si="392"/>
        <v>0.36419974881911377</v>
      </c>
      <c r="BU561" s="197">
        <f t="shared" si="393"/>
        <v>0.1713930788771201</v>
      </c>
      <c r="BV561" s="197">
        <f t="shared" si="394"/>
        <v>0.53530306917875781</v>
      </c>
      <c r="BW561" s="194"/>
      <c r="BX561" s="194"/>
      <c r="BY561" s="194"/>
      <c r="BZ561" s="194"/>
      <c r="CA561" s="194"/>
      <c r="CB561" s="194"/>
      <c r="CC561" s="194"/>
      <c r="CD561" s="194"/>
      <c r="CE561" s="194"/>
      <c r="CF561" s="194"/>
      <c r="CG561" s="194"/>
      <c r="CH561" s="194"/>
      <c r="CI561" s="194"/>
      <c r="CJ561" s="194"/>
      <c r="CK561" s="194"/>
      <c r="CL561" s="194"/>
      <c r="CM561" s="194"/>
      <c r="CN561" s="194"/>
      <c r="CO561" s="194"/>
      <c r="CP561" s="194"/>
      <c r="CQ561" s="194"/>
      <c r="CR561" s="194"/>
      <c r="CS561" s="194"/>
      <c r="CT561" s="194"/>
      <c r="CU561" s="194"/>
      <c r="CV561" s="194"/>
      <c r="CW561" s="194"/>
      <c r="CX561" s="194"/>
      <c r="CY561" s="194"/>
      <c r="CZ561" s="194"/>
      <c r="DA561" s="194"/>
      <c r="DB561" s="194"/>
      <c r="DC561" s="194"/>
      <c r="DD561" s="194"/>
      <c r="DE561" s="194"/>
      <c r="DF561" s="194"/>
    </row>
    <row r="562" spans="2:110" s="192" customFormat="1" hidden="1" x14ac:dyDescent="0.35">
      <c r="B562" s="289"/>
      <c r="C562" s="289"/>
      <c r="Q562" s="193"/>
      <c r="R562" s="194">
        <f t="shared" si="395"/>
        <v>18</v>
      </c>
      <c r="S562" s="197">
        <f t="shared" si="361"/>
        <v>0.3888888888888889</v>
      </c>
      <c r="T562" s="194">
        <f t="shared" si="416"/>
        <v>0.69</v>
      </c>
      <c r="U562" s="194">
        <f t="shared" si="417"/>
        <v>1.4999999999999999E-4</v>
      </c>
      <c r="V562" s="197">
        <f t="shared" si="396"/>
        <v>0.3888888888888889</v>
      </c>
      <c r="W562" s="197">
        <f t="shared" si="362"/>
        <v>4.3555555555555561E-3</v>
      </c>
      <c r="X562" s="286">
        <f t="shared" si="363"/>
        <v>1</v>
      </c>
      <c r="Y562" s="286">
        <f t="shared" si="364"/>
        <v>0.17335969315081967</v>
      </c>
      <c r="Z562" s="286">
        <f t="shared" si="365"/>
        <v>0.54964853345132902</v>
      </c>
      <c r="AA562" s="286">
        <f t="shared" si="397"/>
        <v>0.17335969315081967</v>
      </c>
      <c r="AB562" s="197">
        <f t="shared" si="366"/>
        <v>0.36419974881911377</v>
      </c>
      <c r="AC562" s="287">
        <f t="shared" si="367"/>
        <v>4.4451203372005044E-7</v>
      </c>
      <c r="AD562" s="197">
        <f t="shared" si="398"/>
        <v>11.693936048110356</v>
      </c>
      <c r="AE562" s="197">
        <f t="shared" si="399"/>
        <v>35.08180814433107</v>
      </c>
      <c r="AF562" s="197">
        <f t="shared" si="400"/>
        <v>8.5178571428571423E-2</v>
      </c>
      <c r="AG562" s="197">
        <f t="shared" si="401"/>
        <v>0.25553571428571431</v>
      </c>
      <c r="AH562" s="197">
        <f t="shared" si="368"/>
        <v>0.11660930017110901</v>
      </c>
      <c r="AI562" s="197">
        <f t="shared" si="402"/>
        <v>0.11660930017110901</v>
      </c>
      <c r="AJ562" s="218">
        <f t="shared" si="369"/>
        <v>390.00000000000006</v>
      </c>
      <c r="AK562" s="197">
        <f t="shared" si="403"/>
        <v>6.0930617977437734E-2</v>
      </c>
      <c r="AL562" s="197">
        <f t="shared" si="404"/>
        <v>9.6203707235237593E-2</v>
      </c>
      <c r="AM562" s="197">
        <f t="shared" si="405"/>
        <v>4.0790371867740751E-3</v>
      </c>
      <c r="AN562" s="197">
        <f t="shared" si="370"/>
        <v>24.05</v>
      </c>
      <c r="AO562" s="197">
        <f t="shared" si="371"/>
        <v>21.69</v>
      </c>
      <c r="AP562" s="197">
        <f t="shared" si="406"/>
        <v>7.4093290390420161E-2</v>
      </c>
      <c r="AQ562" s="197">
        <f t="shared" si="407"/>
        <v>0.42250439890466829</v>
      </c>
      <c r="AR562" s="197">
        <f t="shared" si="408"/>
        <v>0.30589509873355925</v>
      </c>
      <c r="AS562" s="258">
        <f t="shared" si="409"/>
        <v>0.15228632177729159</v>
      </c>
      <c r="AT562" s="197">
        <f t="shared" si="372"/>
        <v>2.5974058656511614E-4</v>
      </c>
      <c r="AU562" s="194">
        <f t="shared" si="373"/>
        <v>21.19</v>
      </c>
      <c r="AV562" s="197">
        <f t="shared" si="374"/>
        <v>2.7E-2</v>
      </c>
      <c r="AW562" s="197">
        <f t="shared" si="375"/>
        <v>3.4260000000000002E-3</v>
      </c>
      <c r="AX562" s="197">
        <f t="shared" si="410"/>
        <v>6.1668000000000001E-2</v>
      </c>
      <c r="AY562" s="197">
        <f t="shared" si="376"/>
        <v>2.8867476000000005E-3</v>
      </c>
      <c r="AZ562" s="197">
        <f t="shared" si="377"/>
        <v>0</v>
      </c>
      <c r="BA562" s="197">
        <f t="shared" si="411"/>
        <v>7.2596940000000013E-2</v>
      </c>
      <c r="BB562" s="258">
        <f t="shared" si="378"/>
        <v>0.36575210336206115</v>
      </c>
      <c r="BC562" s="197">
        <f t="shared" si="379"/>
        <v>2.2380490766334034E-2</v>
      </c>
      <c r="BD562" s="197">
        <f t="shared" si="412"/>
        <v>4.4760981532668068E-3</v>
      </c>
      <c r="BE562" s="197">
        <f t="shared" si="413"/>
        <v>2.6856588919600841E-2</v>
      </c>
      <c r="BF562" s="197">
        <f t="shared" si="380"/>
        <v>0.20773291256157633</v>
      </c>
      <c r="BG562" s="197">
        <f t="shared" si="381"/>
        <v>5.4608303342508187E-4</v>
      </c>
      <c r="BH562" s="197">
        <f t="shared" si="382"/>
        <v>3.5336687086656722E-2</v>
      </c>
      <c r="BI562" s="197">
        <f t="shared" si="414"/>
        <v>0.44730899017824427</v>
      </c>
      <c r="BJ562" s="197">
        <f t="shared" si="383"/>
        <v>6.769615024661003</v>
      </c>
      <c r="BK562" s="288">
        <f t="shared" si="384"/>
        <v>0.93392401361838984</v>
      </c>
      <c r="BL562" s="197">
        <f t="shared" si="385"/>
        <v>0.37608972359227794</v>
      </c>
      <c r="BM562" s="197">
        <f t="shared" si="386"/>
        <v>7.4353030976985271E-2</v>
      </c>
      <c r="BN562" s="197">
        <f t="shared" si="387"/>
        <v>54.461181858619113</v>
      </c>
      <c r="BO562" s="197">
        <f t="shared" si="415"/>
        <v>0.2082789955950014</v>
      </c>
      <c r="BP562" s="197">
        <f t="shared" si="388"/>
        <v>65.620924669625111</v>
      </c>
      <c r="BQ562" s="197">
        <f t="shared" si="389"/>
        <v>9.9596940000000009E-2</v>
      </c>
      <c r="BR562" s="288">
        <f t="shared" si="390"/>
        <v>0.16008975919012108</v>
      </c>
      <c r="BS562" s="197">
        <f t="shared" si="391"/>
        <v>0.11660930017110901</v>
      </c>
      <c r="BT562" s="197">
        <f t="shared" si="392"/>
        <v>0.36419974881911377</v>
      </c>
      <c r="BU562" s="197">
        <f t="shared" si="393"/>
        <v>0.1713930788771201</v>
      </c>
      <c r="BV562" s="197">
        <f t="shared" si="394"/>
        <v>0.53530306917875781</v>
      </c>
      <c r="BW562" s="194"/>
      <c r="BX562" s="194"/>
      <c r="BY562" s="194"/>
      <c r="BZ562" s="194"/>
      <c r="CA562" s="194"/>
      <c r="CB562" s="194"/>
      <c r="CC562" s="194"/>
      <c r="CD562" s="194"/>
      <c r="CE562" s="194"/>
      <c r="CF562" s="194"/>
      <c r="CG562" s="194"/>
      <c r="CH562" s="194"/>
      <c r="CI562" s="194"/>
      <c r="CJ562" s="194"/>
      <c r="CK562" s="194"/>
      <c r="CL562" s="194"/>
      <c r="CM562" s="194"/>
      <c r="CN562" s="194"/>
      <c r="CO562" s="194"/>
      <c r="CP562" s="194"/>
      <c r="CQ562" s="194"/>
      <c r="CR562" s="194"/>
      <c r="CS562" s="194"/>
      <c r="CT562" s="194"/>
      <c r="CU562" s="194"/>
      <c r="CV562" s="194"/>
      <c r="CW562" s="194"/>
      <c r="CX562" s="194"/>
      <c r="CY562" s="194"/>
      <c r="CZ562" s="194"/>
      <c r="DA562" s="194"/>
      <c r="DB562" s="194"/>
      <c r="DC562" s="194"/>
      <c r="DD562" s="194"/>
      <c r="DE562" s="194"/>
      <c r="DF562" s="194"/>
    </row>
    <row r="563" spans="2:110" s="192" customFormat="1" hidden="1" x14ac:dyDescent="0.35">
      <c r="B563" s="289"/>
      <c r="C563" s="289"/>
      <c r="Q563" s="193"/>
      <c r="R563" s="194">
        <f t="shared" si="395"/>
        <v>18</v>
      </c>
      <c r="S563" s="197">
        <f t="shared" si="361"/>
        <v>0.3888888888888889</v>
      </c>
      <c r="T563" s="194">
        <f t="shared" si="416"/>
        <v>0.69</v>
      </c>
      <c r="U563" s="194">
        <f t="shared" si="417"/>
        <v>1.4999999999999999E-4</v>
      </c>
      <c r="V563" s="197">
        <f t="shared" si="396"/>
        <v>0.3888888888888889</v>
      </c>
      <c r="W563" s="197">
        <f t="shared" si="362"/>
        <v>4.3555555555555561E-3</v>
      </c>
      <c r="X563" s="286">
        <f t="shared" si="363"/>
        <v>1</v>
      </c>
      <c r="Y563" s="286">
        <f t="shared" si="364"/>
        <v>0.17335969315081967</v>
      </c>
      <c r="Z563" s="286">
        <f t="shared" si="365"/>
        <v>0.54964853345132902</v>
      </c>
      <c r="AA563" s="286">
        <f t="shared" si="397"/>
        <v>0.17335969315081967</v>
      </c>
      <c r="AB563" s="197">
        <f t="shared" si="366"/>
        <v>0.36419974881911377</v>
      </c>
      <c r="AC563" s="287">
        <f t="shared" si="367"/>
        <v>4.4451203372005044E-7</v>
      </c>
      <c r="AD563" s="197">
        <f t="shared" si="398"/>
        <v>11.693936048110356</v>
      </c>
      <c r="AE563" s="197">
        <f t="shared" si="399"/>
        <v>35.08180814433107</v>
      </c>
      <c r="AF563" s="197">
        <f t="shared" si="400"/>
        <v>8.5178571428571423E-2</v>
      </c>
      <c r="AG563" s="197">
        <f t="shared" si="401"/>
        <v>0.25553571428571431</v>
      </c>
      <c r="AH563" s="197">
        <f t="shared" si="368"/>
        <v>0.11660930017110901</v>
      </c>
      <c r="AI563" s="197">
        <f t="shared" si="402"/>
        <v>0.11660930017110901</v>
      </c>
      <c r="AJ563" s="218">
        <f t="shared" si="369"/>
        <v>390.00000000000006</v>
      </c>
      <c r="AK563" s="197">
        <f t="shared" si="403"/>
        <v>6.0930617977437734E-2</v>
      </c>
      <c r="AL563" s="197">
        <f t="shared" si="404"/>
        <v>9.6203707235237593E-2</v>
      </c>
      <c r="AM563" s="197">
        <f t="shared" si="405"/>
        <v>4.0790371867740751E-3</v>
      </c>
      <c r="AN563" s="197">
        <f t="shared" si="370"/>
        <v>24.05</v>
      </c>
      <c r="AO563" s="197">
        <f t="shared" si="371"/>
        <v>21.69</v>
      </c>
      <c r="AP563" s="197">
        <f t="shared" si="406"/>
        <v>7.4093290390420161E-2</v>
      </c>
      <c r="AQ563" s="197">
        <f t="shared" si="407"/>
        <v>0.42250439890466829</v>
      </c>
      <c r="AR563" s="197">
        <f t="shared" si="408"/>
        <v>0.30589509873355925</v>
      </c>
      <c r="AS563" s="258">
        <f t="shared" si="409"/>
        <v>0.15228632177729159</v>
      </c>
      <c r="AT563" s="197">
        <f t="shared" si="372"/>
        <v>2.5974058656511614E-4</v>
      </c>
      <c r="AU563" s="194">
        <f t="shared" si="373"/>
        <v>21.19</v>
      </c>
      <c r="AV563" s="197">
        <f t="shared" si="374"/>
        <v>2.7E-2</v>
      </c>
      <c r="AW563" s="197">
        <f t="shared" si="375"/>
        <v>3.4260000000000002E-3</v>
      </c>
      <c r="AX563" s="197">
        <f t="shared" si="410"/>
        <v>6.1668000000000001E-2</v>
      </c>
      <c r="AY563" s="197">
        <f t="shared" si="376"/>
        <v>2.8867476000000005E-3</v>
      </c>
      <c r="AZ563" s="197">
        <f t="shared" si="377"/>
        <v>0</v>
      </c>
      <c r="BA563" s="197">
        <f t="shared" si="411"/>
        <v>7.2596940000000013E-2</v>
      </c>
      <c r="BB563" s="258">
        <f t="shared" si="378"/>
        <v>0.36575210336206115</v>
      </c>
      <c r="BC563" s="197">
        <f t="shared" si="379"/>
        <v>2.2380490766334034E-2</v>
      </c>
      <c r="BD563" s="197">
        <f t="shared" si="412"/>
        <v>4.4760981532668068E-3</v>
      </c>
      <c r="BE563" s="197">
        <f t="shared" si="413"/>
        <v>2.6856588919600841E-2</v>
      </c>
      <c r="BF563" s="197">
        <f t="shared" si="380"/>
        <v>0.20773291256157633</v>
      </c>
      <c r="BG563" s="197">
        <f t="shared" si="381"/>
        <v>5.4608303342508187E-4</v>
      </c>
      <c r="BH563" s="197">
        <f t="shared" si="382"/>
        <v>3.5336687086656722E-2</v>
      </c>
      <c r="BI563" s="197">
        <f t="shared" si="414"/>
        <v>0.44730899017824427</v>
      </c>
      <c r="BJ563" s="197">
        <f t="shared" si="383"/>
        <v>6.769615024661003</v>
      </c>
      <c r="BK563" s="288">
        <f t="shared" si="384"/>
        <v>0.93392401361838984</v>
      </c>
      <c r="BL563" s="197">
        <f t="shared" si="385"/>
        <v>0.37608972359227794</v>
      </c>
      <c r="BM563" s="197">
        <f t="shared" si="386"/>
        <v>7.4353030976985271E-2</v>
      </c>
      <c r="BN563" s="197">
        <f t="shared" si="387"/>
        <v>54.461181858619113</v>
      </c>
      <c r="BO563" s="197">
        <f t="shared" si="415"/>
        <v>0.2082789955950014</v>
      </c>
      <c r="BP563" s="197">
        <f t="shared" si="388"/>
        <v>65.620924669625111</v>
      </c>
      <c r="BQ563" s="197">
        <f t="shared" si="389"/>
        <v>9.9596940000000009E-2</v>
      </c>
      <c r="BR563" s="288">
        <f t="shared" si="390"/>
        <v>0.16008975919012108</v>
      </c>
      <c r="BS563" s="197">
        <f t="shared" si="391"/>
        <v>0.11660930017110901</v>
      </c>
      <c r="BT563" s="197">
        <f t="shared" si="392"/>
        <v>0.36419974881911377</v>
      </c>
      <c r="BU563" s="197">
        <f t="shared" si="393"/>
        <v>0.1713930788771201</v>
      </c>
      <c r="BV563" s="197">
        <f t="shared" si="394"/>
        <v>0.53530306917875781</v>
      </c>
      <c r="BW563" s="194"/>
      <c r="BX563" s="194"/>
      <c r="BY563" s="194"/>
      <c r="BZ563" s="194"/>
      <c r="CA563" s="194"/>
      <c r="CB563" s="194"/>
      <c r="CC563" s="194"/>
      <c r="CD563" s="194"/>
      <c r="CE563" s="194"/>
      <c r="CF563" s="194"/>
      <c r="CG563" s="194"/>
      <c r="CH563" s="194"/>
      <c r="CI563" s="194"/>
      <c r="CJ563" s="194"/>
      <c r="CK563" s="194"/>
      <c r="CL563" s="194"/>
      <c r="CM563" s="194"/>
      <c r="CN563" s="194"/>
      <c r="CO563" s="194"/>
      <c r="CP563" s="194"/>
      <c r="CQ563" s="194"/>
      <c r="CR563" s="194"/>
      <c r="CS563" s="194"/>
      <c r="CT563" s="194"/>
      <c r="CU563" s="194"/>
      <c r="CV563" s="194"/>
      <c r="CW563" s="194"/>
      <c r="CX563" s="194"/>
      <c r="CY563" s="194"/>
      <c r="CZ563" s="194"/>
      <c r="DA563" s="194"/>
      <c r="DB563" s="194"/>
      <c r="DC563" s="194"/>
      <c r="DD563" s="194"/>
      <c r="DE563" s="194"/>
      <c r="DF563" s="194"/>
    </row>
    <row r="564" spans="2:110" s="192" customFormat="1" hidden="1" x14ac:dyDescent="0.35">
      <c r="B564" s="289"/>
      <c r="C564" s="289"/>
      <c r="Q564" s="193"/>
      <c r="R564" s="194">
        <f t="shared" si="395"/>
        <v>18</v>
      </c>
      <c r="S564" s="197">
        <f t="shared" si="361"/>
        <v>0.3888888888888889</v>
      </c>
      <c r="T564" s="194">
        <f t="shared" si="416"/>
        <v>0.69</v>
      </c>
      <c r="U564" s="194">
        <f t="shared" si="417"/>
        <v>1.4999999999999999E-4</v>
      </c>
      <c r="V564" s="197">
        <f t="shared" si="396"/>
        <v>0.3888888888888889</v>
      </c>
      <c r="W564" s="197">
        <f t="shared" si="362"/>
        <v>4.3555555555555561E-3</v>
      </c>
      <c r="X564" s="286">
        <f t="shared" si="363"/>
        <v>1</v>
      </c>
      <c r="Y564" s="286">
        <f t="shared" si="364"/>
        <v>0.17335969315081967</v>
      </c>
      <c r="Z564" s="286">
        <f t="shared" si="365"/>
        <v>0.54964853345132902</v>
      </c>
      <c r="AA564" s="286">
        <f t="shared" si="397"/>
        <v>0.17335969315081967</v>
      </c>
      <c r="AB564" s="197">
        <f t="shared" si="366"/>
        <v>0.36419974881911377</v>
      </c>
      <c r="AC564" s="287">
        <f t="shared" si="367"/>
        <v>4.4451203372005044E-7</v>
      </c>
      <c r="AD564" s="197">
        <f t="shared" si="398"/>
        <v>11.693936048110356</v>
      </c>
      <c r="AE564" s="197">
        <f t="shared" si="399"/>
        <v>35.08180814433107</v>
      </c>
      <c r="AF564" s="197">
        <f t="shared" si="400"/>
        <v>8.5178571428571423E-2</v>
      </c>
      <c r="AG564" s="197">
        <f t="shared" si="401"/>
        <v>0.25553571428571431</v>
      </c>
      <c r="AH564" s="197">
        <f t="shared" si="368"/>
        <v>0.11660930017110901</v>
      </c>
      <c r="AI564" s="197">
        <f t="shared" si="402"/>
        <v>0.11660930017110901</v>
      </c>
      <c r="AJ564" s="218">
        <f t="shared" si="369"/>
        <v>390.00000000000006</v>
      </c>
      <c r="AK564" s="197">
        <f t="shared" si="403"/>
        <v>6.0930617977437734E-2</v>
      </c>
      <c r="AL564" s="197">
        <f t="shared" si="404"/>
        <v>9.6203707235237593E-2</v>
      </c>
      <c r="AM564" s="197">
        <f t="shared" si="405"/>
        <v>4.0790371867740751E-3</v>
      </c>
      <c r="AN564" s="197">
        <f t="shared" si="370"/>
        <v>24.05</v>
      </c>
      <c r="AO564" s="197">
        <f t="shared" si="371"/>
        <v>21.69</v>
      </c>
      <c r="AP564" s="197">
        <f t="shared" si="406"/>
        <v>7.4093290390420161E-2</v>
      </c>
      <c r="AQ564" s="197">
        <f t="shared" si="407"/>
        <v>0.42250439890466829</v>
      </c>
      <c r="AR564" s="197">
        <f t="shared" si="408"/>
        <v>0.30589509873355925</v>
      </c>
      <c r="AS564" s="258">
        <f t="shared" si="409"/>
        <v>0.15228632177729159</v>
      </c>
      <c r="AT564" s="197">
        <f t="shared" si="372"/>
        <v>2.5974058656511614E-4</v>
      </c>
      <c r="AU564" s="194">
        <f t="shared" si="373"/>
        <v>21.19</v>
      </c>
      <c r="AV564" s="197">
        <f t="shared" si="374"/>
        <v>2.7E-2</v>
      </c>
      <c r="AW564" s="197">
        <f t="shared" si="375"/>
        <v>3.4260000000000002E-3</v>
      </c>
      <c r="AX564" s="197">
        <f t="shared" si="410"/>
        <v>6.1668000000000001E-2</v>
      </c>
      <c r="AY564" s="197">
        <f t="shared" si="376"/>
        <v>2.8867476000000005E-3</v>
      </c>
      <c r="AZ564" s="197">
        <f t="shared" si="377"/>
        <v>0</v>
      </c>
      <c r="BA564" s="197">
        <f t="shared" si="411"/>
        <v>7.2596940000000013E-2</v>
      </c>
      <c r="BB564" s="258">
        <f t="shared" si="378"/>
        <v>0.36575210336206115</v>
      </c>
      <c r="BC564" s="197">
        <f t="shared" si="379"/>
        <v>2.2380490766334034E-2</v>
      </c>
      <c r="BD564" s="197">
        <f t="shared" si="412"/>
        <v>4.4760981532668068E-3</v>
      </c>
      <c r="BE564" s="197">
        <f t="shared" si="413"/>
        <v>2.6856588919600841E-2</v>
      </c>
      <c r="BF564" s="197">
        <f t="shared" si="380"/>
        <v>0.20773291256157633</v>
      </c>
      <c r="BG564" s="197">
        <f t="shared" si="381"/>
        <v>5.4608303342508187E-4</v>
      </c>
      <c r="BH564" s="197">
        <f t="shared" si="382"/>
        <v>3.5336687086656722E-2</v>
      </c>
      <c r="BI564" s="197">
        <f t="shared" si="414"/>
        <v>0.44730899017824427</v>
      </c>
      <c r="BJ564" s="197">
        <f t="shared" si="383"/>
        <v>6.769615024661003</v>
      </c>
      <c r="BK564" s="288">
        <f t="shared" si="384"/>
        <v>0.93392401361838984</v>
      </c>
      <c r="BL564" s="197">
        <f t="shared" si="385"/>
        <v>0.37608972359227794</v>
      </c>
      <c r="BM564" s="197">
        <f t="shared" si="386"/>
        <v>7.4353030976985271E-2</v>
      </c>
      <c r="BN564" s="197">
        <f t="shared" si="387"/>
        <v>54.461181858619113</v>
      </c>
      <c r="BO564" s="197">
        <f t="shared" si="415"/>
        <v>0.2082789955950014</v>
      </c>
      <c r="BP564" s="197">
        <f t="shared" si="388"/>
        <v>65.620924669625111</v>
      </c>
      <c r="BQ564" s="197">
        <f t="shared" si="389"/>
        <v>9.9596940000000009E-2</v>
      </c>
      <c r="BR564" s="288">
        <f t="shared" si="390"/>
        <v>0.16008975919012108</v>
      </c>
      <c r="BS564" s="197">
        <f t="shared" si="391"/>
        <v>0.11660930017110901</v>
      </c>
      <c r="BT564" s="197">
        <f t="shared" si="392"/>
        <v>0.36419974881911377</v>
      </c>
      <c r="BU564" s="197">
        <f t="shared" si="393"/>
        <v>0.1713930788771201</v>
      </c>
      <c r="BV564" s="197">
        <f t="shared" si="394"/>
        <v>0.53530306917875781</v>
      </c>
      <c r="BW564" s="194"/>
      <c r="BX564" s="194"/>
      <c r="BY564" s="194"/>
      <c r="BZ564" s="194"/>
      <c r="CA564" s="194"/>
      <c r="CB564" s="194"/>
      <c r="CC564" s="194"/>
      <c r="CD564" s="194"/>
      <c r="CE564" s="194"/>
      <c r="CF564" s="194"/>
      <c r="CG564" s="194"/>
      <c r="CH564" s="194"/>
      <c r="CI564" s="194"/>
      <c r="CJ564" s="194"/>
      <c r="CK564" s="194"/>
      <c r="CL564" s="194"/>
      <c r="CM564" s="194"/>
      <c r="CN564" s="194"/>
      <c r="CO564" s="194"/>
      <c r="CP564" s="194"/>
      <c r="CQ564" s="194"/>
      <c r="CR564" s="194"/>
      <c r="CS564" s="194"/>
      <c r="CT564" s="194"/>
      <c r="CU564" s="194"/>
      <c r="CV564" s="194"/>
      <c r="CW564" s="194"/>
      <c r="CX564" s="194"/>
      <c r="CY564" s="194"/>
      <c r="CZ564" s="194"/>
      <c r="DA564" s="194"/>
      <c r="DB564" s="194"/>
      <c r="DC564" s="194"/>
      <c r="DD564" s="194"/>
      <c r="DE564" s="194"/>
      <c r="DF564" s="194"/>
    </row>
    <row r="565" spans="2:110" s="192" customFormat="1" hidden="1" x14ac:dyDescent="0.35">
      <c r="B565" s="289"/>
      <c r="C565" s="289"/>
      <c r="Q565" s="193"/>
      <c r="R565" s="194">
        <f t="shared" si="395"/>
        <v>18</v>
      </c>
      <c r="S565" s="197">
        <f t="shared" si="361"/>
        <v>0.3888888888888889</v>
      </c>
      <c r="T565" s="194">
        <f t="shared" si="416"/>
        <v>0.69</v>
      </c>
      <c r="U565" s="194">
        <f t="shared" si="417"/>
        <v>1.4999999999999999E-4</v>
      </c>
      <c r="V565" s="197">
        <f t="shared" si="396"/>
        <v>0.3888888888888889</v>
      </c>
      <c r="W565" s="197">
        <f t="shared" si="362"/>
        <v>4.3555555555555561E-3</v>
      </c>
      <c r="X565" s="286">
        <f t="shared" si="363"/>
        <v>1</v>
      </c>
      <c r="Y565" s="286">
        <f t="shared" si="364"/>
        <v>0.17335969315081967</v>
      </c>
      <c r="Z565" s="286">
        <f t="shared" si="365"/>
        <v>0.54964853345132902</v>
      </c>
      <c r="AA565" s="286">
        <f t="shared" si="397"/>
        <v>0.17335969315081967</v>
      </c>
      <c r="AB565" s="197">
        <f t="shared" si="366"/>
        <v>0.36419974881911377</v>
      </c>
      <c r="AC565" s="287">
        <f t="shared" si="367"/>
        <v>4.4451203372005044E-7</v>
      </c>
      <c r="AD565" s="197">
        <f t="shared" si="398"/>
        <v>11.693936048110356</v>
      </c>
      <c r="AE565" s="197">
        <f t="shared" si="399"/>
        <v>35.08180814433107</v>
      </c>
      <c r="AF565" s="197">
        <f t="shared" si="400"/>
        <v>8.5178571428571423E-2</v>
      </c>
      <c r="AG565" s="197">
        <f t="shared" si="401"/>
        <v>0.25553571428571431</v>
      </c>
      <c r="AH565" s="197">
        <f t="shared" si="368"/>
        <v>0.11660930017110901</v>
      </c>
      <c r="AI565" s="197">
        <f t="shared" si="402"/>
        <v>0.11660930017110901</v>
      </c>
      <c r="AJ565" s="218">
        <f t="shared" si="369"/>
        <v>390.00000000000006</v>
      </c>
      <c r="AK565" s="197">
        <f t="shared" si="403"/>
        <v>6.0930617977437734E-2</v>
      </c>
      <c r="AL565" s="197">
        <f t="shared" si="404"/>
        <v>9.6203707235237593E-2</v>
      </c>
      <c r="AM565" s="197">
        <f t="shared" si="405"/>
        <v>4.0790371867740751E-3</v>
      </c>
      <c r="AN565" s="197">
        <f t="shared" si="370"/>
        <v>24.05</v>
      </c>
      <c r="AO565" s="197">
        <f t="shared" si="371"/>
        <v>21.69</v>
      </c>
      <c r="AP565" s="197">
        <f t="shared" si="406"/>
        <v>7.4093290390420161E-2</v>
      </c>
      <c r="AQ565" s="197">
        <f t="shared" si="407"/>
        <v>0.42250439890466829</v>
      </c>
      <c r="AR565" s="197">
        <f t="shared" si="408"/>
        <v>0.30589509873355925</v>
      </c>
      <c r="AS565" s="258">
        <f t="shared" si="409"/>
        <v>0.15228632177729159</v>
      </c>
      <c r="AT565" s="197">
        <f t="shared" si="372"/>
        <v>2.5974058656511614E-4</v>
      </c>
      <c r="AU565" s="194">
        <f t="shared" si="373"/>
        <v>21.19</v>
      </c>
      <c r="AV565" s="197">
        <f t="shared" si="374"/>
        <v>2.7E-2</v>
      </c>
      <c r="AW565" s="197">
        <f t="shared" si="375"/>
        <v>3.4260000000000002E-3</v>
      </c>
      <c r="AX565" s="197">
        <f t="shared" si="410"/>
        <v>6.1668000000000001E-2</v>
      </c>
      <c r="AY565" s="197">
        <f t="shared" si="376"/>
        <v>2.8867476000000005E-3</v>
      </c>
      <c r="AZ565" s="197">
        <f t="shared" si="377"/>
        <v>0</v>
      </c>
      <c r="BA565" s="197">
        <f t="shared" si="411"/>
        <v>7.2596940000000013E-2</v>
      </c>
      <c r="BB565" s="258">
        <f t="shared" si="378"/>
        <v>0.36575210336206115</v>
      </c>
      <c r="BC565" s="197">
        <f t="shared" si="379"/>
        <v>2.2380490766334034E-2</v>
      </c>
      <c r="BD565" s="197">
        <f t="shared" si="412"/>
        <v>4.4760981532668068E-3</v>
      </c>
      <c r="BE565" s="197">
        <f t="shared" si="413"/>
        <v>2.6856588919600841E-2</v>
      </c>
      <c r="BF565" s="197">
        <f t="shared" si="380"/>
        <v>0.20773291256157633</v>
      </c>
      <c r="BG565" s="197">
        <f t="shared" si="381"/>
        <v>5.4608303342508187E-4</v>
      </c>
      <c r="BH565" s="197">
        <f t="shared" si="382"/>
        <v>3.5336687086656722E-2</v>
      </c>
      <c r="BI565" s="197">
        <f t="shared" si="414"/>
        <v>0.44730899017824427</v>
      </c>
      <c r="BJ565" s="197">
        <f t="shared" si="383"/>
        <v>6.769615024661003</v>
      </c>
      <c r="BK565" s="288">
        <f t="shared" si="384"/>
        <v>0.93392401361838984</v>
      </c>
      <c r="BL565" s="197">
        <f t="shared" si="385"/>
        <v>0.37608972359227794</v>
      </c>
      <c r="BM565" s="197">
        <f t="shared" si="386"/>
        <v>7.4353030976985271E-2</v>
      </c>
      <c r="BN565" s="197">
        <f t="shared" si="387"/>
        <v>54.461181858619113</v>
      </c>
      <c r="BO565" s="197">
        <f t="shared" si="415"/>
        <v>0.2082789955950014</v>
      </c>
      <c r="BP565" s="197">
        <f t="shared" si="388"/>
        <v>65.620924669625111</v>
      </c>
      <c r="BQ565" s="197">
        <f t="shared" si="389"/>
        <v>9.9596940000000009E-2</v>
      </c>
      <c r="BR565" s="288">
        <f t="shared" si="390"/>
        <v>0.16008975919012108</v>
      </c>
      <c r="BS565" s="197">
        <f t="shared" si="391"/>
        <v>0.11660930017110901</v>
      </c>
      <c r="BT565" s="197">
        <f t="shared" si="392"/>
        <v>0.36419974881911377</v>
      </c>
      <c r="BU565" s="197">
        <f t="shared" si="393"/>
        <v>0.1713930788771201</v>
      </c>
      <c r="BV565" s="197">
        <f t="shared" si="394"/>
        <v>0.53530306917875781</v>
      </c>
      <c r="BW565" s="194"/>
      <c r="BX565" s="194"/>
      <c r="BY565" s="194"/>
      <c r="BZ565" s="194"/>
      <c r="CA565" s="194"/>
      <c r="CB565" s="194"/>
      <c r="CC565" s="194"/>
      <c r="CD565" s="194"/>
      <c r="CE565" s="194"/>
      <c r="CF565" s="194"/>
      <c r="CG565" s="194"/>
      <c r="CH565" s="194"/>
      <c r="CI565" s="194"/>
      <c r="CJ565" s="194"/>
      <c r="CK565" s="194"/>
      <c r="CL565" s="194"/>
      <c r="CM565" s="194"/>
      <c r="CN565" s="194"/>
      <c r="CO565" s="194"/>
      <c r="CP565" s="194"/>
      <c r="CQ565" s="194"/>
      <c r="CR565" s="194"/>
      <c r="CS565" s="194"/>
      <c r="CT565" s="194"/>
      <c r="CU565" s="194"/>
      <c r="CV565" s="194"/>
      <c r="CW565" s="194"/>
      <c r="CX565" s="194"/>
      <c r="CY565" s="194"/>
      <c r="CZ565" s="194"/>
      <c r="DA565" s="194"/>
      <c r="DB565" s="194"/>
      <c r="DC565" s="194"/>
      <c r="DD565" s="194"/>
      <c r="DE565" s="194"/>
      <c r="DF565" s="194"/>
    </row>
    <row r="566" spans="2:110" s="192" customFormat="1" hidden="1" x14ac:dyDescent="0.35">
      <c r="B566" s="289"/>
      <c r="C566" s="289"/>
      <c r="Q566" s="193"/>
      <c r="R566" s="194">
        <f t="shared" si="395"/>
        <v>18</v>
      </c>
      <c r="S566" s="197">
        <f t="shared" si="361"/>
        <v>0.3888888888888889</v>
      </c>
      <c r="T566" s="194">
        <f t="shared" si="416"/>
        <v>0.69</v>
      </c>
      <c r="U566" s="194">
        <f t="shared" si="417"/>
        <v>1.4999999999999999E-4</v>
      </c>
      <c r="V566" s="197">
        <f t="shared" si="396"/>
        <v>0.3888888888888889</v>
      </c>
      <c r="W566" s="197">
        <f t="shared" si="362"/>
        <v>4.3555555555555561E-3</v>
      </c>
      <c r="X566" s="286">
        <f t="shared" si="363"/>
        <v>1</v>
      </c>
      <c r="Y566" s="286">
        <f t="shared" si="364"/>
        <v>0.17335969315081967</v>
      </c>
      <c r="Z566" s="286">
        <f t="shared" si="365"/>
        <v>0.54964853345132902</v>
      </c>
      <c r="AA566" s="286">
        <f t="shared" si="397"/>
        <v>0.17335969315081967</v>
      </c>
      <c r="AB566" s="197">
        <f t="shared" si="366"/>
        <v>0.36419974881911377</v>
      </c>
      <c r="AC566" s="287">
        <f t="shared" si="367"/>
        <v>4.4451203372005044E-7</v>
      </c>
      <c r="AD566" s="197">
        <f t="shared" si="398"/>
        <v>11.693936048110356</v>
      </c>
      <c r="AE566" s="197">
        <f t="shared" si="399"/>
        <v>35.08180814433107</v>
      </c>
      <c r="AF566" s="197">
        <f t="shared" si="400"/>
        <v>8.5178571428571423E-2</v>
      </c>
      <c r="AG566" s="197">
        <f t="shared" si="401"/>
        <v>0.25553571428571431</v>
      </c>
      <c r="AH566" s="197">
        <f t="shared" si="368"/>
        <v>0.11660930017110901</v>
      </c>
      <c r="AI566" s="197">
        <f t="shared" si="402"/>
        <v>0.11660930017110901</v>
      </c>
      <c r="AJ566" s="218">
        <f t="shared" si="369"/>
        <v>390.00000000000006</v>
      </c>
      <c r="AK566" s="197">
        <f t="shared" si="403"/>
        <v>6.0930617977437734E-2</v>
      </c>
      <c r="AL566" s="197">
        <f t="shared" si="404"/>
        <v>9.6203707235237593E-2</v>
      </c>
      <c r="AM566" s="197">
        <f t="shared" si="405"/>
        <v>4.0790371867740751E-3</v>
      </c>
      <c r="AN566" s="197">
        <f t="shared" si="370"/>
        <v>24.05</v>
      </c>
      <c r="AO566" s="197">
        <f t="shared" si="371"/>
        <v>21.69</v>
      </c>
      <c r="AP566" s="197">
        <f t="shared" si="406"/>
        <v>7.4093290390420161E-2</v>
      </c>
      <c r="AQ566" s="197">
        <f t="shared" si="407"/>
        <v>0.42250439890466829</v>
      </c>
      <c r="AR566" s="197">
        <f t="shared" si="408"/>
        <v>0.30589509873355925</v>
      </c>
      <c r="AS566" s="258">
        <f t="shared" si="409"/>
        <v>0.15228632177729159</v>
      </c>
      <c r="AT566" s="197">
        <f t="shared" si="372"/>
        <v>2.5974058656511614E-4</v>
      </c>
      <c r="AU566" s="194">
        <f t="shared" si="373"/>
        <v>21.19</v>
      </c>
      <c r="AV566" s="197">
        <f t="shared" si="374"/>
        <v>2.7E-2</v>
      </c>
      <c r="AW566" s="197">
        <f t="shared" si="375"/>
        <v>3.4260000000000002E-3</v>
      </c>
      <c r="AX566" s="197">
        <f t="shared" si="410"/>
        <v>6.1668000000000001E-2</v>
      </c>
      <c r="AY566" s="197">
        <f t="shared" si="376"/>
        <v>2.8867476000000005E-3</v>
      </c>
      <c r="AZ566" s="197">
        <f t="shared" si="377"/>
        <v>0</v>
      </c>
      <c r="BA566" s="197">
        <f t="shared" si="411"/>
        <v>7.2596940000000013E-2</v>
      </c>
      <c r="BB566" s="258">
        <f t="shared" si="378"/>
        <v>0.36575210336206115</v>
      </c>
      <c r="BC566" s="197">
        <f t="shared" si="379"/>
        <v>2.2380490766334034E-2</v>
      </c>
      <c r="BD566" s="197">
        <f t="shared" si="412"/>
        <v>4.4760981532668068E-3</v>
      </c>
      <c r="BE566" s="197">
        <f t="shared" si="413"/>
        <v>2.6856588919600841E-2</v>
      </c>
      <c r="BF566" s="197">
        <f t="shared" si="380"/>
        <v>0.20773291256157633</v>
      </c>
      <c r="BG566" s="197">
        <f t="shared" si="381"/>
        <v>5.4608303342508187E-4</v>
      </c>
      <c r="BH566" s="197">
        <f t="shared" si="382"/>
        <v>3.5336687086656722E-2</v>
      </c>
      <c r="BI566" s="197">
        <f t="shared" si="414"/>
        <v>0.44730899017824427</v>
      </c>
      <c r="BJ566" s="197">
        <f t="shared" si="383"/>
        <v>6.769615024661003</v>
      </c>
      <c r="BK566" s="288">
        <f t="shared" si="384"/>
        <v>0.93392401361838984</v>
      </c>
      <c r="BL566" s="197">
        <f t="shared" si="385"/>
        <v>0.37608972359227794</v>
      </c>
      <c r="BM566" s="197">
        <f t="shared" si="386"/>
        <v>7.4353030976985271E-2</v>
      </c>
      <c r="BN566" s="197">
        <f t="shared" si="387"/>
        <v>54.461181858619113</v>
      </c>
      <c r="BO566" s="197">
        <f t="shared" si="415"/>
        <v>0.2082789955950014</v>
      </c>
      <c r="BP566" s="197">
        <f t="shared" si="388"/>
        <v>65.620924669625111</v>
      </c>
      <c r="BQ566" s="197">
        <f t="shared" si="389"/>
        <v>9.9596940000000009E-2</v>
      </c>
      <c r="BR566" s="288">
        <f t="shared" si="390"/>
        <v>0.16008975919012108</v>
      </c>
      <c r="BS566" s="197">
        <f t="shared" si="391"/>
        <v>0.11660930017110901</v>
      </c>
      <c r="BT566" s="197">
        <f t="shared" si="392"/>
        <v>0.36419974881911377</v>
      </c>
      <c r="BU566" s="197">
        <f t="shared" si="393"/>
        <v>0.1713930788771201</v>
      </c>
      <c r="BV566" s="197">
        <f t="shared" si="394"/>
        <v>0.53530306917875781</v>
      </c>
      <c r="BW566" s="194"/>
      <c r="BX566" s="194"/>
      <c r="BY566" s="194"/>
      <c r="BZ566" s="194"/>
      <c r="CA566" s="194"/>
      <c r="CB566" s="194"/>
      <c r="CC566" s="194"/>
      <c r="CD566" s="194"/>
      <c r="CE566" s="194"/>
      <c r="CF566" s="194"/>
      <c r="CG566" s="194"/>
      <c r="CH566" s="194"/>
      <c r="CI566" s="194"/>
      <c r="CJ566" s="194"/>
      <c r="CK566" s="194"/>
      <c r="CL566" s="194"/>
      <c r="CM566" s="194"/>
      <c r="CN566" s="194"/>
      <c r="CO566" s="194"/>
      <c r="CP566" s="194"/>
      <c r="CQ566" s="194"/>
      <c r="CR566" s="194"/>
      <c r="CS566" s="194"/>
      <c r="CT566" s="194"/>
      <c r="CU566" s="194"/>
      <c r="CV566" s="194"/>
      <c r="CW566" s="194"/>
      <c r="CX566" s="194"/>
      <c r="CY566" s="194"/>
      <c r="CZ566" s="194"/>
      <c r="DA566" s="194"/>
      <c r="DB566" s="194"/>
      <c r="DC566" s="194"/>
      <c r="DD566" s="194"/>
      <c r="DE566" s="194"/>
      <c r="DF566" s="194"/>
    </row>
    <row r="567" spans="2:110" s="192" customFormat="1" hidden="1" x14ac:dyDescent="0.35">
      <c r="B567" s="289"/>
      <c r="C567" s="289"/>
      <c r="Q567" s="193"/>
      <c r="R567" s="194">
        <f t="shared" si="395"/>
        <v>18</v>
      </c>
      <c r="S567" s="197">
        <f t="shared" si="361"/>
        <v>0.3888888888888889</v>
      </c>
      <c r="T567" s="194">
        <f t="shared" si="416"/>
        <v>0.69</v>
      </c>
      <c r="U567" s="194">
        <f t="shared" si="417"/>
        <v>1.4999999999999999E-4</v>
      </c>
      <c r="V567" s="197">
        <f t="shared" si="396"/>
        <v>0.3888888888888889</v>
      </c>
      <c r="W567" s="197">
        <f t="shared" si="362"/>
        <v>4.3555555555555561E-3</v>
      </c>
      <c r="X567" s="286">
        <f t="shared" si="363"/>
        <v>1</v>
      </c>
      <c r="Y567" s="286">
        <f t="shared" si="364"/>
        <v>0.17335969315081967</v>
      </c>
      <c r="Z567" s="286">
        <f t="shared" si="365"/>
        <v>0.54964853345132902</v>
      </c>
      <c r="AA567" s="286">
        <f t="shared" si="397"/>
        <v>0.17335969315081967</v>
      </c>
      <c r="AB567" s="197">
        <f t="shared" si="366"/>
        <v>0.36419974881911377</v>
      </c>
      <c r="AC567" s="287">
        <f t="shared" si="367"/>
        <v>4.4451203372005044E-7</v>
      </c>
      <c r="AD567" s="197">
        <f t="shared" si="398"/>
        <v>11.693936048110356</v>
      </c>
      <c r="AE567" s="197">
        <f t="shared" si="399"/>
        <v>35.08180814433107</v>
      </c>
      <c r="AF567" s="197">
        <f t="shared" si="400"/>
        <v>8.5178571428571423E-2</v>
      </c>
      <c r="AG567" s="197">
        <f t="shared" si="401"/>
        <v>0.25553571428571431</v>
      </c>
      <c r="AH567" s="197">
        <f t="shared" si="368"/>
        <v>0.11660930017110901</v>
      </c>
      <c r="AI567" s="197">
        <f t="shared" si="402"/>
        <v>0.11660930017110901</v>
      </c>
      <c r="AJ567" s="218">
        <f t="shared" si="369"/>
        <v>390.00000000000006</v>
      </c>
      <c r="AK567" s="197">
        <f t="shared" si="403"/>
        <v>6.0930617977437734E-2</v>
      </c>
      <c r="AL567" s="197">
        <f t="shared" si="404"/>
        <v>9.6203707235237593E-2</v>
      </c>
      <c r="AM567" s="197">
        <f t="shared" si="405"/>
        <v>4.0790371867740751E-3</v>
      </c>
      <c r="AN567" s="197">
        <f t="shared" si="370"/>
        <v>24.05</v>
      </c>
      <c r="AO567" s="197">
        <f t="shared" si="371"/>
        <v>21.69</v>
      </c>
      <c r="AP567" s="197">
        <f t="shared" si="406"/>
        <v>7.4093290390420161E-2</v>
      </c>
      <c r="AQ567" s="197">
        <f t="shared" si="407"/>
        <v>0.42250439890466829</v>
      </c>
      <c r="AR567" s="197">
        <f t="shared" si="408"/>
        <v>0.30589509873355925</v>
      </c>
      <c r="AS567" s="258">
        <f t="shared" si="409"/>
        <v>0.15228632177729159</v>
      </c>
      <c r="AT567" s="197">
        <f t="shared" si="372"/>
        <v>2.5974058656511614E-4</v>
      </c>
      <c r="AU567" s="194">
        <f t="shared" si="373"/>
        <v>21.19</v>
      </c>
      <c r="AV567" s="197">
        <f t="shared" si="374"/>
        <v>2.7E-2</v>
      </c>
      <c r="AW567" s="197">
        <f t="shared" si="375"/>
        <v>3.4260000000000002E-3</v>
      </c>
      <c r="AX567" s="197">
        <f t="shared" si="410"/>
        <v>6.1668000000000001E-2</v>
      </c>
      <c r="AY567" s="197">
        <f t="shared" si="376"/>
        <v>2.8867476000000005E-3</v>
      </c>
      <c r="AZ567" s="197">
        <f t="shared" si="377"/>
        <v>0</v>
      </c>
      <c r="BA567" s="197">
        <f t="shared" si="411"/>
        <v>7.2596940000000013E-2</v>
      </c>
      <c r="BB567" s="258">
        <f t="shared" si="378"/>
        <v>0.36575210336206115</v>
      </c>
      <c r="BC567" s="197">
        <f t="shared" si="379"/>
        <v>2.2380490766334034E-2</v>
      </c>
      <c r="BD567" s="197">
        <f t="shared" si="412"/>
        <v>4.4760981532668068E-3</v>
      </c>
      <c r="BE567" s="197">
        <f t="shared" si="413"/>
        <v>2.6856588919600841E-2</v>
      </c>
      <c r="BF567" s="197">
        <f t="shared" si="380"/>
        <v>0.20773291256157633</v>
      </c>
      <c r="BG567" s="197">
        <f t="shared" si="381"/>
        <v>5.4608303342508187E-4</v>
      </c>
      <c r="BH567" s="197">
        <f t="shared" si="382"/>
        <v>3.5336687086656722E-2</v>
      </c>
      <c r="BI567" s="197">
        <f t="shared" si="414"/>
        <v>0.44730899017824427</v>
      </c>
      <c r="BJ567" s="197">
        <f t="shared" si="383"/>
        <v>6.769615024661003</v>
      </c>
      <c r="BK567" s="288">
        <f t="shared" si="384"/>
        <v>0.93392401361838984</v>
      </c>
      <c r="BL567" s="197">
        <f t="shared" si="385"/>
        <v>0.37608972359227794</v>
      </c>
      <c r="BM567" s="197">
        <f t="shared" si="386"/>
        <v>7.4353030976985271E-2</v>
      </c>
      <c r="BN567" s="197">
        <f t="shared" si="387"/>
        <v>54.461181858619113</v>
      </c>
      <c r="BO567" s="197">
        <f t="shared" si="415"/>
        <v>0.2082789955950014</v>
      </c>
      <c r="BP567" s="197">
        <f t="shared" si="388"/>
        <v>65.620924669625111</v>
      </c>
      <c r="BQ567" s="197">
        <f t="shared" si="389"/>
        <v>9.9596940000000009E-2</v>
      </c>
      <c r="BR567" s="288">
        <f t="shared" si="390"/>
        <v>0.16008975919012108</v>
      </c>
      <c r="BS567" s="197">
        <f t="shared" si="391"/>
        <v>0.11660930017110901</v>
      </c>
      <c r="BT567" s="197">
        <f t="shared" si="392"/>
        <v>0.36419974881911377</v>
      </c>
      <c r="BU567" s="197">
        <f t="shared" si="393"/>
        <v>0.1713930788771201</v>
      </c>
      <c r="BV567" s="197">
        <f t="shared" si="394"/>
        <v>0.53530306917875781</v>
      </c>
      <c r="BW567" s="194"/>
      <c r="BX567" s="194"/>
      <c r="BY567" s="194"/>
      <c r="BZ567" s="194"/>
      <c r="CA567" s="194"/>
      <c r="CB567" s="194"/>
      <c r="CC567" s="194"/>
      <c r="CD567" s="194"/>
      <c r="CE567" s="194"/>
      <c r="CF567" s="194"/>
      <c r="CG567" s="194"/>
      <c r="CH567" s="194"/>
      <c r="CI567" s="194"/>
      <c r="CJ567" s="194"/>
      <c r="CK567" s="194"/>
      <c r="CL567" s="194"/>
      <c r="CM567" s="194"/>
      <c r="CN567" s="194"/>
      <c r="CO567" s="194"/>
      <c r="CP567" s="194"/>
      <c r="CQ567" s="194"/>
      <c r="CR567" s="194"/>
      <c r="CS567" s="194"/>
      <c r="CT567" s="194"/>
      <c r="CU567" s="194"/>
      <c r="CV567" s="194"/>
      <c r="CW567" s="194"/>
      <c r="CX567" s="194"/>
      <c r="CY567" s="194"/>
      <c r="CZ567" s="194"/>
      <c r="DA567" s="194"/>
      <c r="DB567" s="194"/>
      <c r="DC567" s="194"/>
      <c r="DD567" s="194"/>
      <c r="DE567" s="194"/>
      <c r="DF567" s="194"/>
    </row>
    <row r="568" spans="2:110" s="192" customFormat="1" hidden="1" x14ac:dyDescent="0.35">
      <c r="B568" s="289"/>
      <c r="C568" s="289"/>
      <c r="Q568" s="193"/>
      <c r="R568" s="194">
        <f t="shared" si="395"/>
        <v>18</v>
      </c>
      <c r="S568" s="197">
        <f t="shared" ref="S568:S631" si="418">(VLEDS/R568)*ILED/0.9</f>
        <v>0.3888888888888889</v>
      </c>
      <c r="T568" s="194">
        <f t="shared" si="416"/>
        <v>0.69</v>
      </c>
      <c r="U568" s="194">
        <f t="shared" si="417"/>
        <v>1.4999999999999999E-4</v>
      </c>
      <c r="V568" s="197">
        <f t="shared" si="396"/>
        <v>0.3888888888888889</v>
      </c>
      <c r="W568" s="197">
        <f t="shared" ref="W568:W631" si="419">V568*RON</f>
        <v>4.3555555555555561E-3</v>
      </c>
      <c r="X568" s="286">
        <f t="shared" ref="X568:X631" si="420">IF((VLEDS+T568+ILEDF*(RON+RCOIL))/(R568+T568-W568)&gt;1,1,(VLEDS+T568+ILEDF*(RON+RCOIL))/(R568+T568-W568))</f>
        <v>1</v>
      </c>
      <c r="Y568" s="286">
        <f t="shared" ref="Y568:Y631" si="421">IF((VLEDS-R568+T568+S568*(RON+RCOIL))/(VLEDS+T568-W568)&lt;0,0,(VLEDS-R568+T568+S568*(RON+RCOIL))/(VLEDS+T568-W568))</f>
        <v>0.17335969315081967</v>
      </c>
      <c r="Z568" s="286">
        <f t="shared" ref="Z568:Z631" si="422">(VLEDS+T568+(S568+ILEDF)*(RON+RCOIL))/(VLEDS+R568+T568-W568)</f>
        <v>0.54964853345132902</v>
      </c>
      <c r="AA568" s="286">
        <f t="shared" si="397"/>
        <v>0.17335969315081967</v>
      </c>
      <c r="AB568" s="197">
        <f t="shared" ref="AB568:AB631" si="423">IF(CONFIG="BUCK",ILEDF,ILEDF/(1-AA568))</f>
        <v>0.36419974881911377</v>
      </c>
      <c r="AC568" s="287">
        <f t="shared" ref="AC568:AC631" si="424">AA568/(FINIT*1000)</f>
        <v>4.4451203372005044E-7</v>
      </c>
      <c r="AD568" s="197">
        <f t="shared" si="398"/>
        <v>11.693936048110356</v>
      </c>
      <c r="AE568" s="197">
        <f t="shared" si="399"/>
        <v>35.08180814433107</v>
      </c>
      <c r="AF568" s="197">
        <f t="shared" si="400"/>
        <v>8.5178571428571423E-2</v>
      </c>
      <c r="AG568" s="197">
        <f t="shared" si="401"/>
        <v>0.25553571428571431</v>
      </c>
      <c r="AH568" s="197">
        <f t="shared" ref="AH568:AH631" si="425">IF(CONFIG="BUCK",R568-VLEDS-AB568*(RS+RCOIL)-W568,R568-AB568*(RS+RCOIL)-W568)*AC568/(L*0.000001)</f>
        <v>0.11660930017110901</v>
      </c>
      <c r="AI568" s="197">
        <f t="shared" si="402"/>
        <v>0.11660930017110901</v>
      </c>
      <c r="AJ568" s="218">
        <f t="shared" ref="AJ568:AJ631" si="426">0.001*AA568*AH568/(AI568*AC568)</f>
        <v>390.00000000000006</v>
      </c>
      <c r="AK568" s="197">
        <f t="shared" si="403"/>
        <v>6.0930617977437734E-2</v>
      </c>
      <c r="AL568" s="197">
        <f t="shared" si="404"/>
        <v>9.6203707235237593E-2</v>
      </c>
      <c r="AM568" s="197">
        <f t="shared" si="405"/>
        <v>4.0790371867740751E-3</v>
      </c>
      <c r="AN568" s="197">
        <f t="shared" ref="AN568:AN631" si="427">(QGSW/IGATE)+($D$37+$D$38)/2</f>
        <v>24.05</v>
      </c>
      <c r="AO568" s="197">
        <f t="shared" ref="AO568:AO631" si="428">IF(CONFIG="BUCK",R568+T568,IF(CONFIG="BOOST",VLEDS+T568,R568+VLEDS+T568))</f>
        <v>21.69</v>
      </c>
      <c r="AP568" s="197">
        <f t="shared" si="406"/>
        <v>7.4093290390420161E-2</v>
      </c>
      <c r="AQ568" s="197">
        <f t="shared" si="407"/>
        <v>0.42250439890466829</v>
      </c>
      <c r="AR568" s="197">
        <f t="shared" si="408"/>
        <v>0.30589509873355925</v>
      </c>
      <c r="AS568" s="258">
        <f t="shared" si="409"/>
        <v>0.15228632177729159</v>
      </c>
      <c r="AT568" s="197">
        <f t="shared" ref="AT568:AT631" si="429">(AS568^2)*RON</f>
        <v>2.5974058656511614E-4</v>
      </c>
      <c r="AU568" s="194">
        <f t="shared" ref="AU568:AU631" si="430">IF(LOWV,AO568-0.5,IF(DISSLIM,IF(R568&lt;_VZD3,R568,_VZD3),R568))</f>
        <v>21.19</v>
      </c>
      <c r="AV568" s="197">
        <f t="shared" ref="AV568:AV631" si="431">R568*IQ</f>
        <v>2.7E-2</v>
      </c>
      <c r="AW568" s="197">
        <f t="shared" ref="AW568:AW631" si="432">IQAUX+QGTOT*AJ568*0.000001</f>
        <v>3.4260000000000002E-3</v>
      </c>
      <c r="AX568" s="197">
        <f t="shared" si="410"/>
        <v>6.1668000000000001E-2</v>
      </c>
      <c r="AY568" s="197">
        <f t="shared" ref="AY568:AY631" si="433">IF(LOWV,((AW568^2)*100)+0.5*AW568,0)</f>
        <v>2.8867476000000005E-3</v>
      </c>
      <c r="AZ568" s="197">
        <f t="shared" ref="AZ568:AZ631" si="434">IF(DISSLIM,((R568-AU568)^2/5000)+AU568*(((R568-AU568)/5000)-AW568),0)</f>
        <v>0</v>
      </c>
      <c r="BA568" s="197">
        <f t="shared" si="411"/>
        <v>7.2596940000000013E-2</v>
      </c>
      <c r="BB568" s="258">
        <f t="shared" ref="BB568:BB631" si="435">SQRT((1/3)*(AQ568^2+AQ568*AR568+AR568^2))</f>
        <v>0.36575210336206115</v>
      </c>
      <c r="BC568" s="197">
        <f t="shared" ref="BC568:BC631" si="436">BB568^2*RCOIL</f>
        <v>2.2380490766334034E-2</v>
      </c>
      <c r="BD568" s="197">
        <f t="shared" si="412"/>
        <v>4.4760981532668068E-3</v>
      </c>
      <c r="BE568" s="197">
        <f t="shared" si="413"/>
        <v>2.6856588919600841E-2</v>
      </c>
      <c r="BF568" s="197">
        <f t="shared" ref="BF568:BF631" si="437">T568*AB568*(1-AA568)</f>
        <v>0.20773291256157633</v>
      </c>
      <c r="BG568" s="197">
        <f t="shared" ref="BG568:BG631" si="438">U568*AA568*IF(CONFIG="BUCK",R568,IF(CONFIG="BOOST",VLEDS,R568+VLEDS))</f>
        <v>5.4608303342508187E-4</v>
      </c>
      <c r="BH568" s="197">
        <f t="shared" ref="BH568:BH631" si="439">BB568^2*RS</f>
        <v>3.5336687086656722E-2</v>
      </c>
      <c r="BI568" s="197">
        <f t="shared" si="414"/>
        <v>0.44730899017824427</v>
      </c>
      <c r="BJ568" s="197">
        <f t="shared" ref="BJ568:BJ631" si="440">PLEDS+BI568</f>
        <v>6.769615024661003</v>
      </c>
      <c r="BK568" s="288">
        <f t="shared" ref="BK568:BK631" si="441">PLEDS/BJ568</f>
        <v>0.93392401361838984</v>
      </c>
      <c r="BL568" s="197">
        <f t="shared" ref="BL568:BL631" si="442">BJ568/R568</f>
        <v>0.37608972359227794</v>
      </c>
      <c r="BM568" s="197">
        <f t="shared" ref="BM568:BM631" si="443">AP568+AT568</f>
        <v>7.4353030976985271E-2</v>
      </c>
      <c r="BN568" s="197">
        <f t="shared" ref="BN568:BN631" si="444">TAMB+BM568*RTHMOS</f>
        <v>54.461181858619113</v>
      </c>
      <c r="BO568" s="197">
        <f t="shared" si="415"/>
        <v>0.2082789955950014</v>
      </c>
      <c r="BP568" s="197">
        <f t="shared" ref="BP568:BP631" si="445">TAMB+BO568*RTHFW</f>
        <v>65.620924669625111</v>
      </c>
      <c r="BQ568" s="197">
        <f t="shared" ref="BQ568:BQ631" si="446">AV568+BA568</f>
        <v>9.9596940000000009E-2</v>
      </c>
      <c r="BR568" s="288">
        <f t="shared" ref="BR568:BR631" si="447">0.5*AI568/AB568</f>
        <v>0.16008975919012108</v>
      </c>
      <c r="BS568" s="197">
        <f t="shared" ref="BS568:BS631" si="448">IF(CONFIG="BOOST",AI568,AB568)</f>
        <v>0.11660930017110901</v>
      </c>
      <c r="BT568" s="197">
        <f t="shared" ref="BT568:BT631" si="449">IF(CONFIG="BUCK",AI568,AB568)</f>
        <v>0.36419974881911377</v>
      </c>
      <c r="BU568" s="197">
        <f t="shared" ref="BU568:BU631" si="450">1000*BS568*(1-AA568)*AA568/(AJ568*VRIPIN)</f>
        <v>0.1713930788771201</v>
      </c>
      <c r="BV568" s="197">
        <f t="shared" ref="BV568:BV631" si="451">1000*BT568*(1-AA568)*AA568/(AJ568*VRIPOUT)</f>
        <v>0.53530306917875781</v>
      </c>
      <c r="BW568" s="194"/>
      <c r="BX568" s="194"/>
      <c r="BY568" s="194"/>
      <c r="BZ568" s="194"/>
      <c r="CA568" s="194"/>
      <c r="CB568" s="194"/>
      <c r="CC568" s="194"/>
      <c r="CD568" s="194"/>
      <c r="CE568" s="194"/>
      <c r="CF568" s="194"/>
      <c r="CG568" s="194"/>
      <c r="CH568" s="194"/>
      <c r="CI568" s="194"/>
      <c r="CJ568" s="194"/>
      <c r="CK568" s="194"/>
      <c r="CL568" s="194"/>
      <c r="CM568" s="194"/>
      <c r="CN568" s="194"/>
      <c r="CO568" s="194"/>
      <c r="CP568" s="194"/>
      <c r="CQ568" s="194"/>
      <c r="CR568" s="194"/>
      <c r="CS568" s="194"/>
      <c r="CT568" s="194"/>
      <c r="CU568" s="194"/>
      <c r="CV568" s="194"/>
      <c r="CW568" s="194"/>
      <c r="CX568" s="194"/>
      <c r="CY568" s="194"/>
      <c r="CZ568" s="194"/>
      <c r="DA568" s="194"/>
      <c r="DB568" s="194"/>
      <c r="DC568" s="194"/>
      <c r="DD568" s="194"/>
      <c r="DE568" s="194"/>
      <c r="DF568" s="194"/>
    </row>
    <row r="569" spans="2:110" s="192" customFormat="1" hidden="1" x14ac:dyDescent="0.35">
      <c r="B569" s="289"/>
      <c r="C569" s="289"/>
      <c r="Q569" s="193"/>
      <c r="R569" s="194">
        <f t="shared" ref="R569:R632" si="452">MIN(R568+0.1,VINMAX)</f>
        <v>18</v>
      </c>
      <c r="S569" s="197">
        <f t="shared" si="418"/>
        <v>0.3888888888888889</v>
      </c>
      <c r="T569" s="194">
        <f t="shared" si="416"/>
        <v>0.69</v>
      </c>
      <c r="U569" s="194">
        <f t="shared" si="417"/>
        <v>1.4999999999999999E-4</v>
      </c>
      <c r="V569" s="197">
        <f t="shared" ref="V569:V632" si="453">IF(CONFIG="BUCK",ILED,IF(CONFIG="BOOST",S569,ILED+S569))</f>
        <v>0.3888888888888889</v>
      </c>
      <c r="W569" s="197">
        <f t="shared" si="419"/>
        <v>4.3555555555555561E-3</v>
      </c>
      <c r="X569" s="286">
        <f t="shared" si="420"/>
        <v>1</v>
      </c>
      <c r="Y569" s="286">
        <f t="shared" si="421"/>
        <v>0.17335969315081967</v>
      </c>
      <c r="Z569" s="286">
        <f t="shared" si="422"/>
        <v>0.54964853345132902</v>
      </c>
      <c r="AA569" s="286">
        <f t="shared" ref="AA569:AA632" si="454">IF(CONFIG="BUCK",X569,IF(CONFIG="BOOST",Y569,Z569))</f>
        <v>0.17335969315081967</v>
      </c>
      <c r="AB569" s="197">
        <f t="shared" si="423"/>
        <v>0.36419974881911377</v>
      </c>
      <c r="AC569" s="287">
        <f t="shared" si="424"/>
        <v>4.4451203372005044E-7</v>
      </c>
      <c r="AD569" s="197">
        <f t="shared" ref="AD569:AD632" si="455">IF(CONFIG="BUCK",RIPLOW,RIPLOW*(1-AA569)/GI_ADJ)</f>
        <v>11.693936048110356</v>
      </c>
      <c r="AE569" s="197">
        <f t="shared" ref="AE569:AE632" si="456">IF(CONFIG="BUCK",RIPHIGH,RIPHIGH*(1-AA569)/GI_ADJ)</f>
        <v>35.08180814433107</v>
      </c>
      <c r="AF569" s="197">
        <f t="shared" ref="AF569:AF632" si="457">(AD569*2/100)*AB569</f>
        <v>8.5178571428571423E-2</v>
      </c>
      <c r="AG569" s="197">
        <f t="shared" ref="AG569:AG632" si="458">(AE569*2/100)*AB569</f>
        <v>0.25553571428571431</v>
      </c>
      <c r="AH569" s="197">
        <f t="shared" si="425"/>
        <v>0.11660930017110901</v>
      </c>
      <c r="AI569" s="197">
        <f t="shared" ref="AI569:AI632" si="459">IF(AH569&lt;AF569,AF569,IF(AH569&gt;AG569,AG569,AH569))</f>
        <v>0.11660930017110901</v>
      </c>
      <c r="AJ569" s="218">
        <f t="shared" si="426"/>
        <v>390.00000000000006</v>
      </c>
      <c r="AK569" s="197">
        <f t="shared" ref="AK569:AK632" si="460">AB569*RCOIL</f>
        <v>6.0930617977437734E-2</v>
      </c>
      <c r="AL569" s="197">
        <f t="shared" ref="AL569:AL632" si="461">AB569*RS</f>
        <v>9.6203707235237593E-2</v>
      </c>
      <c r="AM569" s="197">
        <f t="shared" ref="AM569:AM632" si="462">AB569*RON</f>
        <v>4.0790371867740751E-3</v>
      </c>
      <c r="AN569" s="197">
        <f t="shared" si="427"/>
        <v>24.05</v>
      </c>
      <c r="AO569" s="197">
        <f t="shared" si="428"/>
        <v>21.69</v>
      </c>
      <c r="AP569" s="197">
        <f t="shared" ref="AP569:AP632" si="463">AB569*AO569*AN569*AJ569*0.000001</f>
        <v>7.4093290390420161E-2</v>
      </c>
      <c r="AQ569" s="197">
        <f t="shared" ref="AQ569:AQ632" si="464">AB569+AI569/2</f>
        <v>0.42250439890466829</v>
      </c>
      <c r="AR569" s="197">
        <f t="shared" ref="AR569:AR632" si="465">AB569-AI569/2</f>
        <v>0.30589509873355925</v>
      </c>
      <c r="AS569" s="258">
        <f t="shared" ref="AS569:AS632" si="466">SQRT((AA569/3)*(AQ569^2+AQ569*AR569+AR569^2))</f>
        <v>0.15228632177729159</v>
      </c>
      <c r="AT569" s="197">
        <f t="shared" si="429"/>
        <v>2.5974058656511614E-4</v>
      </c>
      <c r="AU569" s="194">
        <f t="shared" si="430"/>
        <v>21.19</v>
      </c>
      <c r="AV569" s="197">
        <f t="shared" si="431"/>
        <v>2.7E-2</v>
      </c>
      <c r="AW569" s="197">
        <f t="shared" si="432"/>
        <v>3.4260000000000002E-3</v>
      </c>
      <c r="AX569" s="197">
        <f t="shared" ref="AX569:AX632" si="467">R569*(IQAUX+QGTOT*AJ569*0.000001)</f>
        <v>6.1668000000000001E-2</v>
      </c>
      <c r="AY569" s="197">
        <f t="shared" si="433"/>
        <v>2.8867476000000005E-3</v>
      </c>
      <c r="AZ569" s="197">
        <f t="shared" si="434"/>
        <v>0</v>
      </c>
      <c r="BA569" s="197">
        <f t="shared" ref="BA569:BA632" si="468">AU569*AW569</f>
        <v>7.2596940000000013E-2</v>
      </c>
      <c r="BB569" s="258">
        <f t="shared" si="435"/>
        <v>0.36575210336206115</v>
      </c>
      <c r="BC569" s="197">
        <f t="shared" si="436"/>
        <v>2.2380490766334034E-2</v>
      </c>
      <c r="BD569" s="197">
        <f t="shared" ref="BD569:BD632" si="469">BC569*0.2</f>
        <v>4.4760981532668068E-3</v>
      </c>
      <c r="BE569" s="197">
        <f t="shared" ref="BE569:BE632" si="470">BC569+BD569</f>
        <v>2.6856588919600841E-2</v>
      </c>
      <c r="BF569" s="197">
        <f t="shared" si="437"/>
        <v>0.20773291256157633</v>
      </c>
      <c r="BG569" s="197">
        <f t="shared" si="438"/>
        <v>5.4608303342508187E-4</v>
      </c>
      <c r="BH569" s="197">
        <f t="shared" si="439"/>
        <v>3.5336687086656722E-2</v>
      </c>
      <c r="BI569" s="197">
        <f t="shared" ref="BI569:BI632" si="471">AP569+AT569+AV569+AY569+BA569+BE569+BF569+BG569+BH569</f>
        <v>0.44730899017824427</v>
      </c>
      <c r="BJ569" s="197">
        <f t="shared" si="440"/>
        <v>6.769615024661003</v>
      </c>
      <c r="BK569" s="288">
        <f t="shared" si="441"/>
        <v>0.93392401361838984</v>
      </c>
      <c r="BL569" s="197">
        <f t="shared" si="442"/>
        <v>0.37608972359227794</v>
      </c>
      <c r="BM569" s="197">
        <f t="shared" si="443"/>
        <v>7.4353030976985271E-2</v>
      </c>
      <c r="BN569" s="197">
        <f t="shared" si="444"/>
        <v>54.461181858619113</v>
      </c>
      <c r="BO569" s="197">
        <f t="shared" ref="BO569:BO632" si="472">BF569+BG569</f>
        <v>0.2082789955950014</v>
      </c>
      <c r="BP569" s="197">
        <f t="shared" si="445"/>
        <v>65.620924669625111</v>
      </c>
      <c r="BQ569" s="197">
        <f t="shared" si="446"/>
        <v>9.9596940000000009E-2</v>
      </c>
      <c r="BR569" s="288">
        <f t="shared" si="447"/>
        <v>0.16008975919012108</v>
      </c>
      <c r="BS569" s="197">
        <f t="shared" si="448"/>
        <v>0.11660930017110901</v>
      </c>
      <c r="BT569" s="197">
        <f t="shared" si="449"/>
        <v>0.36419974881911377</v>
      </c>
      <c r="BU569" s="197">
        <f t="shared" si="450"/>
        <v>0.1713930788771201</v>
      </c>
      <c r="BV569" s="197">
        <f t="shared" si="451"/>
        <v>0.53530306917875781</v>
      </c>
      <c r="BW569" s="194"/>
      <c r="BX569" s="194"/>
      <c r="BY569" s="194"/>
      <c r="BZ569" s="194"/>
      <c r="CA569" s="194"/>
      <c r="CB569" s="194"/>
      <c r="CC569" s="194"/>
      <c r="CD569" s="194"/>
      <c r="CE569" s="194"/>
      <c r="CF569" s="194"/>
      <c r="CG569" s="194"/>
      <c r="CH569" s="194"/>
      <c r="CI569" s="194"/>
      <c r="CJ569" s="194"/>
      <c r="CK569" s="194"/>
      <c r="CL569" s="194"/>
      <c r="CM569" s="194"/>
      <c r="CN569" s="194"/>
      <c r="CO569" s="194"/>
      <c r="CP569" s="194"/>
      <c r="CQ569" s="194"/>
      <c r="CR569" s="194"/>
      <c r="CS569" s="194"/>
      <c r="CT569" s="194"/>
      <c r="CU569" s="194"/>
      <c r="CV569" s="194"/>
      <c r="CW569" s="194"/>
      <c r="CX569" s="194"/>
      <c r="CY569" s="194"/>
      <c r="CZ569" s="194"/>
      <c r="DA569" s="194"/>
      <c r="DB569" s="194"/>
      <c r="DC569" s="194"/>
      <c r="DD569" s="194"/>
      <c r="DE569" s="194"/>
      <c r="DF569" s="194"/>
    </row>
    <row r="570" spans="2:110" s="192" customFormat="1" hidden="1" x14ac:dyDescent="0.35">
      <c r="B570" s="289"/>
      <c r="C570" s="289"/>
      <c r="Q570" s="193"/>
      <c r="R570" s="194">
        <f t="shared" si="452"/>
        <v>18</v>
      </c>
      <c r="S570" s="197">
        <f t="shared" si="418"/>
        <v>0.3888888888888889</v>
      </c>
      <c r="T570" s="194">
        <f t="shared" ref="T570:T633" si="473">$D$45</f>
        <v>0.69</v>
      </c>
      <c r="U570" s="194">
        <f t="shared" ref="U570:U633" si="474">$D$48*0.001</f>
        <v>1.4999999999999999E-4</v>
      </c>
      <c r="V570" s="197">
        <f t="shared" si="453"/>
        <v>0.3888888888888889</v>
      </c>
      <c r="W570" s="197">
        <f t="shared" si="419"/>
        <v>4.3555555555555561E-3</v>
      </c>
      <c r="X570" s="286">
        <f t="shared" si="420"/>
        <v>1</v>
      </c>
      <c r="Y570" s="286">
        <f t="shared" si="421"/>
        <v>0.17335969315081967</v>
      </c>
      <c r="Z570" s="286">
        <f t="shared" si="422"/>
        <v>0.54964853345132902</v>
      </c>
      <c r="AA570" s="286">
        <f t="shared" si="454"/>
        <v>0.17335969315081967</v>
      </c>
      <c r="AB570" s="197">
        <f t="shared" si="423"/>
        <v>0.36419974881911377</v>
      </c>
      <c r="AC570" s="287">
        <f t="shared" si="424"/>
        <v>4.4451203372005044E-7</v>
      </c>
      <c r="AD570" s="197">
        <f t="shared" si="455"/>
        <v>11.693936048110356</v>
      </c>
      <c r="AE570" s="197">
        <f t="shared" si="456"/>
        <v>35.08180814433107</v>
      </c>
      <c r="AF570" s="197">
        <f t="shared" si="457"/>
        <v>8.5178571428571423E-2</v>
      </c>
      <c r="AG570" s="197">
        <f t="shared" si="458"/>
        <v>0.25553571428571431</v>
      </c>
      <c r="AH570" s="197">
        <f t="shared" si="425"/>
        <v>0.11660930017110901</v>
      </c>
      <c r="AI570" s="197">
        <f t="shared" si="459"/>
        <v>0.11660930017110901</v>
      </c>
      <c r="AJ570" s="218">
        <f t="shared" si="426"/>
        <v>390.00000000000006</v>
      </c>
      <c r="AK570" s="197">
        <f t="shared" si="460"/>
        <v>6.0930617977437734E-2</v>
      </c>
      <c r="AL570" s="197">
        <f t="shared" si="461"/>
        <v>9.6203707235237593E-2</v>
      </c>
      <c r="AM570" s="197">
        <f t="shared" si="462"/>
        <v>4.0790371867740751E-3</v>
      </c>
      <c r="AN570" s="197">
        <f t="shared" si="427"/>
        <v>24.05</v>
      </c>
      <c r="AO570" s="197">
        <f t="shared" si="428"/>
        <v>21.69</v>
      </c>
      <c r="AP570" s="197">
        <f t="shared" si="463"/>
        <v>7.4093290390420161E-2</v>
      </c>
      <c r="AQ570" s="197">
        <f t="shared" si="464"/>
        <v>0.42250439890466829</v>
      </c>
      <c r="AR570" s="197">
        <f t="shared" si="465"/>
        <v>0.30589509873355925</v>
      </c>
      <c r="AS570" s="258">
        <f t="shared" si="466"/>
        <v>0.15228632177729159</v>
      </c>
      <c r="AT570" s="197">
        <f t="shared" si="429"/>
        <v>2.5974058656511614E-4</v>
      </c>
      <c r="AU570" s="194">
        <f t="shared" si="430"/>
        <v>21.19</v>
      </c>
      <c r="AV570" s="197">
        <f t="shared" si="431"/>
        <v>2.7E-2</v>
      </c>
      <c r="AW570" s="197">
        <f t="shared" si="432"/>
        <v>3.4260000000000002E-3</v>
      </c>
      <c r="AX570" s="197">
        <f t="shared" si="467"/>
        <v>6.1668000000000001E-2</v>
      </c>
      <c r="AY570" s="197">
        <f t="shared" si="433"/>
        <v>2.8867476000000005E-3</v>
      </c>
      <c r="AZ570" s="197">
        <f t="shared" si="434"/>
        <v>0</v>
      </c>
      <c r="BA570" s="197">
        <f t="shared" si="468"/>
        <v>7.2596940000000013E-2</v>
      </c>
      <c r="BB570" s="258">
        <f t="shared" si="435"/>
        <v>0.36575210336206115</v>
      </c>
      <c r="BC570" s="197">
        <f t="shared" si="436"/>
        <v>2.2380490766334034E-2</v>
      </c>
      <c r="BD570" s="197">
        <f t="shared" si="469"/>
        <v>4.4760981532668068E-3</v>
      </c>
      <c r="BE570" s="197">
        <f t="shared" si="470"/>
        <v>2.6856588919600841E-2</v>
      </c>
      <c r="BF570" s="197">
        <f t="shared" si="437"/>
        <v>0.20773291256157633</v>
      </c>
      <c r="BG570" s="197">
        <f t="shared" si="438"/>
        <v>5.4608303342508187E-4</v>
      </c>
      <c r="BH570" s="197">
        <f t="shared" si="439"/>
        <v>3.5336687086656722E-2</v>
      </c>
      <c r="BI570" s="197">
        <f t="shared" si="471"/>
        <v>0.44730899017824427</v>
      </c>
      <c r="BJ570" s="197">
        <f t="shared" si="440"/>
        <v>6.769615024661003</v>
      </c>
      <c r="BK570" s="288">
        <f t="shared" si="441"/>
        <v>0.93392401361838984</v>
      </c>
      <c r="BL570" s="197">
        <f t="shared" si="442"/>
        <v>0.37608972359227794</v>
      </c>
      <c r="BM570" s="197">
        <f t="shared" si="443"/>
        <v>7.4353030976985271E-2</v>
      </c>
      <c r="BN570" s="197">
        <f t="shared" si="444"/>
        <v>54.461181858619113</v>
      </c>
      <c r="BO570" s="197">
        <f t="shared" si="472"/>
        <v>0.2082789955950014</v>
      </c>
      <c r="BP570" s="197">
        <f t="shared" si="445"/>
        <v>65.620924669625111</v>
      </c>
      <c r="BQ570" s="197">
        <f t="shared" si="446"/>
        <v>9.9596940000000009E-2</v>
      </c>
      <c r="BR570" s="288">
        <f t="shared" si="447"/>
        <v>0.16008975919012108</v>
      </c>
      <c r="BS570" s="197">
        <f t="shared" si="448"/>
        <v>0.11660930017110901</v>
      </c>
      <c r="BT570" s="197">
        <f t="shared" si="449"/>
        <v>0.36419974881911377</v>
      </c>
      <c r="BU570" s="197">
        <f t="shared" si="450"/>
        <v>0.1713930788771201</v>
      </c>
      <c r="BV570" s="197">
        <f t="shared" si="451"/>
        <v>0.53530306917875781</v>
      </c>
      <c r="BW570" s="194"/>
      <c r="BX570" s="194"/>
      <c r="BY570" s="194"/>
      <c r="BZ570" s="194"/>
      <c r="CA570" s="194"/>
      <c r="CB570" s="194"/>
      <c r="CC570" s="194"/>
      <c r="CD570" s="194"/>
      <c r="CE570" s="194"/>
      <c r="CF570" s="194"/>
      <c r="CG570" s="194"/>
      <c r="CH570" s="194"/>
      <c r="CI570" s="194"/>
      <c r="CJ570" s="194"/>
      <c r="CK570" s="194"/>
      <c r="CL570" s="194"/>
      <c r="CM570" s="194"/>
      <c r="CN570" s="194"/>
      <c r="CO570" s="194"/>
      <c r="CP570" s="194"/>
      <c r="CQ570" s="194"/>
      <c r="CR570" s="194"/>
      <c r="CS570" s="194"/>
      <c r="CT570" s="194"/>
      <c r="CU570" s="194"/>
      <c r="CV570" s="194"/>
      <c r="CW570" s="194"/>
      <c r="CX570" s="194"/>
      <c r="CY570" s="194"/>
      <c r="CZ570" s="194"/>
      <c r="DA570" s="194"/>
      <c r="DB570" s="194"/>
      <c r="DC570" s="194"/>
      <c r="DD570" s="194"/>
      <c r="DE570" s="194"/>
      <c r="DF570" s="194"/>
    </row>
    <row r="571" spans="2:110" s="192" customFormat="1" hidden="1" x14ac:dyDescent="0.35">
      <c r="B571" s="289"/>
      <c r="C571" s="289"/>
      <c r="Q571" s="193"/>
      <c r="R571" s="194">
        <f t="shared" si="452"/>
        <v>18</v>
      </c>
      <c r="S571" s="197">
        <f t="shared" si="418"/>
        <v>0.3888888888888889</v>
      </c>
      <c r="T571" s="194">
        <f t="shared" si="473"/>
        <v>0.69</v>
      </c>
      <c r="U571" s="194">
        <f t="shared" si="474"/>
        <v>1.4999999999999999E-4</v>
      </c>
      <c r="V571" s="197">
        <f t="shared" si="453"/>
        <v>0.3888888888888889</v>
      </c>
      <c r="W571" s="197">
        <f t="shared" si="419"/>
        <v>4.3555555555555561E-3</v>
      </c>
      <c r="X571" s="286">
        <f t="shared" si="420"/>
        <v>1</v>
      </c>
      <c r="Y571" s="286">
        <f t="shared" si="421"/>
        <v>0.17335969315081967</v>
      </c>
      <c r="Z571" s="286">
        <f t="shared" si="422"/>
        <v>0.54964853345132902</v>
      </c>
      <c r="AA571" s="286">
        <f t="shared" si="454"/>
        <v>0.17335969315081967</v>
      </c>
      <c r="AB571" s="197">
        <f t="shared" si="423"/>
        <v>0.36419974881911377</v>
      </c>
      <c r="AC571" s="287">
        <f t="shared" si="424"/>
        <v>4.4451203372005044E-7</v>
      </c>
      <c r="AD571" s="197">
        <f t="shared" si="455"/>
        <v>11.693936048110356</v>
      </c>
      <c r="AE571" s="197">
        <f t="shared" si="456"/>
        <v>35.08180814433107</v>
      </c>
      <c r="AF571" s="197">
        <f t="shared" si="457"/>
        <v>8.5178571428571423E-2</v>
      </c>
      <c r="AG571" s="197">
        <f t="shared" si="458"/>
        <v>0.25553571428571431</v>
      </c>
      <c r="AH571" s="197">
        <f t="shared" si="425"/>
        <v>0.11660930017110901</v>
      </c>
      <c r="AI571" s="197">
        <f t="shared" si="459"/>
        <v>0.11660930017110901</v>
      </c>
      <c r="AJ571" s="218">
        <f t="shared" si="426"/>
        <v>390.00000000000006</v>
      </c>
      <c r="AK571" s="197">
        <f t="shared" si="460"/>
        <v>6.0930617977437734E-2</v>
      </c>
      <c r="AL571" s="197">
        <f t="shared" si="461"/>
        <v>9.6203707235237593E-2</v>
      </c>
      <c r="AM571" s="197">
        <f t="shared" si="462"/>
        <v>4.0790371867740751E-3</v>
      </c>
      <c r="AN571" s="197">
        <f t="shared" si="427"/>
        <v>24.05</v>
      </c>
      <c r="AO571" s="197">
        <f t="shared" si="428"/>
        <v>21.69</v>
      </c>
      <c r="AP571" s="197">
        <f t="shared" si="463"/>
        <v>7.4093290390420161E-2</v>
      </c>
      <c r="AQ571" s="197">
        <f t="shared" si="464"/>
        <v>0.42250439890466829</v>
      </c>
      <c r="AR571" s="197">
        <f t="shared" si="465"/>
        <v>0.30589509873355925</v>
      </c>
      <c r="AS571" s="258">
        <f t="shared" si="466"/>
        <v>0.15228632177729159</v>
      </c>
      <c r="AT571" s="197">
        <f t="shared" si="429"/>
        <v>2.5974058656511614E-4</v>
      </c>
      <c r="AU571" s="194">
        <f t="shared" si="430"/>
        <v>21.19</v>
      </c>
      <c r="AV571" s="197">
        <f t="shared" si="431"/>
        <v>2.7E-2</v>
      </c>
      <c r="AW571" s="197">
        <f t="shared" si="432"/>
        <v>3.4260000000000002E-3</v>
      </c>
      <c r="AX571" s="197">
        <f t="shared" si="467"/>
        <v>6.1668000000000001E-2</v>
      </c>
      <c r="AY571" s="197">
        <f t="shared" si="433"/>
        <v>2.8867476000000005E-3</v>
      </c>
      <c r="AZ571" s="197">
        <f t="shared" si="434"/>
        <v>0</v>
      </c>
      <c r="BA571" s="197">
        <f t="shared" si="468"/>
        <v>7.2596940000000013E-2</v>
      </c>
      <c r="BB571" s="258">
        <f t="shared" si="435"/>
        <v>0.36575210336206115</v>
      </c>
      <c r="BC571" s="197">
        <f t="shared" si="436"/>
        <v>2.2380490766334034E-2</v>
      </c>
      <c r="BD571" s="197">
        <f t="shared" si="469"/>
        <v>4.4760981532668068E-3</v>
      </c>
      <c r="BE571" s="197">
        <f t="shared" si="470"/>
        <v>2.6856588919600841E-2</v>
      </c>
      <c r="BF571" s="197">
        <f t="shared" si="437"/>
        <v>0.20773291256157633</v>
      </c>
      <c r="BG571" s="197">
        <f t="shared" si="438"/>
        <v>5.4608303342508187E-4</v>
      </c>
      <c r="BH571" s="197">
        <f t="shared" si="439"/>
        <v>3.5336687086656722E-2</v>
      </c>
      <c r="BI571" s="197">
        <f t="shared" si="471"/>
        <v>0.44730899017824427</v>
      </c>
      <c r="BJ571" s="197">
        <f t="shared" si="440"/>
        <v>6.769615024661003</v>
      </c>
      <c r="BK571" s="288">
        <f t="shared" si="441"/>
        <v>0.93392401361838984</v>
      </c>
      <c r="BL571" s="197">
        <f t="shared" si="442"/>
        <v>0.37608972359227794</v>
      </c>
      <c r="BM571" s="197">
        <f t="shared" si="443"/>
        <v>7.4353030976985271E-2</v>
      </c>
      <c r="BN571" s="197">
        <f t="shared" si="444"/>
        <v>54.461181858619113</v>
      </c>
      <c r="BO571" s="197">
        <f t="shared" si="472"/>
        <v>0.2082789955950014</v>
      </c>
      <c r="BP571" s="197">
        <f t="shared" si="445"/>
        <v>65.620924669625111</v>
      </c>
      <c r="BQ571" s="197">
        <f t="shared" si="446"/>
        <v>9.9596940000000009E-2</v>
      </c>
      <c r="BR571" s="288">
        <f t="shared" si="447"/>
        <v>0.16008975919012108</v>
      </c>
      <c r="BS571" s="197">
        <f t="shared" si="448"/>
        <v>0.11660930017110901</v>
      </c>
      <c r="BT571" s="197">
        <f t="shared" si="449"/>
        <v>0.36419974881911377</v>
      </c>
      <c r="BU571" s="197">
        <f t="shared" si="450"/>
        <v>0.1713930788771201</v>
      </c>
      <c r="BV571" s="197">
        <f t="shared" si="451"/>
        <v>0.53530306917875781</v>
      </c>
      <c r="BW571" s="194"/>
      <c r="BX571" s="194"/>
      <c r="BY571" s="194"/>
      <c r="BZ571" s="194"/>
      <c r="CA571" s="194"/>
      <c r="CB571" s="194"/>
      <c r="CC571" s="194"/>
      <c r="CD571" s="194"/>
      <c r="CE571" s="194"/>
      <c r="CF571" s="194"/>
      <c r="CG571" s="194"/>
      <c r="CH571" s="194"/>
      <c r="CI571" s="194"/>
      <c r="CJ571" s="194"/>
      <c r="CK571" s="194"/>
      <c r="CL571" s="194"/>
      <c r="CM571" s="194"/>
      <c r="CN571" s="194"/>
      <c r="CO571" s="194"/>
      <c r="CP571" s="194"/>
      <c r="CQ571" s="194"/>
      <c r="CR571" s="194"/>
      <c r="CS571" s="194"/>
      <c r="CT571" s="194"/>
      <c r="CU571" s="194"/>
      <c r="CV571" s="194"/>
      <c r="CW571" s="194"/>
      <c r="CX571" s="194"/>
      <c r="CY571" s="194"/>
      <c r="CZ571" s="194"/>
      <c r="DA571" s="194"/>
      <c r="DB571" s="194"/>
      <c r="DC571" s="194"/>
      <c r="DD571" s="194"/>
      <c r="DE571" s="194"/>
      <c r="DF571" s="194"/>
    </row>
    <row r="572" spans="2:110" s="192" customFormat="1" hidden="1" x14ac:dyDescent="0.35">
      <c r="B572" s="289"/>
      <c r="C572" s="289"/>
      <c r="Q572" s="193"/>
      <c r="R572" s="194">
        <f t="shared" si="452"/>
        <v>18</v>
      </c>
      <c r="S572" s="197">
        <f t="shared" si="418"/>
        <v>0.3888888888888889</v>
      </c>
      <c r="T572" s="194">
        <f t="shared" si="473"/>
        <v>0.69</v>
      </c>
      <c r="U572" s="194">
        <f t="shared" si="474"/>
        <v>1.4999999999999999E-4</v>
      </c>
      <c r="V572" s="197">
        <f t="shared" si="453"/>
        <v>0.3888888888888889</v>
      </c>
      <c r="W572" s="197">
        <f t="shared" si="419"/>
        <v>4.3555555555555561E-3</v>
      </c>
      <c r="X572" s="286">
        <f t="shared" si="420"/>
        <v>1</v>
      </c>
      <c r="Y572" s="286">
        <f t="shared" si="421"/>
        <v>0.17335969315081967</v>
      </c>
      <c r="Z572" s="286">
        <f t="shared" si="422"/>
        <v>0.54964853345132902</v>
      </c>
      <c r="AA572" s="286">
        <f t="shared" si="454"/>
        <v>0.17335969315081967</v>
      </c>
      <c r="AB572" s="197">
        <f t="shared" si="423"/>
        <v>0.36419974881911377</v>
      </c>
      <c r="AC572" s="287">
        <f t="shared" si="424"/>
        <v>4.4451203372005044E-7</v>
      </c>
      <c r="AD572" s="197">
        <f t="shared" si="455"/>
        <v>11.693936048110356</v>
      </c>
      <c r="AE572" s="197">
        <f t="shared" si="456"/>
        <v>35.08180814433107</v>
      </c>
      <c r="AF572" s="197">
        <f t="shared" si="457"/>
        <v>8.5178571428571423E-2</v>
      </c>
      <c r="AG572" s="197">
        <f t="shared" si="458"/>
        <v>0.25553571428571431</v>
      </c>
      <c r="AH572" s="197">
        <f t="shared" si="425"/>
        <v>0.11660930017110901</v>
      </c>
      <c r="AI572" s="197">
        <f t="shared" si="459"/>
        <v>0.11660930017110901</v>
      </c>
      <c r="AJ572" s="218">
        <f t="shared" si="426"/>
        <v>390.00000000000006</v>
      </c>
      <c r="AK572" s="197">
        <f t="shared" si="460"/>
        <v>6.0930617977437734E-2</v>
      </c>
      <c r="AL572" s="197">
        <f t="shared" si="461"/>
        <v>9.6203707235237593E-2</v>
      </c>
      <c r="AM572" s="197">
        <f t="shared" si="462"/>
        <v>4.0790371867740751E-3</v>
      </c>
      <c r="AN572" s="197">
        <f t="shared" si="427"/>
        <v>24.05</v>
      </c>
      <c r="AO572" s="197">
        <f t="shared" si="428"/>
        <v>21.69</v>
      </c>
      <c r="AP572" s="197">
        <f t="shared" si="463"/>
        <v>7.4093290390420161E-2</v>
      </c>
      <c r="AQ572" s="197">
        <f t="shared" si="464"/>
        <v>0.42250439890466829</v>
      </c>
      <c r="AR572" s="197">
        <f t="shared" si="465"/>
        <v>0.30589509873355925</v>
      </c>
      <c r="AS572" s="258">
        <f t="shared" si="466"/>
        <v>0.15228632177729159</v>
      </c>
      <c r="AT572" s="197">
        <f t="shared" si="429"/>
        <v>2.5974058656511614E-4</v>
      </c>
      <c r="AU572" s="194">
        <f t="shared" si="430"/>
        <v>21.19</v>
      </c>
      <c r="AV572" s="197">
        <f t="shared" si="431"/>
        <v>2.7E-2</v>
      </c>
      <c r="AW572" s="197">
        <f t="shared" si="432"/>
        <v>3.4260000000000002E-3</v>
      </c>
      <c r="AX572" s="197">
        <f t="shared" si="467"/>
        <v>6.1668000000000001E-2</v>
      </c>
      <c r="AY572" s="197">
        <f t="shared" si="433"/>
        <v>2.8867476000000005E-3</v>
      </c>
      <c r="AZ572" s="197">
        <f t="shared" si="434"/>
        <v>0</v>
      </c>
      <c r="BA572" s="197">
        <f t="shared" si="468"/>
        <v>7.2596940000000013E-2</v>
      </c>
      <c r="BB572" s="258">
        <f t="shared" si="435"/>
        <v>0.36575210336206115</v>
      </c>
      <c r="BC572" s="197">
        <f t="shared" si="436"/>
        <v>2.2380490766334034E-2</v>
      </c>
      <c r="BD572" s="197">
        <f t="shared" si="469"/>
        <v>4.4760981532668068E-3</v>
      </c>
      <c r="BE572" s="197">
        <f t="shared" si="470"/>
        <v>2.6856588919600841E-2</v>
      </c>
      <c r="BF572" s="197">
        <f t="shared" si="437"/>
        <v>0.20773291256157633</v>
      </c>
      <c r="BG572" s="197">
        <f t="shared" si="438"/>
        <v>5.4608303342508187E-4</v>
      </c>
      <c r="BH572" s="197">
        <f t="shared" si="439"/>
        <v>3.5336687086656722E-2</v>
      </c>
      <c r="BI572" s="197">
        <f t="shared" si="471"/>
        <v>0.44730899017824427</v>
      </c>
      <c r="BJ572" s="197">
        <f t="shared" si="440"/>
        <v>6.769615024661003</v>
      </c>
      <c r="BK572" s="288">
        <f t="shared" si="441"/>
        <v>0.93392401361838984</v>
      </c>
      <c r="BL572" s="197">
        <f t="shared" si="442"/>
        <v>0.37608972359227794</v>
      </c>
      <c r="BM572" s="197">
        <f t="shared" si="443"/>
        <v>7.4353030976985271E-2</v>
      </c>
      <c r="BN572" s="197">
        <f t="shared" si="444"/>
        <v>54.461181858619113</v>
      </c>
      <c r="BO572" s="197">
        <f t="shared" si="472"/>
        <v>0.2082789955950014</v>
      </c>
      <c r="BP572" s="197">
        <f t="shared" si="445"/>
        <v>65.620924669625111</v>
      </c>
      <c r="BQ572" s="197">
        <f t="shared" si="446"/>
        <v>9.9596940000000009E-2</v>
      </c>
      <c r="BR572" s="288">
        <f t="shared" si="447"/>
        <v>0.16008975919012108</v>
      </c>
      <c r="BS572" s="197">
        <f t="shared" si="448"/>
        <v>0.11660930017110901</v>
      </c>
      <c r="BT572" s="197">
        <f t="shared" si="449"/>
        <v>0.36419974881911377</v>
      </c>
      <c r="BU572" s="197">
        <f t="shared" si="450"/>
        <v>0.1713930788771201</v>
      </c>
      <c r="BV572" s="197">
        <f t="shared" si="451"/>
        <v>0.53530306917875781</v>
      </c>
      <c r="BW572" s="194"/>
      <c r="BX572" s="194"/>
      <c r="BY572" s="194"/>
      <c r="BZ572" s="194"/>
      <c r="CA572" s="194"/>
      <c r="CB572" s="194"/>
      <c r="CC572" s="194"/>
      <c r="CD572" s="194"/>
      <c r="CE572" s="194"/>
      <c r="CF572" s="194"/>
      <c r="CG572" s="194"/>
      <c r="CH572" s="194"/>
      <c r="CI572" s="194"/>
      <c r="CJ572" s="194"/>
      <c r="CK572" s="194"/>
      <c r="CL572" s="194"/>
      <c r="CM572" s="194"/>
      <c r="CN572" s="194"/>
      <c r="CO572" s="194"/>
      <c r="CP572" s="194"/>
      <c r="CQ572" s="194"/>
      <c r="CR572" s="194"/>
      <c r="CS572" s="194"/>
      <c r="CT572" s="194"/>
      <c r="CU572" s="194"/>
      <c r="CV572" s="194"/>
      <c r="CW572" s="194"/>
      <c r="CX572" s="194"/>
      <c r="CY572" s="194"/>
      <c r="CZ572" s="194"/>
      <c r="DA572" s="194"/>
      <c r="DB572" s="194"/>
      <c r="DC572" s="194"/>
      <c r="DD572" s="194"/>
      <c r="DE572" s="194"/>
      <c r="DF572" s="194"/>
    </row>
    <row r="573" spans="2:110" s="192" customFormat="1" hidden="1" x14ac:dyDescent="0.35">
      <c r="B573" s="289"/>
      <c r="C573" s="289"/>
      <c r="Q573" s="193"/>
      <c r="R573" s="194">
        <f t="shared" si="452"/>
        <v>18</v>
      </c>
      <c r="S573" s="197">
        <f t="shared" si="418"/>
        <v>0.3888888888888889</v>
      </c>
      <c r="T573" s="194">
        <f t="shared" si="473"/>
        <v>0.69</v>
      </c>
      <c r="U573" s="194">
        <f t="shared" si="474"/>
        <v>1.4999999999999999E-4</v>
      </c>
      <c r="V573" s="197">
        <f t="shared" si="453"/>
        <v>0.3888888888888889</v>
      </c>
      <c r="W573" s="197">
        <f t="shared" si="419"/>
        <v>4.3555555555555561E-3</v>
      </c>
      <c r="X573" s="286">
        <f t="shared" si="420"/>
        <v>1</v>
      </c>
      <c r="Y573" s="286">
        <f t="shared" si="421"/>
        <v>0.17335969315081967</v>
      </c>
      <c r="Z573" s="286">
        <f t="shared" si="422"/>
        <v>0.54964853345132902</v>
      </c>
      <c r="AA573" s="286">
        <f t="shared" si="454"/>
        <v>0.17335969315081967</v>
      </c>
      <c r="AB573" s="197">
        <f t="shared" si="423"/>
        <v>0.36419974881911377</v>
      </c>
      <c r="AC573" s="287">
        <f t="shared" si="424"/>
        <v>4.4451203372005044E-7</v>
      </c>
      <c r="AD573" s="197">
        <f t="shared" si="455"/>
        <v>11.693936048110356</v>
      </c>
      <c r="AE573" s="197">
        <f t="shared" si="456"/>
        <v>35.08180814433107</v>
      </c>
      <c r="AF573" s="197">
        <f t="shared" si="457"/>
        <v>8.5178571428571423E-2</v>
      </c>
      <c r="AG573" s="197">
        <f t="shared" si="458"/>
        <v>0.25553571428571431</v>
      </c>
      <c r="AH573" s="197">
        <f t="shared" si="425"/>
        <v>0.11660930017110901</v>
      </c>
      <c r="AI573" s="197">
        <f t="shared" si="459"/>
        <v>0.11660930017110901</v>
      </c>
      <c r="AJ573" s="218">
        <f t="shared" si="426"/>
        <v>390.00000000000006</v>
      </c>
      <c r="AK573" s="197">
        <f t="shared" si="460"/>
        <v>6.0930617977437734E-2</v>
      </c>
      <c r="AL573" s="197">
        <f t="shared" si="461"/>
        <v>9.6203707235237593E-2</v>
      </c>
      <c r="AM573" s="197">
        <f t="shared" si="462"/>
        <v>4.0790371867740751E-3</v>
      </c>
      <c r="AN573" s="197">
        <f t="shared" si="427"/>
        <v>24.05</v>
      </c>
      <c r="AO573" s="197">
        <f t="shared" si="428"/>
        <v>21.69</v>
      </c>
      <c r="AP573" s="197">
        <f t="shared" si="463"/>
        <v>7.4093290390420161E-2</v>
      </c>
      <c r="AQ573" s="197">
        <f t="shared" si="464"/>
        <v>0.42250439890466829</v>
      </c>
      <c r="AR573" s="197">
        <f t="shared" si="465"/>
        <v>0.30589509873355925</v>
      </c>
      <c r="AS573" s="258">
        <f t="shared" si="466"/>
        <v>0.15228632177729159</v>
      </c>
      <c r="AT573" s="197">
        <f t="shared" si="429"/>
        <v>2.5974058656511614E-4</v>
      </c>
      <c r="AU573" s="194">
        <f t="shared" si="430"/>
        <v>21.19</v>
      </c>
      <c r="AV573" s="197">
        <f t="shared" si="431"/>
        <v>2.7E-2</v>
      </c>
      <c r="AW573" s="197">
        <f t="shared" si="432"/>
        <v>3.4260000000000002E-3</v>
      </c>
      <c r="AX573" s="197">
        <f t="shared" si="467"/>
        <v>6.1668000000000001E-2</v>
      </c>
      <c r="AY573" s="197">
        <f t="shared" si="433"/>
        <v>2.8867476000000005E-3</v>
      </c>
      <c r="AZ573" s="197">
        <f t="shared" si="434"/>
        <v>0</v>
      </c>
      <c r="BA573" s="197">
        <f t="shared" si="468"/>
        <v>7.2596940000000013E-2</v>
      </c>
      <c r="BB573" s="258">
        <f t="shared" si="435"/>
        <v>0.36575210336206115</v>
      </c>
      <c r="BC573" s="197">
        <f t="shared" si="436"/>
        <v>2.2380490766334034E-2</v>
      </c>
      <c r="BD573" s="197">
        <f t="shared" si="469"/>
        <v>4.4760981532668068E-3</v>
      </c>
      <c r="BE573" s="197">
        <f t="shared" si="470"/>
        <v>2.6856588919600841E-2</v>
      </c>
      <c r="BF573" s="197">
        <f t="shared" si="437"/>
        <v>0.20773291256157633</v>
      </c>
      <c r="BG573" s="197">
        <f t="shared" si="438"/>
        <v>5.4608303342508187E-4</v>
      </c>
      <c r="BH573" s="197">
        <f t="shared" si="439"/>
        <v>3.5336687086656722E-2</v>
      </c>
      <c r="BI573" s="197">
        <f t="shared" si="471"/>
        <v>0.44730899017824427</v>
      </c>
      <c r="BJ573" s="197">
        <f t="shared" si="440"/>
        <v>6.769615024661003</v>
      </c>
      <c r="BK573" s="288">
        <f t="shared" si="441"/>
        <v>0.93392401361838984</v>
      </c>
      <c r="BL573" s="197">
        <f t="shared" si="442"/>
        <v>0.37608972359227794</v>
      </c>
      <c r="BM573" s="197">
        <f t="shared" si="443"/>
        <v>7.4353030976985271E-2</v>
      </c>
      <c r="BN573" s="197">
        <f t="shared" si="444"/>
        <v>54.461181858619113</v>
      </c>
      <c r="BO573" s="197">
        <f t="shared" si="472"/>
        <v>0.2082789955950014</v>
      </c>
      <c r="BP573" s="197">
        <f t="shared" si="445"/>
        <v>65.620924669625111</v>
      </c>
      <c r="BQ573" s="197">
        <f t="shared" si="446"/>
        <v>9.9596940000000009E-2</v>
      </c>
      <c r="BR573" s="288">
        <f t="shared" si="447"/>
        <v>0.16008975919012108</v>
      </c>
      <c r="BS573" s="197">
        <f t="shared" si="448"/>
        <v>0.11660930017110901</v>
      </c>
      <c r="BT573" s="197">
        <f t="shared" si="449"/>
        <v>0.36419974881911377</v>
      </c>
      <c r="BU573" s="197">
        <f t="shared" si="450"/>
        <v>0.1713930788771201</v>
      </c>
      <c r="BV573" s="197">
        <f t="shared" si="451"/>
        <v>0.53530306917875781</v>
      </c>
      <c r="BW573" s="194"/>
      <c r="BX573" s="194"/>
      <c r="BY573" s="194"/>
      <c r="BZ573" s="194"/>
      <c r="CA573" s="194"/>
      <c r="CB573" s="194"/>
      <c r="CC573" s="194"/>
      <c r="CD573" s="194"/>
      <c r="CE573" s="194"/>
      <c r="CF573" s="194"/>
      <c r="CG573" s="194"/>
      <c r="CH573" s="194"/>
      <c r="CI573" s="194"/>
      <c r="CJ573" s="194"/>
      <c r="CK573" s="194"/>
      <c r="CL573" s="194"/>
      <c r="CM573" s="194"/>
      <c r="CN573" s="194"/>
      <c r="CO573" s="194"/>
      <c r="CP573" s="194"/>
      <c r="CQ573" s="194"/>
      <c r="CR573" s="194"/>
      <c r="CS573" s="194"/>
      <c r="CT573" s="194"/>
      <c r="CU573" s="194"/>
      <c r="CV573" s="194"/>
      <c r="CW573" s="194"/>
      <c r="CX573" s="194"/>
      <c r="CY573" s="194"/>
      <c r="CZ573" s="194"/>
      <c r="DA573" s="194"/>
      <c r="DB573" s="194"/>
      <c r="DC573" s="194"/>
      <c r="DD573" s="194"/>
      <c r="DE573" s="194"/>
      <c r="DF573" s="194"/>
    </row>
    <row r="574" spans="2:110" s="192" customFormat="1" hidden="1" x14ac:dyDescent="0.35">
      <c r="B574" s="289"/>
      <c r="C574" s="289"/>
      <c r="Q574" s="193"/>
      <c r="R574" s="194">
        <f t="shared" si="452"/>
        <v>18</v>
      </c>
      <c r="S574" s="197">
        <f t="shared" si="418"/>
        <v>0.3888888888888889</v>
      </c>
      <c r="T574" s="194">
        <f t="shared" si="473"/>
        <v>0.69</v>
      </c>
      <c r="U574" s="194">
        <f t="shared" si="474"/>
        <v>1.4999999999999999E-4</v>
      </c>
      <c r="V574" s="197">
        <f t="shared" si="453"/>
        <v>0.3888888888888889</v>
      </c>
      <c r="W574" s="197">
        <f t="shared" si="419"/>
        <v>4.3555555555555561E-3</v>
      </c>
      <c r="X574" s="286">
        <f t="shared" si="420"/>
        <v>1</v>
      </c>
      <c r="Y574" s="286">
        <f t="shared" si="421"/>
        <v>0.17335969315081967</v>
      </c>
      <c r="Z574" s="286">
        <f t="shared" si="422"/>
        <v>0.54964853345132902</v>
      </c>
      <c r="AA574" s="286">
        <f t="shared" si="454"/>
        <v>0.17335969315081967</v>
      </c>
      <c r="AB574" s="197">
        <f t="shared" si="423"/>
        <v>0.36419974881911377</v>
      </c>
      <c r="AC574" s="287">
        <f t="shared" si="424"/>
        <v>4.4451203372005044E-7</v>
      </c>
      <c r="AD574" s="197">
        <f t="shared" si="455"/>
        <v>11.693936048110356</v>
      </c>
      <c r="AE574" s="197">
        <f t="shared" si="456"/>
        <v>35.08180814433107</v>
      </c>
      <c r="AF574" s="197">
        <f t="shared" si="457"/>
        <v>8.5178571428571423E-2</v>
      </c>
      <c r="AG574" s="197">
        <f t="shared" si="458"/>
        <v>0.25553571428571431</v>
      </c>
      <c r="AH574" s="197">
        <f t="shared" si="425"/>
        <v>0.11660930017110901</v>
      </c>
      <c r="AI574" s="197">
        <f t="shared" si="459"/>
        <v>0.11660930017110901</v>
      </c>
      <c r="AJ574" s="218">
        <f t="shared" si="426"/>
        <v>390.00000000000006</v>
      </c>
      <c r="AK574" s="197">
        <f t="shared" si="460"/>
        <v>6.0930617977437734E-2</v>
      </c>
      <c r="AL574" s="197">
        <f t="shared" si="461"/>
        <v>9.6203707235237593E-2</v>
      </c>
      <c r="AM574" s="197">
        <f t="shared" si="462"/>
        <v>4.0790371867740751E-3</v>
      </c>
      <c r="AN574" s="197">
        <f t="shared" si="427"/>
        <v>24.05</v>
      </c>
      <c r="AO574" s="197">
        <f t="shared" si="428"/>
        <v>21.69</v>
      </c>
      <c r="AP574" s="197">
        <f t="shared" si="463"/>
        <v>7.4093290390420161E-2</v>
      </c>
      <c r="AQ574" s="197">
        <f t="shared" si="464"/>
        <v>0.42250439890466829</v>
      </c>
      <c r="AR574" s="197">
        <f t="shared" si="465"/>
        <v>0.30589509873355925</v>
      </c>
      <c r="AS574" s="258">
        <f t="shared" si="466"/>
        <v>0.15228632177729159</v>
      </c>
      <c r="AT574" s="197">
        <f t="shared" si="429"/>
        <v>2.5974058656511614E-4</v>
      </c>
      <c r="AU574" s="194">
        <f t="shared" si="430"/>
        <v>21.19</v>
      </c>
      <c r="AV574" s="197">
        <f t="shared" si="431"/>
        <v>2.7E-2</v>
      </c>
      <c r="AW574" s="197">
        <f t="shared" si="432"/>
        <v>3.4260000000000002E-3</v>
      </c>
      <c r="AX574" s="197">
        <f t="shared" si="467"/>
        <v>6.1668000000000001E-2</v>
      </c>
      <c r="AY574" s="197">
        <f t="shared" si="433"/>
        <v>2.8867476000000005E-3</v>
      </c>
      <c r="AZ574" s="197">
        <f t="shared" si="434"/>
        <v>0</v>
      </c>
      <c r="BA574" s="197">
        <f t="shared" si="468"/>
        <v>7.2596940000000013E-2</v>
      </c>
      <c r="BB574" s="258">
        <f t="shared" si="435"/>
        <v>0.36575210336206115</v>
      </c>
      <c r="BC574" s="197">
        <f t="shared" si="436"/>
        <v>2.2380490766334034E-2</v>
      </c>
      <c r="BD574" s="197">
        <f t="shared" si="469"/>
        <v>4.4760981532668068E-3</v>
      </c>
      <c r="BE574" s="197">
        <f t="shared" si="470"/>
        <v>2.6856588919600841E-2</v>
      </c>
      <c r="BF574" s="197">
        <f t="shared" si="437"/>
        <v>0.20773291256157633</v>
      </c>
      <c r="BG574" s="197">
        <f t="shared" si="438"/>
        <v>5.4608303342508187E-4</v>
      </c>
      <c r="BH574" s="197">
        <f t="shared" si="439"/>
        <v>3.5336687086656722E-2</v>
      </c>
      <c r="BI574" s="197">
        <f t="shared" si="471"/>
        <v>0.44730899017824427</v>
      </c>
      <c r="BJ574" s="197">
        <f t="shared" si="440"/>
        <v>6.769615024661003</v>
      </c>
      <c r="BK574" s="288">
        <f t="shared" si="441"/>
        <v>0.93392401361838984</v>
      </c>
      <c r="BL574" s="197">
        <f t="shared" si="442"/>
        <v>0.37608972359227794</v>
      </c>
      <c r="BM574" s="197">
        <f t="shared" si="443"/>
        <v>7.4353030976985271E-2</v>
      </c>
      <c r="BN574" s="197">
        <f t="shared" si="444"/>
        <v>54.461181858619113</v>
      </c>
      <c r="BO574" s="197">
        <f t="shared" si="472"/>
        <v>0.2082789955950014</v>
      </c>
      <c r="BP574" s="197">
        <f t="shared" si="445"/>
        <v>65.620924669625111</v>
      </c>
      <c r="BQ574" s="197">
        <f t="shared" si="446"/>
        <v>9.9596940000000009E-2</v>
      </c>
      <c r="BR574" s="288">
        <f t="shared" si="447"/>
        <v>0.16008975919012108</v>
      </c>
      <c r="BS574" s="197">
        <f t="shared" si="448"/>
        <v>0.11660930017110901</v>
      </c>
      <c r="BT574" s="197">
        <f t="shared" si="449"/>
        <v>0.36419974881911377</v>
      </c>
      <c r="BU574" s="197">
        <f t="shared" si="450"/>
        <v>0.1713930788771201</v>
      </c>
      <c r="BV574" s="197">
        <f t="shared" si="451"/>
        <v>0.53530306917875781</v>
      </c>
      <c r="BW574" s="194"/>
      <c r="BX574" s="194"/>
      <c r="BY574" s="194"/>
      <c r="BZ574" s="194"/>
      <c r="CA574" s="194"/>
      <c r="CB574" s="194"/>
      <c r="CC574" s="194"/>
      <c r="CD574" s="194"/>
      <c r="CE574" s="194"/>
      <c r="CF574" s="194"/>
      <c r="CG574" s="194"/>
      <c r="CH574" s="194"/>
      <c r="CI574" s="194"/>
      <c r="CJ574" s="194"/>
      <c r="CK574" s="194"/>
      <c r="CL574" s="194"/>
      <c r="CM574" s="194"/>
      <c r="CN574" s="194"/>
      <c r="CO574" s="194"/>
      <c r="CP574" s="194"/>
      <c r="CQ574" s="194"/>
      <c r="CR574" s="194"/>
      <c r="CS574" s="194"/>
      <c r="CT574" s="194"/>
      <c r="CU574" s="194"/>
      <c r="CV574" s="194"/>
      <c r="CW574" s="194"/>
      <c r="CX574" s="194"/>
      <c r="CY574" s="194"/>
      <c r="CZ574" s="194"/>
      <c r="DA574" s="194"/>
      <c r="DB574" s="194"/>
      <c r="DC574" s="194"/>
      <c r="DD574" s="194"/>
      <c r="DE574" s="194"/>
      <c r="DF574" s="194"/>
    </row>
    <row r="575" spans="2:110" s="192" customFormat="1" hidden="1" x14ac:dyDescent="0.35">
      <c r="B575" s="289"/>
      <c r="C575" s="289"/>
      <c r="Q575" s="193"/>
      <c r="R575" s="194">
        <f t="shared" si="452"/>
        <v>18</v>
      </c>
      <c r="S575" s="197">
        <f t="shared" si="418"/>
        <v>0.3888888888888889</v>
      </c>
      <c r="T575" s="194">
        <f t="shared" si="473"/>
        <v>0.69</v>
      </c>
      <c r="U575" s="194">
        <f t="shared" si="474"/>
        <v>1.4999999999999999E-4</v>
      </c>
      <c r="V575" s="197">
        <f t="shared" si="453"/>
        <v>0.3888888888888889</v>
      </c>
      <c r="W575" s="197">
        <f t="shared" si="419"/>
        <v>4.3555555555555561E-3</v>
      </c>
      <c r="X575" s="286">
        <f t="shared" si="420"/>
        <v>1</v>
      </c>
      <c r="Y575" s="286">
        <f t="shared" si="421"/>
        <v>0.17335969315081967</v>
      </c>
      <c r="Z575" s="286">
        <f t="shared" si="422"/>
        <v>0.54964853345132902</v>
      </c>
      <c r="AA575" s="286">
        <f t="shared" si="454"/>
        <v>0.17335969315081967</v>
      </c>
      <c r="AB575" s="197">
        <f t="shared" si="423"/>
        <v>0.36419974881911377</v>
      </c>
      <c r="AC575" s="287">
        <f t="shared" si="424"/>
        <v>4.4451203372005044E-7</v>
      </c>
      <c r="AD575" s="197">
        <f t="shared" si="455"/>
        <v>11.693936048110356</v>
      </c>
      <c r="AE575" s="197">
        <f t="shared" si="456"/>
        <v>35.08180814433107</v>
      </c>
      <c r="AF575" s="197">
        <f t="shared" si="457"/>
        <v>8.5178571428571423E-2</v>
      </c>
      <c r="AG575" s="197">
        <f t="shared" si="458"/>
        <v>0.25553571428571431</v>
      </c>
      <c r="AH575" s="197">
        <f t="shared" si="425"/>
        <v>0.11660930017110901</v>
      </c>
      <c r="AI575" s="197">
        <f t="shared" si="459"/>
        <v>0.11660930017110901</v>
      </c>
      <c r="AJ575" s="218">
        <f t="shared" si="426"/>
        <v>390.00000000000006</v>
      </c>
      <c r="AK575" s="197">
        <f t="shared" si="460"/>
        <v>6.0930617977437734E-2</v>
      </c>
      <c r="AL575" s="197">
        <f t="shared" si="461"/>
        <v>9.6203707235237593E-2</v>
      </c>
      <c r="AM575" s="197">
        <f t="shared" si="462"/>
        <v>4.0790371867740751E-3</v>
      </c>
      <c r="AN575" s="197">
        <f t="shared" si="427"/>
        <v>24.05</v>
      </c>
      <c r="AO575" s="197">
        <f t="shared" si="428"/>
        <v>21.69</v>
      </c>
      <c r="AP575" s="197">
        <f t="shared" si="463"/>
        <v>7.4093290390420161E-2</v>
      </c>
      <c r="AQ575" s="197">
        <f t="shared" si="464"/>
        <v>0.42250439890466829</v>
      </c>
      <c r="AR575" s="197">
        <f t="shared" si="465"/>
        <v>0.30589509873355925</v>
      </c>
      <c r="AS575" s="258">
        <f t="shared" si="466"/>
        <v>0.15228632177729159</v>
      </c>
      <c r="AT575" s="197">
        <f t="shared" si="429"/>
        <v>2.5974058656511614E-4</v>
      </c>
      <c r="AU575" s="194">
        <f t="shared" si="430"/>
        <v>21.19</v>
      </c>
      <c r="AV575" s="197">
        <f t="shared" si="431"/>
        <v>2.7E-2</v>
      </c>
      <c r="AW575" s="197">
        <f t="shared" si="432"/>
        <v>3.4260000000000002E-3</v>
      </c>
      <c r="AX575" s="197">
        <f t="shared" si="467"/>
        <v>6.1668000000000001E-2</v>
      </c>
      <c r="AY575" s="197">
        <f t="shared" si="433"/>
        <v>2.8867476000000005E-3</v>
      </c>
      <c r="AZ575" s="197">
        <f t="shared" si="434"/>
        <v>0</v>
      </c>
      <c r="BA575" s="197">
        <f t="shared" si="468"/>
        <v>7.2596940000000013E-2</v>
      </c>
      <c r="BB575" s="258">
        <f t="shared" si="435"/>
        <v>0.36575210336206115</v>
      </c>
      <c r="BC575" s="197">
        <f t="shared" si="436"/>
        <v>2.2380490766334034E-2</v>
      </c>
      <c r="BD575" s="197">
        <f t="shared" si="469"/>
        <v>4.4760981532668068E-3</v>
      </c>
      <c r="BE575" s="197">
        <f t="shared" si="470"/>
        <v>2.6856588919600841E-2</v>
      </c>
      <c r="BF575" s="197">
        <f t="shared" si="437"/>
        <v>0.20773291256157633</v>
      </c>
      <c r="BG575" s="197">
        <f t="shared" si="438"/>
        <v>5.4608303342508187E-4</v>
      </c>
      <c r="BH575" s="197">
        <f t="shared" si="439"/>
        <v>3.5336687086656722E-2</v>
      </c>
      <c r="BI575" s="197">
        <f t="shared" si="471"/>
        <v>0.44730899017824427</v>
      </c>
      <c r="BJ575" s="197">
        <f t="shared" si="440"/>
        <v>6.769615024661003</v>
      </c>
      <c r="BK575" s="288">
        <f t="shared" si="441"/>
        <v>0.93392401361838984</v>
      </c>
      <c r="BL575" s="197">
        <f t="shared" si="442"/>
        <v>0.37608972359227794</v>
      </c>
      <c r="BM575" s="197">
        <f t="shared" si="443"/>
        <v>7.4353030976985271E-2</v>
      </c>
      <c r="BN575" s="197">
        <f t="shared" si="444"/>
        <v>54.461181858619113</v>
      </c>
      <c r="BO575" s="197">
        <f t="shared" si="472"/>
        <v>0.2082789955950014</v>
      </c>
      <c r="BP575" s="197">
        <f t="shared" si="445"/>
        <v>65.620924669625111</v>
      </c>
      <c r="BQ575" s="197">
        <f t="shared" si="446"/>
        <v>9.9596940000000009E-2</v>
      </c>
      <c r="BR575" s="288">
        <f t="shared" si="447"/>
        <v>0.16008975919012108</v>
      </c>
      <c r="BS575" s="197">
        <f t="shared" si="448"/>
        <v>0.11660930017110901</v>
      </c>
      <c r="BT575" s="197">
        <f t="shared" si="449"/>
        <v>0.36419974881911377</v>
      </c>
      <c r="BU575" s="197">
        <f t="shared" si="450"/>
        <v>0.1713930788771201</v>
      </c>
      <c r="BV575" s="197">
        <f t="shared" si="451"/>
        <v>0.53530306917875781</v>
      </c>
      <c r="BW575" s="194"/>
      <c r="BX575" s="194"/>
      <c r="BY575" s="194"/>
      <c r="BZ575" s="194"/>
      <c r="CA575" s="194"/>
      <c r="CB575" s="194"/>
      <c r="CC575" s="194"/>
      <c r="CD575" s="194"/>
      <c r="CE575" s="194"/>
      <c r="CF575" s="194"/>
      <c r="CG575" s="194"/>
      <c r="CH575" s="194"/>
      <c r="CI575" s="194"/>
      <c r="CJ575" s="194"/>
      <c r="CK575" s="194"/>
      <c r="CL575" s="194"/>
      <c r="CM575" s="194"/>
      <c r="CN575" s="194"/>
      <c r="CO575" s="194"/>
      <c r="CP575" s="194"/>
      <c r="CQ575" s="194"/>
      <c r="CR575" s="194"/>
      <c r="CS575" s="194"/>
      <c r="CT575" s="194"/>
      <c r="CU575" s="194"/>
      <c r="CV575" s="194"/>
      <c r="CW575" s="194"/>
      <c r="CX575" s="194"/>
      <c r="CY575" s="194"/>
      <c r="CZ575" s="194"/>
      <c r="DA575" s="194"/>
      <c r="DB575" s="194"/>
      <c r="DC575" s="194"/>
      <c r="DD575" s="194"/>
      <c r="DE575" s="194"/>
      <c r="DF575" s="194"/>
    </row>
    <row r="576" spans="2:110" s="192" customFormat="1" hidden="1" x14ac:dyDescent="0.35">
      <c r="B576" s="289"/>
      <c r="C576" s="289"/>
      <c r="Q576" s="193"/>
      <c r="R576" s="194">
        <f t="shared" si="452"/>
        <v>18</v>
      </c>
      <c r="S576" s="197">
        <f t="shared" si="418"/>
        <v>0.3888888888888889</v>
      </c>
      <c r="T576" s="194">
        <f t="shared" si="473"/>
        <v>0.69</v>
      </c>
      <c r="U576" s="194">
        <f t="shared" si="474"/>
        <v>1.4999999999999999E-4</v>
      </c>
      <c r="V576" s="197">
        <f t="shared" si="453"/>
        <v>0.3888888888888889</v>
      </c>
      <c r="W576" s="197">
        <f t="shared" si="419"/>
        <v>4.3555555555555561E-3</v>
      </c>
      <c r="X576" s="286">
        <f t="shared" si="420"/>
        <v>1</v>
      </c>
      <c r="Y576" s="286">
        <f t="shared" si="421"/>
        <v>0.17335969315081967</v>
      </c>
      <c r="Z576" s="286">
        <f t="shared" si="422"/>
        <v>0.54964853345132902</v>
      </c>
      <c r="AA576" s="286">
        <f t="shared" si="454"/>
        <v>0.17335969315081967</v>
      </c>
      <c r="AB576" s="197">
        <f t="shared" si="423"/>
        <v>0.36419974881911377</v>
      </c>
      <c r="AC576" s="287">
        <f t="shared" si="424"/>
        <v>4.4451203372005044E-7</v>
      </c>
      <c r="AD576" s="197">
        <f t="shared" si="455"/>
        <v>11.693936048110356</v>
      </c>
      <c r="AE576" s="197">
        <f t="shared" si="456"/>
        <v>35.08180814433107</v>
      </c>
      <c r="AF576" s="197">
        <f t="shared" si="457"/>
        <v>8.5178571428571423E-2</v>
      </c>
      <c r="AG576" s="197">
        <f t="shared" si="458"/>
        <v>0.25553571428571431</v>
      </c>
      <c r="AH576" s="197">
        <f t="shared" si="425"/>
        <v>0.11660930017110901</v>
      </c>
      <c r="AI576" s="197">
        <f t="shared" si="459"/>
        <v>0.11660930017110901</v>
      </c>
      <c r="AJ576" s="218">
        <f t="shared" si="426"/>
        <v>390.00000000000006</v>
      </c>
      <c r="AK576" s="197">
        <f t="shared" si="460"/>
        <v>6.0930617977437734E-2</v>
      </c>
      <c r="AL576" s="197">
        <f t="shared" si="461"/>
        <v>9.6203707235237593E-2</v>
      </c>
      <c r="AM576" s="197">
        <f t="shared" si="462"/>
        <v>4.0790371867740751E-3</v>
      </c>
      <c r="AN576" s="197">
        <f t="shared" si="427"/>
        <v>24.05</v>
      </c>
      <c r="AO576" s="197">
        <f t="shared" si="428"/>
        <v>21.69</v>
      </c>
      <c r="AP576" s="197">
        <f t="shared" si="463"/>
        <v>7.4093290390420161E-2</v>
      </c>
      <c r="AQ576" s="197">
        <f t="shared" si="464"/>
        <v>0.42250439890466829</v>
      </c>
      <c r="AR576" s="197">
        <f t="shared" si="465"/>
        <v>0.30589509873355925</v>
      </c>
      <c r="AS576" s="258">
        <f t="shared" si="466"/>
        <v>0.15228632177729159</v>
      </c>
      <c r="AT576" s="197">
        <f t="shared" si="429"/>
        <v>2.5974058656511614E-4</v>
      </c>
      <c r="AU576" s="194">
        <f t="shared" si="430"/>
        <v>21.19</v>
      </c>
      <c r="AV576" s="197">
        <f t="shared" si="431"/>
        <v>2.7E-2</v>
      </c>
      <c r="AW576" s="197">
        <f t="shared" si="432"/>
        <v>3.4260000000000002E-3</v>
      </c>
      <c r="AX576" s="197">
        <f t="shared" si="467"/>
        <v>6.1668000000000001E-2</v>
      </c>
      <c r="AY576" s="197">
        <f t="shared" si="433"/>
        <v>2.8867476000000005E-3</v>
      </c>
      <c r="AZ576" s="197">
        <f t="shared" si="434"/>
        <v>0</v>
      </c>
      <c r="BA576" s="197">
        <f t="shared" si="468"/>
        <v>7.2596940000000013E-2</v>
      </c>
      <c r="BB576" s="258">
        <f t="shared" si="435"/>
        <v>0.36575210336206115</v>
      </c>
      <c r="BC576" s="197">
        <f t="shared" si="436"/>
        <v>2.2380490766334034E-2</v>
      </c>
      <c r="BD576" s="197">
        <f t="shared" si="469"/>
        <v>4.4760981532668068E-3</v>
      </c>
      <c r="BE576" s="197">
        <f t="shared" si="470"/>
        <v>2.6856588919600841E-2</v>
      </c>
      <c r="BF576" s="197">
        <f t="shared" si="437"/>
        <v>0.20773291256157633</v>
      </c>
      <c r="BG576" s="197">
        <f t="shared" si="438"/>
        <v>5.4608303342508187E-4</v>
      </c>
      <c r="BH576" s="197">
        <f t="shared" si="439"/>
        <v>3.5336687086656722E-2</v>
      </c>
      <c r="BI576" s="197">
        <f t="shared" si="471"/>
        <v>0.44730899017824427</v>
      </c>
      <c r="BJ576" s="197">
        <f t="shared" si="440"/>
        <v>6.769615024661003</v>
      </c>
      <c r="BK576" s="288">
        <f t="shared" si="441"/>
        <v>0.93392401361838984</v>
      </c>
      <c r="BL576" s="197">
        <f t="shared" si="442"/>
        <v>0.37608972359227794</v>
      </c>
      <c r="BM576" s="197">
        <f t="shared" si="443"/>
        <v>7.4353030976985271E-2</v>
      </c>
      <c r="BN576" s="197">
        <f t="shared" si="444"/>
        <v>54.461181858619113</v>
      </c>
      <c r="BO576" s="197">
        <f t="shared" si="472"/>
        <v>0.2082789955950014</v>
      </c>
      <c r="BP576" s="197">
        <f t="shared" si="445"/>
        <v>65.620924669625111</v>
      </c>
      <c r="BQ576" s="197">
        <f t="shared" si="446"/>
        <v>9.9596940000000009E-2</v>
      </c>
      <c r="BR576" s="288">
        <f t="shared" si="447"/>
        <v>0.16008975919012108</v>
      </c>
      <c r="BS576" s="197">
        <f t="shared" si="448"/>
        <v>0.11660930017110901</v>
      </c>
      <c r="BT576" s="197">
        <f t="shared" si="449"/>
        <v>0.36419974881911377</v>
      </c>
      <c r="BU576" s="197">
        <f t="shared" si="450"/>
        <v>0.1713930788771201</v>
      </c>
      <c r="BV576" s="197">
        <f t="shared" si="451"/>
        <v>0.53530306917875781</v>
      </c>
      <c r="BW576" s="194"/>
      <c r="BX576" s="194"/>
      <c r="BY576" s="194"/>
      <c r="BZ576" s="194"/>
      <c r="CA576" s="194"/>
      <c r="CB576" s="194"/>
      <c r="CC576" s="194"/>
      <c r="CD576" s="194"/>
      <c r="CE576" s="194"/>
      <c r="CF576" s="194"/>
      <c r="CG576" s="194"/>
      <c r="CH576" s="194"/>
      <c r="CI576" s="194"/>
      <c r="CJ576" s="194"/>
      <c r="CK576" s="194"/>
      <c r="CL576" s="194"/>
      <c r="CM576" s="194"/>
      <c r="CN576" s="194"/>
      <c r="CO576" s="194"/>
      <c r="CP576" s="194"/>
      <c r="CQ576" s="194"/>
      <c r="CR576" s="194"/>
      <c r="CS576" s="194"/>
      <c r="CT576" s="194"/>
      <c r="CU576" s="194"/>
      <c r="CV576" s="194"/>
      <c r="CW576" s="194"/>
      <c r="CX576" s="194"/>
      <c r="CY576" s="194"/>
      <c r="CZ576" s="194"/>
      <c r="DA576" s="194"/>
      <c r="DB576" s="194"/>
      <c r="DC576" s="194"/>
      <c r="DD576" s="194"/>
      <c r="DE576" s="194"/>
      <c r="DF576" s="194"/>
    </row>
    <row r="577" spans="2:110" s="192" customFormat="1" hidden="1" x14ac:dyDescent="0.35">
      <c r="B577" s="289"/>
      <c r="C577" s="289"/>
      <c r="Q577" s="193"/>
      <c r="R577" s="194">
        <f t="shared" si="452"/>
        <v>18</v>
      </c>
      <c r="S577" s="197">
        <f t="shared" si="418"/>
        <v>0.3888888888888889</v>
      </c>
      <c r="T577" s="194">
        <f t="shared" si="473"/>
        <v>0.69</v>
      </c>
      <c r="U577" s="194">
        <f t="shared" si="474"/>
        <v>1.4999999999999999E-4</v>
      </c>
      <c r="V577" s="197">
        <f t="shared" si="453"/>
        <v>0.3888888888888889</v>
      </c>
      <c r="W577" s="197">
        <f t="shared" si="419"/>
        <v>4.3555555555555561E-3</v>
      </c>
      <c r="X577" s="286">
        <f t="shared" si="420"/>
        <v>1</v>
      </c>
      <c r="Y577" s="286">
        <f t="shared" si="421"/>
        <v>0.17335969315081967</v>
      </c>
      <c r="Z577" s="286">
        <f t="shared" si="422"/>
        <v>0.54964853345132902</v>
      </c>
      <c r="AA577" s="286">
        <f t="shared" si="454"/>
        <v>0.17335969315081967</v>
      </c>
      <c r="AB577" s="197">
        <f t="shared" si="423"/>
        <v>0.36419974881911377</v>
      </c>
      <c r="AC577" s="287">
        <f t="shared" si="424"/>
        <v>4.4451203372005044E-7</v>
      </c>
      <c r="AD577" s="197">
        <f t="shared" si="455"/>
        <v>11.693936048110356</v>
      </c>
      <c r="AE577" s="197">
        <f t="shared" si="456"/>
        <v>35.08180814433107</v>
      </c>
      <c r="AF577" s="197">
        <f t="shared" si="457"/>
        <v>8.5178571428571423E-2</v>
      </c>
      <c r="AG577" s="197">
        <f t="shared" si="458"/>
        <v>0.25553571428571431</v>
      </c>
      <c r="AH577" s="197">
        <f t="shared" si="425"/>
        <v>0.11660930017110901</v>
      </c>
      <c r="AI577" s="197">
        <f t="shared" si="459"/>
        <v>0.11660930017110901</v>
      </c>
      <c r="AJ577" s="218">
        <f t="shared" si="426"/>
        <v>390.00000000000006</v>
      </c>
      <c r="AK577" s="197">
        <f t="shared" si="460"/>
        <v>6.0930617977437734E-2</v>
      </c>
      <c r="AL577" s="197">
        <f t="shared" si="461"/>
        <v>9.6203707235237593E-2</v>
      </c>
      <c r="AM577" s="197">
        <f t="shared" si="462"/>
        <v>4.0790371867740751E-3</v>
      </c>
      <c r="AN577" s="197">
        <f t="shared" si="427"/>
        <v>24.05</v>
      </c>
      <c r="AO577" s="197">
        <f t="shared" si="428"/>
        <v>21.69</v>
      </c>
      <c r="AP577" s="197">
        <f t="shared" si="463"/>
        <v>7.4093290390420161E-2</v>
      </c>
      <c r="AQ577" s="197">
        <f t="shared" si="464"/>
        <v>0.42250439890466829</v>
      </c>
      <c r="AR577" s="197">
        <f t="shared" si="465"/>
        <v>0.30589509873355925</v>
      </c>
      <c r="AS577" s="258">
        <f t="shared" si="466"/>
        <v>0.15228632177729159</v>
      </c>
      <c r="AT577" s="197">
        <f t="shared" si="429"/>
        <v>2.5974058656511614E-4</v>
      </c>
      <c r="AU577" s="194">
        <f t="shared" si="430"/>
        <v>21.19</v>
      </c>
      <c r="AV577" s="197">
        <f t="shared" si="431"/>
        <v>2.7E-2</v>
      </c>
      <c r="AW577" s="197">
        <f t="shared" si="432"/>
        <v>3.4260000000000002E-3</v>
      </c>
      <c r="AX577" s="197">
        <f t="shared" si="467"/>
        <v>6.1668000000000001E-2</v>
      </c>
      <c r="AY577" s="197">
        <f t="shared" si="433"/>
        <v>2.8867476000000005E-3</v>
      </c>
      <c r="AZ577" s="197">
        <f t="shared" si="434"/>
        <v>0</v>
      </c>
      <c r="BA577" s="197">
        <f t="shared" si="468"/>
        <v>7.2596940000000013E-2</v>
      </c>
      <c r="BB577" s="258">
        <f t="shared" si="435"/>
        <v>0.36575210336206115</v>
      </c>
      <c r="BC577" s="197">
        <f t="shared" si="436"/>
        <v>2.2380490766334034E-2</v>
      </c>
      <c r="BD577" s="197">
        <f t="shared" si="469"/>
        <v>4.4760981532668068E-3</v>
      </c>
      <c r="BE577" s="197">
        <f t="shared" si="470"/>
        <v>2.6856588919600841E-2</v>
      </c>
      <c r="BF577" s="197">
        <f t="shared" si="437"/>
        <v>0.20773291256157633</v>
      </c>
      <c r="BG577" s="197">
        <f t="shared" si="438"/>
        <v>5.4608303342508187E-4</v>
      </c>
      <c r="BH577" s="197">
        <f t="shared" si="439"/>
        <v>3.5336687086656722E-2</v>
      </c>
      <c r="BI577" s="197">
        <f t="shared" si="471"/>
        <v>0.44730899017824427</v>
      </c>
      <c r="BJ577" s="197">
        <f t="shared" si="440"/>
        <v>6.769615024661003</v>
      </c>
      <c r="BK577" s="288">
        <f t="shared" si="441"/>
        <v>0.93392401361838984</v>
      </c>
      <c r="BL577" s="197">
        <f t="shared" si="442"/>
        <v>0.37608972359227794</v>
      </c>
      <c r="BM577" s="197">
        <f t="shared" si="443"/>
        <v>7.4353030976985271E-2</v>
      </c>
      <c r="BN577" s="197">
        <f t="shared" si="444"/>
        <v>54.461181858619113</v>
      </c>
      <c r="BO577" s="197">
        <f t="shared" si="472"/>
        <v>0.2082789955950014</v>
      </c>
      <c r="BP577" s="197">
        <f t="shared" si="445"/>
        <v>65.620924669625111</v>
      </c>
      <c r="BQ577" s="197">
        <f t="shared" si="446"/>
        <v>9.9596940000000009E-2</v>
      </c>
      <c r="BR577" s="288">
        <f t="shared" si="447"/>
        <v>0.16008975919012108</v>
      </c>
      <c r="BS577" s="197">
        <f t="shared" si="448"/>
        <v>0.11660930017110901</v>
      </c>
      <c r="BT577" s="197">
        <f t="shared" si="449"/>
        <v>0.36419974881911377</v>
      </c>
      <c r="BU577" s="197">
        <f t="shared" si="450"/>
        <v>0.1713930788771201</v>
      </c>
      <c r="BV577" s="197">
        <f t="shared" si="451"/>
        <v>0.53530306917875781</v>
      </c>
      <c r="BW577" s="194"/>
      <c r="BX577" s="194"/>
      <c r="BY577" s="194"/>
      <c r="BZ577" s="194"/>
      <c r="CA577" s="194"/>
      <c r="CB577" s="194"/>
      <c r="CC577" s="194"/>
      <c r="CD577" s="194"/>
      <c r="CE577" s="194"/>
      <c r="CF577" s="194"/>
      <c r="CG577" s="194"/>
      <c r="CH577" s="194"/>
      <c r="CI577" s="194"/>
      <c r="CJ577" s="194"/>
      <c r="CK577" s="194"/>
      <c r="CL577" s="194"/>
      <c r="CM577" s="194"/>
      <c r="CN577" s="194"/>
      <c r="CO577" s="194"/>
      <c r="CP577" s="194"/>
      <c r="CQ577" s="194"/>
      <c r="CR577" s="194"/>
      <c r="CS577" s="194"/>
      <c r="CT577" s="194"/>
      <c r="CU577" s="194"/>
      <c r="CV577" s="194"/>
      <c r="CW577" s="194"/>
      <c r="CX577" s="194"/>
      <c r="CY577" s="194"/>
      <c r="CZ577" s="194"/>
      <c r="DA577" s="194"/>
      <c r="DB577" s="194"/>
      <c r="DC577" s="194"/>
      <c r="DD577" s="194"/>
      <c r="DE577" s="194"/>
      <c r="DF577" s="194"/>
    </row>
    <row r="578" spans="2:110" s="192" customFormat="1" hidden="1" x14ac:dyDescent="0.35">
      <c r="B578" s="289"/>
      <c r="C578" s="289"/>
      <c r="Q578" s="193"/>
      <c r="R578" s="194">
        <f t="shared" si="452"/>
        <v>18</v>
      </c>
      <c r="S578" s="197">
        <f t="shared" si="418"/>
        <v>0.3888888888888889</v>
      </c>
      <c r="T578" s="194">
        <f t="shared" si="473"/>
        <v>0.69</v>
      </c>
      <c r="U578" s="194">
        <f t="shared" si="474"/>
        <v>1.4999999999999999E-4</v>
      </c>
      <c r="V578" s="197">
        <f t="shared" si="453"/>
        <v>0.3888888888888889</v>
      </c>
      <c r="W578" s="197">
        <f t="shared" si="419"/>
        <v>4.3555555555555561E-3</v>
      </c>
      <c r="X578" s="286">
        <f t="shared" si="420"/>
        <v>1</v>
      </c>
      <c r="Y578" s="286">
        <f t="shared" si="421"/>
        <v>0.17335969315081967</v>
      </c>
      <c r="Z578" s="286">
        <f t="shared" si="422"/>
        <v>0.54964853345132902</v>
      </c>
      <c r="AA578" s="286">
        <f t="shared" si="454"/>
        <v>0.17335969315081967</v>
      </c>
      <c r="AB578" s="197">
        <f t="shared" si="423"/>
        <v>0.36419974881911377</v>
      </c>
      <c r="AC578" s="287">
        <f t="shared" si="424"/>
        <v>4.4451203372005044E-7</v>
      </c>
      <c r="AD578" s="197">
        <f t="shared" si="455"/>
        <v>11.693936048110356</v>
      </c>
      <c r="AE578" s="197">
        <f t="shared" si="456"/>
        <v>35.08180814433107</v>
      </c>
      <c r="AF578" s="197">
        <f t="shared" si="457"/>
        <v>8.5178571428571423E-2</v>
      </c>
      <c r="AG578" s="197">
        <f t="shared" si="458"/>
        <v>0.25553571428571431</v>
      </c>
      <c r="AH578" s="197">
        <f t="shared" si="425"/>
        <v>0.11660930017110901</v>
      </c>
      <c r="AI578" s="197">
        <f t="shared" si="459"/>
        <v>0.11660930017110901</v>
      </c>
      <c r="AJ578" s="218">
        <f t="shared" si="426"/>
        <v>390.00000000000006</v>
      </c>
      <c r="AK578" s="197">
        <f t="shared" si="460"/>
        <v>6.0930617977437734E-2</v>
      </c>
      <c r="AL578" s="197">
        <f t="shared" si="461"/>
        <v>9.6203707235237593E-2</v>
      </c>
      <c r="AM578" s="197">
        <f t="shared" si="462"/>
        <v>4.0790371867740751E-3</v>
      </c>
      <c r="AN578" s="197">
        <f t="shared" si="427"/>
        <v>24.05</v>
      </c>
      <c r="AO578" s="197">
        <f t="shared" si="428"/>
        <v>21.69</v>
      </c>
      <c r="AP578" s="197">
        <f t="shared" si="463"/>
        <v>7.4093290390420161E-2</v>
      </c>
      <c r="AQ578" s="197">
        <f t="shared" si="464"/>
        <v>0.42250439890466829</v>
      </c>
      <c r="AR578" s="197">
        <f t="shared" si="465"/>
        <v>0.30589509873355925</v>
      </c>
      <c r="AS578" s="258">
        <f t="shared" si="466"/>
        <v>0.15228632177729159</v>
      </c>
      <c r="AT578" s="197">
        <f t="shared" si="429"/>
        <v>2.5974058656511614E-4</v>
      </c>
      <c r="AU578" s="194">
        <f t="shared" si="430"/>
        <v>21.19</v>
      </c>
      <c r="AV578" s="197">
        <f t="shared" si="431"/>
        <v>2.7E-2</v>
      </c>
      <c r="AW578" s="197">
        <f t="shared" si="432"/>
        <v>3.4260000000000002E-3</v>
      </c>
      <c r="AX578" s="197">
        <f t="shared" si="467"/>
        <v>6.1668000000000001E-2</v>
      </c>
      <c r="AY578" s="197">
        <f t="shared" si="433"/>
        <v>2.8867476000000005E-3</v>
      </c>
      <c r="AZ578" s="197">
        <f t="shared" si="434"/>
        <v>0</v>
      </c>
      <c r="BA578" s="197">
        <f t="shared" si="468"/>
        <v>7.2596940000000013E-2</v>
      </c>
      <c r="BB578" s="258">
        <f t="shared" si="435"/>
        <v>0.36575210336206115</v>
      </c>
      <c r="BC578" s="197">
        <f t="shared" si="436"/>
        <v>2.2380490766334034E-2</v>
      </c>
      <c r="BD578" s="197">
        <f t="shared" si="469"/>
        <v>4.4760981532668068E-3</v>
      </c>
      <c r="BE578" s="197">
        <f t="shared" si="470"/>
        <v>2.6856588919600841E-2</v>
      </c>
      <c r="BF578" s="197">
        <f t="shared" si="437"/>
        <v>0.20773291256157633</v>
      </c>
      <c r="BG578" s="197">
        <f t="shared" si="438"/>
        <v>5.4608303342508187E-4</v>
      </c>
      <c r="BH578" s="197">
        <f t="shared" si="439"/>
        <v>3.5336687086656722E-2</v>
      </c>
      <c r="BI578" s="197">
        <f t="shared" si="471"/>
        <v>0.44730899017824427</v>
      </c>
      <c r="BJ578" s="197">
        <f t="shared" si="440"/>
        <v>6.769615024661003</v>
      </c>
      <c r="BK578" s="288">
        <f t="shared" si="441"/>
        <v>0.93392401361838984</v>
      </c>
      <c r="BL578" s="197">
        <f t="shared" si="442"/>
        <v>0.37608972359227794</v>
      </c>
      <c r="BM578" s="197">
        <f t="shared" si="443"/>
        <v>7.4353030976985271E-2</v>
      </c>
      <c r="BN578" s="197">
        <f t="shared" si="444"/>
        <v>54.461181858619113</v>
      </c>
      <c r="BO578" s="197">
        <f t="shared" si="472"/>
        <v>0.2082789955950014</v>
      </c>
      <c r="BP578" s="197">
        <f t="shared" si="445"/>
        <v>65.620924669625111</v>
      </c>
      <c r="BQ578" s="197">
        <f t="shared" si="446"/>
        <v>9.9596940000000009E-2</v>
      </c>
      <c r="BR578" s="288">
        <f t="shared" si="447"/>
        <v>0.16008975919012108</v>
      </c>
      <c r="BS578" s="197">
        <f t="shared" si="448"/>
        <v>0.11660930017110901</v>
      </c>
      <c r="BT578" s="197">
        <f t="shared" si="449"/>
        <v>0.36419974881911377</v>
      </c>
      <c r="BU578" s="197">
        <f t="shared" si="450"/>
        <v>0.1713930788771201</v>
      </c>
      <c r="BV578" s="197">
        <f t="shared" si="451"/>
        <v>0.53530306917875781</v>
      </c>
      <c r="BW578" s="194"/>
      <c r="BX578" s="194"/>
      <c r="BY578" s="194"/>
      <c r="BZ578" s="194"/>
      <c r="CA578" s="194"/>
      <c r="CB578" s="194"/>
      <c r="CC578" s="194"/>
      <c r="CD578" s="194"/>
      <c r="CE578" s="194"/>
      <c r="CF578" s="194"/>
      <c r="CG578" s="194"/>
      <c r="CH578" s="194"/>
      <c r="CI578" s="194"/>
      <c r="CJ578" s="194"/>
      <c r="CK578" s="194"/>
      <c r="CL578" s="194"/>
      <c r="CM578" s="194"/>
      <c r="CN578" s="194"/>
      <c r="CO578" s="194"/>
      <c r="CP578" s="194"/>
      <c r="CQ578" s="194"/>
      <c r="CR578" s="194"/>
      <c r="CS578" s="194"/>
      <c r="CT578" s="194"/>
      <c r="CU578" s="194"/>
      <c r="CV578" s="194"/>
      <c r="CW578" s="194"/>
      <c r="CX578" s="194"/>
      <c r="CY578" s="194"/>
      <c r="CZ578" s="194"/>
      <c r="DA578" s="194"/>
      <c r="DB578" s="194"/>
      <c r="DC578" s="194"/>
      <c r="DD578" s="194"/>
      <c r="DE578" s="194"/>
      <c r="DF578" s="194"/>
    </row>
    <row r="579" spans="2:110" s="192" customFormat="1" hidden="1" x14ac:dyDescent="0.35">
      <c r="B579" s="289"/>
      <c r="C579" s="289"/>
      <c r="Q579" s="193"/>
      <c r="R579" s="194">
        <f t="shared" si="452"/>
        <v>18</v>
      </c>
      <c r="S579" s="197">
        <f t="shared" si="418"/>
        <v>0.3888888888888889</v>
      </c>
      <c r="T579" s="194">
        <f t="shared" si="473"/>
        <v>0.69</v>
      </c>
      <c r="U579" s="194">
        <f t="shared" si="474"/>
        <v>1.4999999999999999E-4</v>
      </c>
      <c r="V579" s="197">
        <f t="shared" si="453"/>
        <v>0.3888888888888889</v>
      </c>
      <c r="W579" s="197">
        <f t="shared" si="419"/>
        <v>4.3555555555555561E-3</v>
      </c>
      <c r="X579" s="286">
        <f t="shared" si="420"/>
        <v>1</v>
      </c>
      <c r="Y579" s="286">
        <f t="shared" si="421"/>
        <v>0.17335969315081967</v>
      </c>
      <c r="Z579" s="286">
        <f t="shared" si="422"/>
        <v>0.54964853345132902</v>
      </c>
      <c r="AA579" s="286">
        <f t="shared" si="454"/>
        <v>0.17335969315081967</v>
      </c>
      <c r="AB579" s="197">
        <f t="shared" si="423"/>
        <v>0.36419974881911377</v>
      </c>
      <c r="AC579" s="287">
        <f t="shared" si="424"/>
        <v>4.4451203372005044E-7</v>
      </c>
      <c r="AD579" s="197">
        <f t="shared" si="455"/>
        <v>11.693936048110356</v>
      </c>
      <c r="AE579" s="197">
        <f t="shared" si="456"/>
        <v>35.08180814433107</v>
      </c>
      <c r="AF579" s="197">
        <f t="shared" si="457"/>
        <v>8.5178571428571423E-2</v>
      </c>
      <c r="AG579" s="197">
        <f t="shared" si="458"/>
        <v>0.25553571428571431</v>
      </c>
      <c r="AH579" s="197">
        <f t="shared" si="425"/>
        <v>0.11660930017110901</v>
      </c>
      <c r="AI579" s="197">
        <f t="shared" si="459"/>
        <v>0.11660930017110901</v>
      </c>
      <c r="AJ579" s="218">
        <f t="shared" si="426"/>
        <v>390.00000000000006</v>
      </c>
      <c r="AK579" s="197">
        <f t="shared" si="460"/>
        <v>6.0930617977437734E-2</v>
      </c>
      <c r="AL579" s="197">
        <f t="shared" si="461"/>
        <v>9.6203707235237593E-2</v>
      </c>
      <c r="AM579" s="197">
        <f t="shared" si="462"/>
        <v>4.0790371867740751E-3</v>
      </c>
      <c r="AN579" s="197">
        <f t="shared" si="427"/>
        <v>24.05</v>
      </c>
      <c r="AO579" s="197">
        <f t="shared" si="428"/>
        <v>21.69</v>
      </c>
      <c r="AP579" s="197">
        <f t="shared" si="463"/>
        <v>7.4093290390420161E-2</v>
      </c>
      <c r="AQ579" s="197">
        <f t="shared" si="464"/>
        <v>0.42250439890466829</v>
      </c>
      <c r="AR579" s="197">
        <f t="shared" si="465"/>
        <v>0.30589509873355925</v>
      </c>
      <c r="AS579" s="258">
        <f t="shared" si="466"/>
        <v>0.15228632177729159</v>
      </c>
      <c r="AT579" s="197">
        <f t="shared" si="429"/>
        <v>2.5974058656511614E-4</v>
      </c>
      <c r="AU579" s="194">
        <f t="shared" si="430"/>
        <v>21.19</v>
      </c>
      <c r="AV579" s="197">
        <f t="shared" si="431"/>
        <v>2.7E-2</v>
      </c>
      <c r="AW579" s="197">
        <f t="shared" si="432"/>
        <v>3.4260000000000002E-3</v>
      </c>
      <c r="AX579" s="197">
        <f t="shared" si="467"/>
        <v>6.1668000000000001E-2</v>
      </c>
      <c r="AY579" s="197">
        <f t="shared" si="433"/>
        <v>2.8867476000000005E-3</v>
      </c>
      <c r="AZ579" s="197">
        <f t="shared" si="434"/>
        <v>0</v>
      </c>
      <c r="BA579" s="197">
        <f t="shared" si="468"/>
        <v>7.2596940000000013E-2</v>
      </c>
      <c r="BB579" s="258">
        <f t="shared" si="435"/>
        <v>0.36575210336206115</v>
      </c>
      <c r="BC579" s="197">
        <f t="shared" si="436"/>
        <v>2.2380490766334034E-2</v>
      </c>
      <c r="BD579" s="197">
        <f t="shared" si="469"/>
        <v>4.4760981532668068E-3</v>
      </c>
      <c r="BE579" s="197">
        <f t="shared" si="470"/>
        <v>2.6856588919600841E-2</v>
      </c>
      <c r="BF579" s="197">
        <f t="shared" si="437"/>
        <v>0.20773291256157633</v>
      </c>
      <c r="BG579" s="197">
        <f t="shared" si="438"/>
        <v>5.4608303342508187E-4</v>
      </c>
      <c r="BH579" s="197">
        <f t="shared" si="439"/>
        <v>3.5336687086656722E-2</v>
      </c>
      <c r="BI579" s="197">
        <f t="shared" si="471"/>
        <v>0.44730899017824427</v>
      </c>
      <c r="BJ579" s="197">
        <f t="shared" si="440"/>
        <v>6.769615024661003</v>
      </c>
      <c r="BK579" s="288">
        <f t="shared" si="441"/>
        <v>0.93392401361838984</v>
      </c>
      <c r="BL579" s="197">
        <f t="shared" si="442"/>
        <v>0.37608972359227794</v>
      </c>
      <c r="BM579" s="197">
        <f t="shared" si="443"/>
        <v>7.4353030976985271E-2</v>
      </c>
      <c r="BN579" s="197">
        <f t="shared" si="444"/>
        <v>54.461181858619113</v>
      </c>
      <c r="BO579" s="197">
        <f t="shared" si="472"/>
        <v>0.2082789955950014</v>
      </c>
      <c r="BP579" s="197">
        <f t="shared" si="445"/>
        <v>65.620924669625111</v>
      </c>
      <c r="BQ579" s="197">
        <f t="shared" si="446"/>
        <v>9.9596940000000009E-2</v>
      </c>
      <c r="BR579" s="288">
        <f t="shared" si="447"/>
        <v>0.16008975919012108</v>
      </c>
      <c r="BS579" s="197">
        <f t="shared" si="448"/>
        <v>0.11660930017110901</v>
      </c>
      <c r="BT579" s="197">
        <f t="shared" si="449"/>
        <v>0.36419974881911377</v>
      </c>
      <c r="BU579" s="197">
        <f t="shared" si="450"/>
        <v>0.1713930788771201</v>
      </c>
      <c r="BV579" s="197">
        <f t="shared" si="451"/>
        <v>0.53530306917875781</v>
      </c>
      <c r="BW579" s="194"/>
      <c r="BX579" s="194"/>
      <c r="BY579" s="194"/>
      <c r="BZ579" s="194"/>
      <c r="CA579" s="194"/>
      <c r="CB579" s="194"/>
      <c r="CC579" s="194"/>
      <c r="CD579" s="194"/>
      <c r="CE579" s="194"/>
      <c r="CF579" s="194"/>
      <c r="CG579" s="194"/>
      <c r="CH579" s="194"/>
      <c r="CI579" s="194"/>
      <c r="CJ579" s="194"/>
      <c r="CK579" s="194"/>
      <c r="CL579" s="194"/>
      <c r="CM579" s="194"/>
      <c r="CN579" s="194"/>
      <c r="CO579" s="194"/>
      <c r="CP579" s="194"/>
      <c r="CQ579" s="194"/>
      <c r="CR579" s="194"/>
      <c r="CS579" s="194"/>
      <c r="CT579" s="194"/>
      <c r="CU579" s="194"/>
      <c r="CV579" s="194"/>
      <c r="CW579" s="194"/>
      <c r="CX579" s="194"/>
      <c r="CY579" s="194"/>
      <c r="CZ579" s="194"/>
      <c r="DA579" s="194"/>
      <c r="DB579" s="194"/>
      <c r="DC579" s="194"/>
      <c r="DD579" s="194"/>
      <c r="DE579" s="194"/>
      <c r="DF579" s="194"/>
    </row>
    <row r="580" spans="2:110" s="192" customFormat="1" hidden="1" x14ac:dyDescent="0.35">
      <c r="B580" s="289"/>
      <c r="C580" s="289"/>
      <c r="Q580" s="193"/>
      <c r="R580" s="194">
        <f t="shared" si="452"/>
        <v>18</v>
      </c>
      <c r="S580" s="197">
        <f t="shared" si="418"/>
        <v>0.3888888888888889</v>
      </c>
      <c r="T580" s="194">
        <f t="shared" si="473"/>
        <v>0.69</v>
      </c>
      <c r="U580" s="194">
        <f t="shared" si="474"/>
        <v>1.4999999999999999E-4</v>
      </c>
      <c r="V580" s="197">
        <f t="shared" si="453"/>
        <v>0.3888888888888889</v>
      </c>
      <c r="W580" s="197">
        <f t="shared" si="419"/>
        <v>4.3555555555555561E-3</v>
      </c>
      <c r="X580" s="286">
        <f t="shared" si="420"/>
        <v>1</v>
      </c>
      <c r="Y580" s="286">
        <f t="shared" si="421"/>
        <v>0.17335969315081967</v>
      </c>
      <c r="Z580" s="286">
        <f t="shared" si="422"/>
        <v>0.54964853345132902</v>
      </c>
      <c r="AA580" s="286">
        <f t="shared" si="454"/>
        <v>0.17335969315081967</v>
      </c>
      <c r="AB580" s="197">
        <f t="shared" si="423"/>
        <v>0.36419974881911377</v>
      </c>
      <c r="AC580" s="287">
        <f t="shared" si="424"/>
        <v>4.4451203372005044E-7</v>
      </c>
      <c r="AD580" s="197">
        <f t="shared" si="455"/>
        <v>11.693936048110356</v>
      </c>
      <c r="AE580" s="197">
        <f t="shared" si="456"/>
        <v>35.08180814433107</v>
      </c>
      <c r="AF580" s="197">
        <f t="shared" si="457"/>
        <v>8.5178571428571423E-2</v>
      </c>
      <c r="AG580" s="197">
        <f t="shared" si="458"/>
        <v>0.25553571428571431</v>
      </c>
      <c r="AH580" s="197">
        <f t="shared" si="425"/>
        <v>0.11660930017110901</v>
      </c>
      <c r="AI580" s="197">
        <f t="shared" si="459"/>
        <v>0.11660930017110901</v>
      </c>
      <c r="AJ580" s="218">
        <f t="shared" si="426"/>
        <v>390.00000000000006</v>
      </c>
      <c r="AK580" s="197">
        <f t="shared" si="460"/>
        <v>6.0930617977437734E-2</v>
      </c>
      <c r="AL580" s="197">
        <f t="shared" si="461"/>
        <v>9.6203707235237593E-2</v>
      </c>
      <c r="AM580" s="197">
        <f t="shared" si="462"/>
        <v>4.0790371867740751E-3</v>
      </c>
      <c r="AN580" s="197">
        <f t="shared" si="427"/>
        <v>24.05</v>
      </c>
      <c r="AO580" s="197">
        <f t="shared" si="428"/>
        <v>21.69</v>
      </c>
      <c r="AP580" s="197">
        <f t="shared" si="463"/>
        <v>7.4093290390420161E-2</v>
      </c>
      <c r="AQ580" s="197">
        <f t="shared" si="464"/>
        <v>0.42250439890466829</v>
      </c>
      <c r="AR580" s="197">
        <f t="shared" si="465"/>
        <v>0.30589509873355925</v>
      </c>
      <c r="AS580" s="258">
        <f t="shared" si="466"/>
        <v>0.15228632177729159</v>
      </c>
      <c r="AT580" s="197">
        <f t="shared" si="429"/>
        <v>2.5974058656511614E-4</v>
      </c>
      <c r="AU580" s="194">
        <f t="shared" si="430"/>
        <v>21.19</v>
      </c>
      <c r="AV580" s="197">
        <f t="shared" si="431"/>
        <v>2.7E-2</v>
      </c>
      <c r="AW580" s="197">
        <f t="shared" si="432"/>
        <v>3.4260000000000002E-3</v>
      </c>
      <c r="AX580" s="197">
        <f t="shared" si="467"/>
        <v>6.1668000000000001E-2</v>
      </c>
      <c r="AY580" s="197">
        <f t="shared" si="433"/>
        <v>2.8867476000000005E-3</v>
      </c>
      <c r="AZ580" s="197">
        <f t="shared" si="434"/>
        <v>0</v>
      </c>
      <c r="BA580" s="197">
        <f t="shared" si="468"/>
        <v>7.2596940000000013E-2</v>
      </c>
      <c r="BB580" s="258">
        <f t="shared" si="435"/>
        <v>0.36575210336206115</v>
      </c>
      <c r="BC580" s="197">
        <f t="shared" si="436"/>
        <v>2.2380490766334034E-2</v>
      </c>
      <c r="BD580" s="197">
        <f t="shared" si="469"/>
        <v>4.4760981532668068E-3</v>
      </c>
      <c r="BE580" s="197">
        <f t="shared" si="470"/>
        <v>2.6856588919600841E-2</v>
      </c>
      <c r="BF580" s="197">
        <f t="shared" si="437"/>
        <v>0.20773291256157633</v>
      </c>
      <c r="BG580" s="197">
        <f t="shared" si="438"/>
        <v>5.4608303342508187E-4</v>
      </c>
      <c r="BH580" s="197">
        <f t="shared" si="439"/>
        <v>3.5336687086656722E-2</v>
      </c>
      <c r="BI580" s="197">
        <f t="shared" si="471"/>
        <v>0.44730899017824427</v>
      </c>
      <c r="BJ580" s="197">
        <f t="shared" si="440"/>
        <v>6.769615024661003</v>
      </c>
      <c r="BK580" s="288">
        <f t="shared" si="441"/>
        <v>0.93392401361838984</v>
      </c>
      <c r="BL580" s="197">
        <f t="shared" si="442"/>
        <v>0.37608972359227794</v>
      </c>
      <c r="BM580" s="197">
        <f t="shared" si="443"/>
        <v>7.4353030976985271E-2</v>
      </c>
      <c r="BN580" s="197">
        <f t="shared" si="444"/>
        <v>54.461181858619113</v>
      </c>
      <c r="BO580" s="197">
        <f t="shared" si="472"/>
        <v>0.2082789955950014</v>
      </c>
      <c r="BP580" s="197">
        <f t="shared" si="445"/>
        <v>65.620924669625111</v>
      </c>
      <c r="BQ580" s="197">
        <f t="shared" si="446"/>
        <v>9.9596940000000009E-2</v>
      </c>
      <c r="BR580" s="288">
        <f t="shared" si="447"/>
        <v>0.16008975919012108</v>
      </c>
      <c r="BS580" s="197">
        <f t="shared" si="448"/>
        <v>0.11660930017110901</v>
      </c>
      <c r="BT580" s="197">
        <f t="shared" si="449"/>
        <v>0.36419974881911377</v>
      </c>
      <c r="BU580" s="197">
        <f t="shared" si="450"/>
        <v>0.1713930788771201</v>
      </c>
      <c r="BV580" s="197">
        <f t="shared" si="451"/>
        <v>0.53530306917875781</v>
      </c>
      <c r="BW580" s="194"/>
      <c r="BX580" s="194"/>
      <c r="BY580" s="194"/>
      <c r="BZ580" s="194"/>
      <c r="CA580" s="194"/>
      <c r="CB580" s="194"/>
      <c r="CC580" s="194"/>
      <c r="CD580" s="194"/>
      <c r="CE580" s="194"/>
      <c r="CF580" s="194"/>
      <c r="CG580" s="194"/>
      <c r="CH580" s="194"/>
      <c r="CI580" s="194"/>
      <c r="CJ580" s="194"/>
      <c r="CK580" s="194"/>
      <c r="CL580" s="194"/>
      <c r="CM580" s="194"/>
      <c r="CN580" s="194"/>
      <c r="CO580" s="194"/>
      <c r="CP580" s="194"/>
      <c r="CQ580" s="194"/>
      <c r="CR580" s="194"/>
      <c r="CS580" s="194"/>
      <c r="CT580" s="194"/>
      <c r="CU580" s="194"/>
      <c r="CV580" s="194"/>
      <c r="CW580" s="194"/>
      <c r="CX580" s="194"/>
      <c r="CY580" s="194"/>
      <c r="CZ580" s="194"/>
      <c r="DA580" s="194"/>
      <c r="DB580" s="194"/>
      <c r="DC580" s="194"/>
      <c r="DD580" s="194"/>
      <c r="DE580" s="194"/>
      <c r="DF580" s="194"/>
    </row>
    <row r="581" spans="2:110" s="192" customFormat="1" hidden="1" x14ac:dyDescent="0.35">
      <c r="B581" s="289"/>
      <c r="C581" s="289"/>
      <c r="Q581" s="193"/>
      <c r="R581" s="194">
        <f t="shared" si="452"/>
        <v>18</v>
      </c>
      <c r="S581" s="197">
        <f t="shared" si="418"/>
        <v>0.3888888888888889</v>
      </c>
      <c r="T581" s="194">
        <f t="shared" si="473"/>
        <v>0.69</v>
      </c>
      <c r="U581" s="194">
        <f t="shared" si="474"/>
        <v>1.4999999999999999E-4</v>
      </c>
      <c r="V581" s="197">
        <f t="shared" si="453"/>
        <v>0.3888888888888889</v>
      </c>
      <c r="W581" s="197">
        <f t="shared" si="419"/>
        <v>4.3555555555555561E-3</v>
      </c>
      <c r="X581" s="286">
        <f t="shared" si="420"/>
        <v>1</v>
      </c>
      <c r="Y581" s="286">
        <f t="shared" si="421"/>
        <v>0.17335969315081967</v>
      </c>
      <c r="Z581" s="286">
        <f t="shared" si="422"/>
        <v>0.54964853345132902</v>
      </c>
      <c r="AA581" s="286">
        <f t="shared" si="454"/>
        <v>0.17335969315081967</v>
      </c>
      <c r="AB581" s="197">
        <f t="shared" si="423"/>
        <v>0.36419974881911377</v>
      </c>
      <c r="AC581" s="287">
        <f t="shared" si="424"/>
        <v>4.4451203372005044E-7</v>
      </c>
      <c r="AD581" s="197">
        <f t="shared" si="455"/>
        <v>11.693936048110356</v>
      </c>
      <c r="AE581" s="197">
        <f t="shared" si="456"/>
        <v>35.08180814433107</v>
      </c>
      <c r="AF581" s="197">
        <f t="shared" si="457"/>
        <v>8.5178571428571423E-2</v>
      </c>
      <c r="AG581" s="197">
        <f t="shared" si="458"/>
        <v>0.25553571428571431</v>
      </c>
      <c r="AH581" s="197">
        <f t="shared" si="425"/>
        <v>0.11660930017110901</v>
      </c>
      <c r="AI581" s="197">
        <f t="shared" si="459"/>
        <v>0.11660930017110901</v>
      </c>
      <c r="AJ581" s="218">
        <f t="shared" si="426"/>
        <v>390.00000000000006</v>
      </c>
      <c r="AK581" s="197">
        <f t="shared" si="460"/>
        <v>6.0930617977437734E-2</v>
      </c>
      <c r="AL581" s="197">
        <f t="shared" si="461"/>
        <v>9.6203707235237593E-2</v>
      </c>
      <c r="AM581" s="197">
        <f t="shared" si="462"/>
        <v>4.0790371867740751E-3</v>
      </c>
      <c r="AN581" s="197">
        <f t="shared" si="427"/>
        <v>24.05</v>
      </c>
      <c r="AO581" s="197">
        <f t="shared" si="428"/>
        <v>21.69</v>
      </c>
      <c r="AP581" s="197">
        <f t="shared" si="463"/>
        <v>7.4093290390420161E-2</v>
      </c>
      <c r="AQ581" s="197">
        <f t="shared" si="464"/>
        <v>0.42250439890466829</v>
      </c>
      <c r="AR581" s="197">
        <f t="shared" si="465"/>
        <v>0.30589509873355925</v>
      </c>
      <c r="AS581" s="258">
        <f t="shared" si="466"/>
        <v>0.15228632177729159</v>
      </c>
      <c r="AT581" s="197">
        <f t="shared" si="429"/>
        <v>2.5974058656511614E-4</v>
      </c>
      <c r="AU581" s="194">
        <f t="shared" si="430"/>
        <v>21.19</v>
      </c>
      <c r="AV581" s="197">
        <f t="shared" si="431"/>
        <v>2.7E-2</v>
      </c>
      <c r="AW581" s="197">
        <f t="shared" si="432"/>
        <v>3.4260000000000002E-3</v>
      </c>
      <c r="AX581" s="197">
        <f t="shared" si="467"/>
        <v>6.1668000000000001E-2</v>
      </c>
      <c r="AY581" s="197">
        <f t="shared" si="433"/>
        <v>2.8867476000000005E-3</v>
      </c>
      <c r="AZ581" s="197">
        <f t="shared" si="434"/>
        <v>0</v>
      </c>
      <c r="BA581" s="197">
        <f t="shared" si="468"/>
        <v>7.2596940000000013E-2</v>
      </c>
      <c r="BB581" s="258">
        <f t="shared" si="435"/>
        <v>0.36575210336206115</v>
      </c>
      <c r="BC581" s="197">
        <f t="shared" si="436"/>
        <v>2.2380490766334034E-2</v>
      </c>
      <c r="BD581" s="197">
        <f t="shared" si="469"/>
        <v>4.4760981532668068E-3</v>
      </c>
      <c r="BE581" s="197">
        <f t="shared" si="470"/>
        <v>2.6856588919600841E-2</v>
      </c>
      <c r="BF581" s="197">
        <f t="shared" si="437"/>
        <v>0.20773291256157633</v>
      </c>
      <c r="BG581" s="197">
        <f t="shared" si="438"/>
        <v>5.4608303342508187E-4</v>
      </c>
      <c r="BH581" s="197">
        <f t="shared" si="439"/>
        <v>3.5336687086656722E-2</v>
      </c>
      <c r="BI581" s="197">
        <f t="shared" si="471"/>
        <v>0.44730899017824427</v>
      </c>
      <c r="BJ581" s="197">
        <f t="shared" si="440"/>
        <v>6.769615024661003</v>
      </c>
      <c r="BK581" s="288">
        <f t="shared" si="441"/>
        <v>0.93392401361838984</v>
      </c>
      <c r="BL581" s="197">
        <f t="shared" si="442"/>
        <v>0.37608972359227794</v>
      </c>
      <c r="BM581" s="197">
        <f t="shared" si="443"/>
        <v>7.4353030976985271E-2</v>
      </c>
      <c r="BN581" s="197">
        <f t="shared" si="444"/>
        <v>54.461181858619113</v>
      </c>
      <c r="BO581" s="197">
        <f t="shared" si="472"/>
        <v>0.2082789955950014</v>
      </c>
      <c r="BP581" s="197">
        <f t="shared" si="445"/>
        <v>65.620924669625111</v>
      </c>
      <c r="BQ581" s="197">
        <f t="shared" si="446"/>
        <v>9.9596940000000009E-2</v>
      </c>
      <c r="BR581" s="288">
        <f t="shared" si="447"/>
        <v>0.16008975919012108</v>
      </c>
      <c r="BS581" s="197">
        <f t="shared" si="448"/>
        <v>0.11660930017110901</v>
      </c>
      <c r="BT581" s="197">
        <f t="shared" si="449"/>
        <v>0.36419974881911377</v>
      </c>
      <c r="BU581" s="197">
        <f t="shared" si="450"/>
        <v>0.1713930788771201</v>
      </c>
      <c r="BV581" s="197">
        <f t="shared" si="451"/>
        <v>0.53530306917875781</v>
      </c>
      <c r="BW581" s="194"/>
      <c r="BX581" s="194"/>
      <c r="BY581" s="194"/>
      <c r="BZ581" s="194"/>
      <c r="CA581" s="194"/>
      <c r="CB581" s="194"/>
      <c r="CC581" s="194"/>
      <c r="CD581" s="194"/>
      <c r="CE581" s="194"/>
      <c r="CF581" s="194"/>
      <c r="CG581" s="194"/>
      <c r="CH581" s="194"/>
      <c r="CI581" s="194"/>
      <c r="CJ581" s="194"/>
      <c r="CK581" s="194"/>
      <c r="CL581" s="194"/>
      <c r="CM581" s="194"/>
      <c r="CN581" s="194"/>
      <c r="CO581" s="194"/>
      <c r="CP581" s="194"/>
      <c r="CQ581" s="194"/>
      <c r="CR581" s="194"/>
      <c r="CS581" s="194"/>
      <c r="CT581" s="194"/>
      <c r="CU581" s="194"/>
      <c r="CV581" s="194"/>
      <c r="CW581" s="194"/>
      <c r="CX581" s="194"/>
      <c r="CY581" s="194"/>
      <c r="CZ581" s="194"/>
      <c r="DA581" s="194"/>
      <c r="DB581" s="194"/>
      <c r="DC581" s="194"/>
      <c r="DD581" s="194"/>
      <c r="DE581" s="194"/>
      <c r="DF581" s="194"/>
    </row>
    <row r="582" spans="2:110" s="192" customFormat="1" hidden="1" x14ac:dyDescent="0.35">
      <c r="B582" s="289"/>
      <c r="C582" s="289"/>
      <c r="Q582" s="193"/>
      <c r="R582" s="194">
        <f t="shared" si="452"/>
        <v>18</v>
      </c>
      <c r="S582" s="197">
        <f t="shared" si="418"/>
        <v>0.3888888888888889</v>
      </c>
      <c r="T582" s="194">
        <f t="shared" si="473"/>
        <v>0.69</v>
      </c>
      <c r="U582" s="194">
        <f t="shared" si="474"/>
        <v>1.4999999999999999E-4</v>
      </c>
      <c r="V582" s="197">
        <f t="shared" si="453"/>
        <v>0.3888888888888889</v>
      </c>
      <c r="W582" s="197">
        <f t="shared" si="419"/>
        <v>4.3555555555555561E-3</v>
      </c>
      <c r="X582" s="286">
        <f t="shared" si="420"/>
        <v>1</v>
      </c>
      <c r="Y582" s="286">
        <f t="shared" si="421"/>
        <v>0.17335969315081967</v>
      </c>
      <c r="Z582" s="286">
        <f t="shared" si="422"/>
        <v>0.54964853345132902</v>
      </c>
      <c r="AA582" s="286">
        <f t="shared" si="454"/>
        <v>0.17335969315081967</v>
      </c>
      <c r="AB582" s="197">
        <f t="shared" si="423"/>
        <v>0.36419974881911377</v>
      </c>
      <c r="AC582" s="287">
        <f t="shared" si="424"/>
        <v>4.4451203372005044E-7</v>
      </c>
      <c r="AD582" s="197">
        <f t="shared" si="455"/>
        <v>11.693936048110356</v>
      </c>
      <c r="AE582" s="197">
        <f t="shared" si="456"/>
        <v>35.08180814433107</v>
      </c>
      <c r="AF582" s="197">
        <f t="shared" si="457"/>
        <v>8.5178571428571423E-2</v>
      </c>
      <c r="AG582" s="197">
        <f t="shared" si="458"/>
        <v>0.25553571428571431</v>
      </c>
      <c r="AH582" s="197">
        <f t="shared" si="425"/>
        <v>0.11660930017110901</v>
      </c>
      <c r="AI582" s="197">
        <f t="shared" si="459"/>
        <v>0.11660930017110901</v>
      </c>
      <c r="AJ582" s="218">
        <f t="shared" si="426"/>
        <v>390.00000000000006</v>
      </c>
      <c r="AK582" s="197">
        <f t="shared" si="460"/>
        <v>6.0930617977437734E-2</v>
      </c>
      <c r="AL582" s="197">
        <f t="shared" si="461"/>
        <v>9.6203707235237593E-2</v>
      </c>
      <c r="AM582" s="197">
        <f t="shared" si="462"/>
        <v>4.0790371867740751E-3</v>
      </c>
      <c r="AN582" s="197">
        <f t="shared" si="427"/>
        <v>24.05</v>
      </c>
      <c r="AO582" s="197">
        <f t="shared" si="428"/>
        <v>21.69</v>
      </c>
      <c r="AP582" s="197">
        <f t="shared" si="463"/>
        <v>7.4093290390420161E-2</v>
      </c>
      <c r="AQ582" s="197">
        <f t="shared" si="464"/>
        <v>0.42250439890466829</v>
      </c>
      <c r="AR582" s="197">
        <f t="shared" si="465"/>
        <v>0.30589509873355925</v>
      </c>
      <c r="AS582" s="258">
        <f t="shared" si="466"/>
        <v>0.15228632177729159</v>
      </c>
      <c r="AT582" s="197">
        <f t="shared" si="429"/>
        <v>2.5974058656511614E-4</v>
      </c>
      <c r="AU582" s="194">
        <f t="shared" si="430"/>
        <v>21.19</v>
      </c>
      <c r="AV582" s="197">
        <f t="shared" si="431"/>
        <v>2.7E-2</v>
      </c>
      <c r="AW582" s="197">
        <f t="shared" si="432"/>
        <v>3.4260000000000002E-3</v>
      </c>
      <c r="AX582" s="197">
        <f t="shared" si="467"/>
        <v>6.1668000000000001E-2</v>
      </c>
      <c r="AY582" s="197">
        <f t="shared" si="433"/>
        <v>2.8867476000000005E-3</v>
      </c>
      <c r="AZ582" s="197">
        <f t="shared" si="434"/>
        <v>0</v>
      </c>
      <c r="BA582" s="197">
        <f t="shared" si="468"/>
        <v>7.2596940000000013E-2</v>
      </c>
      <c r="BB582" s="258">
        <f t="shared" si="435"/>
        <v>0.36575210336206115</v>
      </c>
      <c r="BC582" s="197">
        <f t="shared" si="436"/>
        <v>2.2380490766334034E-2</v>
      </c>
      <c r="BD582" s="197">
        <f t="shared" si="469"/>
        <v>4.4760981532668068E-3</v>
      </c>
      <c r="BE582" s="197">
        <f t="shared" si="470"/>
        <v>2.6856588919600841E-2</v>
      </c>
      <c r="BF582" s="197">
        <f t="shared" si="437"/>
        <v>0.20773291256157633</v>
      </c>
      <c r="BG582" s="197">
        <f t="shared" si="438"/>
        <v>5.4608303342508187E-4</v>
      </c>
      <c r="BH582" s="197">
        <f t="shared" si="439"/>
        <v>3.5336687086656722E-2</v>
      </c>
      <c r="BI582" s="197">
        <f t="shared" si="471"/>
        <v>0.44730899017824427</v>
      </c>
      <c r="BJ582" s="197">
        <f t="shared" si="440"/>
        <v>6.769615024661003</v>
      </c>
      <c r="BK582" s="288">
        <f t="shared" si="441"/>
        <v>0.93392401361838984</v>
      </c>
      <c r="BL582" s="197">
        <f t="shared" si="442"/>
        <v>0.37608972359227794</v>
      </c>
      <c r="BM582" s="197">
        <f t="shared" si="443"/>
        <v>7.4353030976985271E-2</v>
      </c>
      <c r="BN582" s="197">
        <f t="shared" si="444"/>
        <v>54.461181858619113</v>
      </c>
      <c r="BO582" s="197">
        <f t="shared" si="472"/>
        <v>0.2082789955950014</v>
      </c>
      <c r="BP582" s="197">
        <f t="shared" si="445"/>
        <v>65.620924669625111</v>
      </c>
      <c r="BQ582" s="197">
        <f t="shared" si="446"/>
        <v>9.9596940000000009E-2</v>
      </c>
      <c r="BR582" s="288">
        <f t="shared" si="447"/>
        <v>0.16008975919012108</v>
      </c>
      <c r="BS582" s="197">
        <f t="shared" si="448"/>
        <v>0.11660930017110901</v>
      </c>
      <c r="BT582" s="197">
        <f t="shared" si="449"/>
        <v>0.36419974881911377</v>
      </c>
      <c r="BU582" s="197">
        <f t="shared" si="450"/>
        <v>0.1713930788771201</v>
      </c>
      <c r="BV582" s="197">
        <f t="shared" si="451"/>
        <v>0.53530306917875781</v>
      </c>
      <c r="BW582" s="194"/>
      <c r="BX582" s="194"/>
      <c r="BY582" s="194"/>
      <c r="BZ582" s="194"/>
      <c r="CA582" s="194"/>
      <c r="CB582" s="194"/>
      <c r="CC582" s="194"/>
      <c r="CD582" s="194"/>
      <c r="CE582" s="194"/>
      <c r="CF582" s="194"/>
      <c r="CG582" s="194"/>
      <c r="CH582" s="194"/>
      <c r="CI582" s="194"/>
      <c r="CJ582" s="194"/>
      <c r="CK582" s="194"/>
      <c r="CL582" s="194"/>
      <c r="CM582" s="194"/>
      <c r="CN582" s="194"/>
      <c r="CO582" s="194"/>
      <c r="CP582" s="194"/>
      <c r="CQ582" s="194"/>
      <c r="CR582" s="194"/>
      <c r="CS582" s="194"/>
      <c r="CT582" s="194"/>
      <c r="CU582" s="194"/>
      <c r="CV582" s="194"/>
      <c r="CW582" s="194"/>
      <c r="CX582" s="194"/>
      <c r="CY582" s="194"/>
      <c r="CZ582" s="194"/>
      <c r="DA582" s="194"/>
      <c r="DB582" s="194"/>
      <c r="DC582" s="194"/>
      <c r="DD582" s="194"/>
      <c r="DE582" s="194"/>
      <c r="DF582" s="194"/>
    </row>
    <row r="583" spans="2:110" s="192" customFormat="1" hidden="1" x14ac:dyDescent="0.35">
      <c r="B583" s="289"/>
      <c r="C583" s="289"/>
      <c r="Q583" s="193"/>
      <c r="R583" s="194">
        <f t="shared" si="452"/>
        <v>18</v>
      </c>
      <c r="S583" s="197">
        <f t="shared" si="418"/>
        <v>0.3888888888888889</v>
      </c>
      <c r="T583" s="194">
        <f t="shared" si="473"/>
        <v>0.69</v>
      </c>
      <c r="U583" s="194">
        <f t="shared" si="474"/>
        <v>1.4999999999999999E-4</v>
      </c>
      <c r="V583" s="197">
        <f t="shared" si="453"/>
        <v>0.3888888888888889</v>
      </c>
      <c r="W583" s="197">
        <f t="shared" si="419"/>
        <v>4.3555555555555561E-3</v>
      </c>
      <c r="X583" s="286">
        <f t="shared" si="420"/>
        <v>1</v>
      </c>
      <c r="Y583" s="286">
        <f t="shared" si="421"/>
        <v>0.17335969315081967</v>
      </c>
      <c r="Z583" s="286">
        <f t="shared" si="422"/>
        <v>0.54964853345132902</v>
      </c>
      <c r="AA583" s="286">
        <f t="shared" si="454"/>
        <v>0.17335969315081967</v>
      </c>
      <c r="AB583" s="197">
        <f t="shared" si="423"/>
        <v>0.36419974881911377</v>
      </c>
      <c r="AC583" s="287">
        <f t="shared" si="424"/>
        <v>4.4451203372005044E-7</v>
      </c>
      <c r="AD583" s="197">
        <f t="shared" si="455"/>
        <v>11.693936048110356</v>
      </c>
      <c r="AE583" s="197">
        <f t="shared" si="456"/>
        <v>35.08180814433107</v>
      </c>
      <c r="AF583" s="197">
        <f t="shared" si="457"/>
        <v>8.5178571428571423E-2</v>
      </c>
      <c r="AG583" s="197">
        <f t="shared" si="458"/>
        <v>0.25553571428571431</v>
      </c>
      <c r="AH583" s="197">
        <f t="shared" si="425"/>
        <v>0.11660930017110901</v>
      </c>
      <c r="AI583" s="197">
        <f t="shared" si="459"/>
        <v>0.11660930017110901</v>
      </c>
      <c r="AJ583" s="218">
        <f t="shared" si="426"/>
        <v>390.00000000000006</v>
      </c>
      <c r="AK583" s="197">
        <f t="shared" si="460"/>
        <v>6.0930617977437734E-2</v>
      </c>
      <c r="AL583" s="197">
        <f t="shared" si="461"/>
        <v>9.6203707235237593E-2</v>
      </c>
      <c r="AM583" s="197">
        <f t="shared" si="462"/>
        <v>4.0790371867740751E-3</v>
      </c>
      <c r="AN583" s="197">
        <f t="shared" si="427"/>
        <v>24.05</v>
      </c>
      <c r="AO583" s="197">
        <f t="shared" si="428"/>
        <v>21.69</v>
      </c>
      <c r="AP583" s="197">
        <f t="shared" si="463"/>
        <v>7.4093290390420161E-2</v>
      </c>
      <c r="AQ583" s="197">
        <f t="shared" si="464"/>
        <v>0.42250439890466829</v>
      </c>
      <c r="AR583" s="197">
        <f t="shared" si="465"/>
        <v>0.30589509873355925</v>
      </c>
      <c r="AS583" s="258">
        <f t="shared" si="466"/>
        <v>0.15228632177729159</v>
      </c>
      <c r="AT583" s="197">
        <f t="shared" si="429"/>
        <v>2.5974058656511614E-4</v>
      </c>
      <c r="AU583" s="194">
        <f t="shared" si="430"/>
        <v>21.19</v>
      </c>
      <c r="AV583" s="197">
        <f t="shared" si="431"/>
        <v>2.7E-2</v>
      </c>
      <c r="AW583" s="197">
        <f t="shared" si="432"/>
        <v>3.4260000000000002E-3</v>
      </c>
      <c r="AX583" s="197">
        <f t="shared" si="467"/>
        <v>6.1668000000000001E-2</v>
      </c>
      <c r="AY583" s="197">
        <f t="shared" si="433"/>
        <v>2.8867476000000005E-3</v>
      </c>
      <c r="AZ583" s="197">
        <f t="shared" si="434"/>
        <v>0</v>
      </c>
      <c r="BA583" s="197">
        <f t="shared" si="468"/>
        <v>7.2596940000000013E-2</v>
      </c>
      <c r="BB583" s="258">
        <f t="shared" si="435"/>
        <v>0.36575210336206115</v>
      </c>
      <c r="BC583" s="197">
        <f t="shared" si="436"/>
        <v>2.2380490766334034E-2</v>
      </c>
      <c r="BD583" s="197">
        <f t="shared" si="469"/>
        <v>4.4760981532668068E-3</v>
      </c>
      <c r="BE583" s="197">
        <f t="shared" si="470"/>
        <v>2.6856588919600841E-2</v>
      </c>
      <c r="BF583" s="197">
        <f t="shared" si="437"/>
        <v>0.20773291256157633</v>
      </c>
      <c r="BG583" s="197">
        <f t="shared" si="438"/>
        <v>5.4608303342508187E-4</v>
      </c>
      <c r="BH583" s="197">
        <f t="shared" si="439"/>
        <v>3.5336687086656722E-2</v>
      </c>
      <c r="BI583" s="197">
        <f t="shared" si="471"/>
        <v>0.44730899017824427</v>
      </c>
      <c r="BJ583" s="197">
        <f t="shared" si="440"/>
        <v>6.769615024661003</v>
      </c>
      <c r="BK583" s="288">
        <f t="shared" si="441"/>
        <v>0.93392401361838984</v>
      </c>
      <c r="BL583" s="197">
        <f t="shared" si="442"/>
        <v>0.37608972359227794</v>
      </c>
      <c r="BM583" s="197">
        <f t="shared" si="443"/>
        <v>7.4353030976985271E-2</v>
      </c>
      <c r="BN583" s="197">
        <f t="shared" si="444"/>
        <v>54.461181858619113</v>
      </c>
      <c r="BO583" s="197">
        <f t="shared" si="472"/>
        <v>0.2082789955950014</v>
      </c>
      <c r="BP583" s="197">
        <f t="shared" si="445"/>
        <v>65.620924669625111</v>
      </c>
      <c r="BQ583" s="197">
        <f t="shared" si="446"/>
        <v>9.9596940000000009E-2</v>
      </c>
      <c r="BR583" s="288">
        <f t="shared" si="447"/>
        <v>0.16008975919012108</v>
      </c>
      <c r="BS583" s="197">
        <f t="shared" si="448"/>
        <v>0.11660930017110901</v>
      </c>
      <c r="BT583" s="197">
        <f t="shared" si="449"/>
        <v>0.36419974881911377</v>
      </c>
      <c r="BU583" s="197">
        <f t="shared" si="450"/>
        <v>0.1713930788771201</v>
      </c>
      <c r="BV583" s="197">
        <f t="shared" si="451"/>
        <v>0.53530306917875781</v>
      </c>
      <c r="BW583" s="194"/>
      <c r="BX583" s="194"/>
      <c r="BY583" s="194"/>
      <c r="BZ583" s="194"/>
      <c r="CA583" s="194"/>
      <c r="CB583" s="194"/>
      <c r="CC583" s="194"/>
      <c r="CD583" s="194"/>
      <c r="CE583" s="194"/>
      <c r="CF583" s="194"/>
      <c r="CG583" s="194"/>
      <c r="CH583" s="194"/>
      <c r="CI583" s="194"/>
      <c r="CJ583" s="194"/>
      <c r="CK583" s="194"/>
      <c r="CL583" s="194"/>
      <c r="CM583" s="194"/>
      <c r="CN583" s="194"/>
      <c r="CO583" s="194"/>
      <c r="CP583" s="194"/>
      <c r="CQ583" s="194"/>
      <c r="CR583" s="194"/>
      <c r="CS583" s="194"/>
      <c r="CT583" s="194"/>
      <c r="CU583" s="194"/>
      <c r="CV583" s="194"/>
      <c r="CW583" s="194"/>
      <c r="CX583" s="194"/>
      <c r="CY583" s="194"/>
      <c r="CZ583" s="194"/>
      <c r="DA583" s="194"/>
      <c r="DB583" s="194"/>
      <c r="DC583" s="194"/>
      <c r="DD583" s="194"/>
      <c r="DE583" s="194"/>
      <c r="DF583" s="194"/>
    </row>
    <row r="584" spans="2:110" s="192" customFormat="1" hidden="1" x14ac:dyDescent="0.35">
      <c r="B584" s="289"/>
      <c r="C584" s="289"/>
      <c r="Q584" s="193"/>
      <c r="R584" s="194">
        <f t="shared" si="452"/>
        <v>18</v>
      </c>
      <c r="S584" s="197">
        <f t="shared" si="418"/>
        <v>0.3888888888888889</v>
      </c>
      <c r="T584" s="194">
        <f t="shared" si="473"/>
        <v>0.69</v>
      </c>
      <c r="U584" s="194">
        <f t="shared" si="474"/>
        <v>1.4999999999999999E-4</v>
      </c>
      <c r="V584" s="197">
        <f t="shared" si="453"/>
        <v>0.3888888888888889</v>
      </c>
      <c r="W584" s="197">
        <f t="shared" si="419"/>
        <v>4.3555555555555561E-3</v>
      </c>
      <c r="X584" s="286">
        <f t="shared" si="420"/>
        <v>1</v>
      </c>
      <c r="Y584" s="286">
        <f t="shared" si="421"/>
        <v>0.17335969315081967</v>
      </c>
      <c r="Z584" s="286">
        <f t="shared" si="422"/>
        <v>0.54964853345132902</v>
      </c>
      <c r="AA584" s="286">
        <f t="shared" si="454"/>
        <v>0.17335969315081967</v>
      </c>
      <c r="AB584" s="197">
        <f t="shared" si="423"/>
        <v>0.36419974881911377</v>
      </c>
      <c r="AC584" s="287">
        <f t="shared" si="424"/>
        <v>4.4451203372005044E-7</v>
      </c>
      <c r="AD584" s="197">
        <f t="shared" si="455"/>
        <v>11.693936048110356</v>
      </c>
      <c r="AE584" s="197">
        <f t="shared" si="456"/>
        <v>35.08180814433107</v>
      </c>
      <c r="AF584" s="197">
        <f t="shared" si="457"/>
        <v>8.5178571428571423E-2</v>
      </c>
      <c r="AG584" s="197">
        <f t="shared" si="458"/>
        <v>0.25553571428571431</v>
      </c>
      <c r="AH584" s="197">
        <f t="shared" si="425"/>
        <v>0.11660930017110901</v>
      </c>
      <c r="AI584" s="197">
        <f t="shared" si="459"/>
        <v>0.11660930017110901</v>
      </c>
      <c r="AJ584" s="218">
        <f t="shared" si="426"/>
        <v>390.00000000000006</v>
      </c>
      <c r="AK584" s="197">
        <f t="shared" si="460"/>
        <v>6.0930617977437734E-2</v>
      </c>
      <c r="AL584" s="197">
        <f t="shared" si="461"/>
        <v>9.6203707235237593E-2</v>
      </c>
      <c r="AM584" s="197">
        <f t="shared" si="462"/>
        <v>4.0790371867740751E-3</v>
      </c>
      <c r="AN584" s="197">
        <f t="shared" si="427"/>
        <v>24.05</v>
      </c>
      <c r="AO584" s="197">
        <f t="shared" si="428"/>
        <v>21.69</v>
      </c>
      <c r="AP584" s="197">
        <f t="shared" si="463"/>
        <v>7.4093290390420161E-2</v>
      </c>
      <c r="AQ584" s="197">
        <f t="shared" si="464"/>
        <v>0.42250439890466829</v>
      </c>
      <c r="AR584" s="197">
        <f t="shared" si="465"/>
        <v>0.30589509873355925</v>
      </c>
      <c r="AS584" s="258">
        <f t="shared" si="466"/>
        <v>0.15228632177729159</v>
      </c>
      <c r="AT584" s="197">
        <f t="shared" si="429"/>
        <v>2.5974058656511614E-4</v>
      </c>
      <c r="AU584" s="194">
        <f t="shared" si="430"/>
        <v>21.19</v>
      </c>
      <c r="AV584" s="197">
        <f t="shared" si="431"/>
        <v>2.7E-2</v>
      </c>
      <c r="AW584" s="197">
        <f t="shared" si="432"/>
        <v>3.4260000000000002E-3</v>
      </c>
      <c r="AX584" s="197">
        <f t="shared" si="467"/>
        <v>6.1668000000000001E-2</v>
      </c>
      <c r="AY584" s="197">
        <f t="shared" si="433"/>
        <v>2.8867476000000005E-3</v>
      </c>
      <c r="AZ584" s="197">
        <f t="shared" si="434"/>
        <v>0</v>
      </c>
      <c r="BA584" s="197">
        <f t="shared" si="468"/>
        <v>7.2596940000000013E-2</v>
      </c>
      <c r="BB584" s="258">
        <f t="shared" si="435"/>
        <v>0.36575210336206115</v>
      </c>
      <c r="BC584" s="197">
        <f t="shared" si="436"/>
        <v>2.2380490766334034E-2</v>
      </c>
      <c r="BD584" s="197">
        <f t="shared" si="469"/>
        <v>4.4760981532668068E-3</v>
      </c>
      <c r="BE584" s="197">
        <f t="shared" si="470"/>
        <v>2.6856588919600841E-2</v>
      </c>
      <c r="BF584" s="197">
        <f t="shared" si="437"/>
        <v>0.20773291256157633</v>
      </c>
      <c r="BG584" s="197">
        <f t="shared" si="438"/>
        <v>5.4608303342508187E-4</v>
      </c>
      <c r="BH584" s="197">
        <f t="shared" si="439"/>
        <v>3.5336687086656722E-2</v>
      </c>
      <c r="BI584" s="197">
        <f t="shared" si="471"/>
        <v>0.44730899017824427</v>
      </c>
      <c r="BJ584" s="197">
        <f t="shared" si="440"/>
        <v>6.769615024661003</v>
      </c>
      <c r="BK584" s="288">
        <f t="shared" si="441"/>
        <v>0.93392401361838984</v>
      </c>
      <c r="BL584" s="197">
        <f t="shared" si="442"/>
        <v>0.37608972359227794</v>
      </c>
      <c r="BM584" s="197">
        <f t="shared" si="443"/>
        <v>7.4353030976985271E-2</v>
      </c>
      <c r="BN584" s="197">
        <f t="shared" si="444"/>
        <v>54.461181858619113</v>
      </c>
      <c r="BO584" s="197">
        <f t="shared" si="472"/>
        <v>0.2082789955950014</v>
      </c>
      <c r="BP584" s="197">
        <f t="shared" si="445"/>
        <v>65.620924669625111</v>
      </c>
      <c r="BQ584" s="197">
        <f t="shared" si="446"/>
        <v>9.9596940000000009E-2</v>
      </c>
      <c r="BR584" s="288">
        <f t="shared" si="447"/>
        <v>0.16008975919012108</v>
      </c>
      <c r="BS584" s="197">
        <f t="shared" si="448"/>
        <v>0.11660930017110901</v>
      </c>
      <c r="BT584" s="197">
        <f t="shared" si="449"/>
        <v>0.36419974881911377</v>
      </c>
      <c r="BU584" s="197">
        <f t="shared" si="450"/>
        <v>0.1713930788771201</v>
      </c>
      <c r="BV584" s="197">
        <f t="shared" si="451"/>
        <v>0.53530306917875781</v>
      </c>
      <c r="BW584" s="194"/>
      <c r="BX584" s="194"/>
      <c r="BY584" s="194"/>
      <c r="BZ584" s="194"/>
      <c r="CA584" s="194"/>
      <c r="CB584" s="194"/>
      <c r="CC584" s="194"/>
      <c r="CD584" s="194"/>
      <c r="CE584" s="194"/>
      <c r="CF584" s="194"/>
      <c r="CG584" s="194"/>
      <c r="CH584" s="194"/>
      <c r="CI584" s="194"/>
      <c r="CJ584" s="194"/>
      <c r="CK584" s="194"/>
      <c r="CL584" s="194"/>
      <c r="CM584" s="194"/>
      <c r="CN584" s="194"/>
      <c r="CO584" s="194"/>
      <c r="CP584" s="194"/>
      <c r="CQ584" s="194"/>
      <c r="CR584" s="194"/>
      <c r="CS584" s="194"/>
      <c r="CT584" s="194"/>
      <c r="CU584" s="194"/>
      <c r="CV584" s="194"/>
      <c r="CW584" s="194"/>
      <c r="CX584" s="194"/>
      <c r="CY584" s="194"/>
      <c r="CZ584" s="194"/>
      <c r="DA584" s="194"/>
      <c r="DB584" s="194"/>
      <c r="DC584" s="194"/>
      <c r="DD584" s="194"/>
      <c r="DE584" s="194"/>
      <c r="DF584" s="194"/>
    </row>
    <row r="585" spans="2:110" s="192" customFormat="1" hidden="1" x14ac:dyDescent="0.35">
      <c r="B585" s="289"/>
      <c r="C585" s="289"/>
      <c r="Q585" s="193"/>
      <c r="R585" s="194">
        <f t="shared" si="452"/>
        <v>18</v>
      </c>
      <c r="S585" s="197">
        <f t="shared" si="418"/>
        <v>0.3888888888888889</v>
      </c>
      <c r="T585" s="194">
        <f t="shared" si="473"/>
        <v>0.69</v>
      </c>
      <c r="U585" s="194">
        <f t="shared" si="474"/>
        <v>1.4999999999999999E-4</v>
      </c>
      <c r="V585" s="197">
        <f t="shared" si="453"/>
        <v>0.3888888888888889</v>
      </c>
      <c r="W585" s="197">
        <f t="shared" si="419"/>
        <v>4.3555555555555561E-3</v>
      </c>
      <c r="X585" s="286">
        <f t="shared" si="420"/>
        <v>1</v>
      </c>
      <c r="Y585" s="286">
        <f t="shared" si="421"/>
        <v>0.17335969315081967</v>
      </c>
      <c r="Z585" s="286">
        <f t="shared" si="422"/>
        <v>0.54964853345132902</v>
      </c>
      <c r="AA585" s="286">
        <f t="shared" si="454"/>
        <v>0.17335969315081967</v>
      </c>
      <c r="AB585" s="197">
        <f t="shared" si="423"/>
        <v>0.36419974881911377</v>
      </c>
      <c r="AC585" s="287">
        <f t="shared" si="424"/>
        <v>4.4451203372005044E-7</v>
      </c>
      <c r="AD585" s="197">
        <f t="shared" si="455"/>
        <v>11.693936048110356</v>
      </c>
      <c r="AE585" s="197">
        <f t="shared" si="456"/>
        <v>35.08180814433107</v>
      </c>
      <c r="AF585" s="197">
        <f t="shared" si="457"/>
        <v>8.5178571428571423E-2</v>
      </c>
      <c r="AG585" s="197">
        <f t="shared" si="458"/>
        <v>0.25553571428571431</v>
      </c>
      <c r="AH585" s="197">
        <f t="shared" si="425"/>
        <v>0.11660930017110901</v>
      </c>
      <c r="AI585" s="197">
        <f t="shared" si="459"/>
        <v>0.11660930017110901</v>
      </c>
      <c r="AJ585" s="218">
        <f t="shared" si="426"/>
        <v>390.00000000000006</v>
      </c>
      <c r="AK585" s="197">
        <f t="shared" si="460"/>
        <v>6.0930617977437734E-2</v>
      </c>
      <c r="AL585" s="197">
        <f t="shared" si="461"/>
        <v>9.6203707235237593E-2</v>
      </c>
      <c r="AM585" s="197">
        <f t="shared" si="462"/>
        <v>4.0790371867740751E-3</v>
      </c>
      <c r="AN585" s="197">
        <f t="shared" si="427"/>
        <v>24.05</v>
      </c>
      <c r="AO585" s="197">
        <f t="shared" si="428"/>
        <v>21.69</v>
      </c>
      <c r="AP585" s="197">
        <f t="shared" si="463"/>
        <v>7.4093290390420161E-2</v>
      </c>
      <c r="AQ585" s="197">
        <f t="shared" si="464"/>
        <v>0.42250439890466829</v>
      </c>
      <c r="AR585" s="197">
        <f t="shared" si="465"/>
        <v>0.30589509873355925</v>
      </c>
      <c r="AS585" s="258">
        <f t="shared" si="466"/>
        <v>0.15228632177729159</v>
      </c>
      <c r="AT585" s="197">
        <f t="shared" si="429"/>
        <v>2.5974058656511614E-4</v>
      </c>
      <c r="AU585" s="194">
        <f t="shared" si="430"/>
        <v>21.19</v>
      </c>
      <c r="AV585" s="197">
        <f t="shared" si="431"/>
        <v>2.7E-2</v>
      </c>
      <c r="AW585" s="197">
        <f t="shared" si="432"/>
        <v>3.4260000000000002E-3</v>
      </c>
      <c r="AX585" s="197">
        <f t="shared" si="467"/>
        <v>6.1668000000000001E-2</v>
      </c>
      <c r="AY585" s="197">
        <f t="shared" si="433"/>
        <v>2.8867476000000005E-3</v>
      </c>
      <c r="AZ585" s="197">
        <f t="shared" si="434"/>
        <v>0</v>
      </c>
      <c r="BA585" s="197">
        <f t="shared" si="468"/>
        <v>7.2596940000000013E-2</v>
      </c>
      <c r="BB585" s="258">
        <f t="shared" si="435"/>
        <v>0.36575210336206115</v>
      </c>
      <c r="BC585" s="197">
        <f t="shared" si="436"/>
        <v>2.2380490766334034E-2</v>
      </c>
      <c r="BD585" s="197">
        <f t="shared" si="469"/>
        <v>4.4760981532668068E-3</v>
      </c>
      <c r="BE585" s="197">
        <f t="shared" si="470"/>
        <v>2.6856588919600841E-2</v>
      </c>
      <c r="BF585" s="197">
        <f t="shared" si="437"/>
        <v>0.20773291256157633</v>
      </c>
      <c r="BG585" s="197">
        <f t="shared" si="438"/>
        <v>5.4608303342508187E-4</v>
      </c>
      <c r="BH585" s="197">
        <f t="shared" si="439"/>
        <v>3.5336687086656722E-2</v>
      </c>
      <c r="BI585" s="197">
        <f t="shared" si="471"/>
        <v>0.44730899017824427</v>
      </c>
      <c r="BJ585" s="197">
        <f t="shared" si="440"/>
        <v>6.769615024661003</v>
      </c>
      <c r="BK585" s="288">
        <f t="shared" si="441"/>
        <v>0.93392401361838984</v>
      </c>
      <c r="BL585" s="197">
        <f t="shared" si="442"/>
        <v>0.37608972359227794</v>
      </c>
      <c r="BM585" s="197">
        <f t="shared" si="443"/>
        <v>7.4353030976985271E-2</v>
      </c>
      <c r="BN585" s="197">
        <f t="shared" si="444"/>
        <v>54.461181858619113</v>
      </c>
      <c r="BO585" s="197">
        <f t="shared" si="472"/>
        <v>0.2082789955950014</v>
      </c>
      <c r="BP585" s="197">
        <f t="shared" si="445"/>
        <v>65.620924669625111</v>
      </c>
      <c r="BQ585" s="197">
        <f t="shared" si="446"/>
        <v>9.9596940000000009E-2</v>
      </c>
      <c r="BR585" s="288">
        <f t="shared" si="447"/>
        <v>0.16008975919012108</v>
      </c>
      <c r="BS585" s="197">
        <f t="shared" si="448"/>
        <v>0.11660930017110901</v>
      </c>
      <c r="BT585" s="197">
        <f t="shared" si="449"/>
        <v>0.36419974881911377</v>
      </c>
      <c r="BU585" s="197">
        <f t="shared" si="450"/>
        <v>0.1713930788771201</v>
      </c>
      <c r="BV585" s="197">
        <f t="shared" si="451"/>
        <v>0.53530306917875781</v>
      </c>
      <c r="BW585" s="194"/>
      <c r="BX585" s="194"/>
      <c r="BY585" s="194"/>
      <c r="BZ585" s="194"/>
      <c r="CA585" s="194"/>
      <c r="CB585" s="194"/>
      <c r="CC585" s="194"/>
      <c r="CD585" s="194"/>
      <c r="CE585" s="194"/>
      <c r="CF585" s="194"/>
      <c r="CG585" s="194"/>
      <c r="CH585" s="194"/>
      <c r="CI585" s="194"/>
      <c r="CJ585" s="194"/>
      <c r="CK585" s="194"/>
      <c r="CL585" s="194"/>
      <c r="CM585" s="194"/>
      <c r="CN585" s="194"/>
      <c r="CO585" s="194"/>
      <c r="CP585" s="194"/>
      <c r="CQ585" s="194"/>
      <c r="CR585" s="194"/>
      <c r="CS585" s="194"/>
      <c r="CT585" s="194"/>
      <c r="CU585" s="194"/>
      <c r="CV585" s="194"/>
      <c r="CW585" s="194"/>
      <c r="CX585" s="194"/>
      <c r="CY585" s="194"/>
      <c r="CZ585" s="194"/>
      <c r="DA585" s="194"/>
      <c r="DB585" s="194"/>
      <c r="DC585" s="194"/>
      <c r="DD585" s="194"/>
      <c r="DE585" s="194"/>
      <c r="DF585" s="194"/>
    </row>
    <row r="586" spans="2:110" s="192" customFormat="1" hidden="1" x14ac:dyDescent="0.35">
      <c r="B586" s="289"/>
      <c r="C586" s="289"/>
      <c r="Q586" s="193"/>
      <c r="R586" s="194">
        <f t="shared" si="452"/>
        <v>18</v>
      </c>
      <c r="S586" s="197">
        <f t="shared" si="418"/>
        <v>0.3888888888888889</v>
      </c>
      <c r="T586" s="194">
        <f t="shared" si="473"/>
        <v>0.69</v>
      </c>
      <c r="U586" s="194">
        <f t="shared" si="474"/>
        <v>1.4999999999999999E-4</v>
      </c>
      <c r="V586" s="197">
        <f t="shared" si="453"/>
        <v>0.3888888888888889</v>
      </c>
      <c r="W586" s="197">
        <f t="shared" si="419"/>
        <v>4.3555555555555561E-3</v>
      </c>
      <c r="X586" s="286">
        <f t="shared" si="420"/>
        <v>1</v>
      </c>
      <c r="Y586" s="286">
        <f t="shared" si="421"/>
        <v>0.17335969315081967</v>
      </c>
      <c r="Z586" s="286">
        <f t="shared" si="422"/>
        <v>0.54964853345132902</v>
      </c>
      <c r="AA586" s="286">
        <f t="shared" si="454"/>
        <v>0.17335969315081967</v>
      </c>
      <c r="AB586" s="197">
        <f t="shared" si="423"/>
        <v>0.36419974881911377</v>
      </c>
      <c r="AC586" s="287">
        <f t="shared" si="424"/>
        <v>4.4451203372005044E-7</v>
      </c>
      <c r="AD586" s="197">
        <f t="shared" si="455"/>
        <v>11.693936048110356</v>
      </c>
      <c r="AE586" s="197">
        <f t="shared" si="456"/>
        <v>35.08180814433107</v>
      </c>
      <c r="AF586" s="197">
        <f t="shared" si="457"/>
        <v>8.5178571428571423E-2</v>
      </c>
      <c r="AG586" s="197">
        <f t="shared" si="458"/>
        <v>0.25553571428571431</v>
      </c>
      <c r="AH586" s="197">
        <f t="shared" si="425"/>
        <v>0.11660930017110901</v>
      </c>
      <c r="AI586" s="197">
        <f t="shared" si="459"/>
        <v>0.11660930017110901</v>
      </c>
      <c r="AJ586" s="218">
        <f t="shared" si="426"/>
        <v>390.00000000000006</v>
      </c>
      <c r="AK586" s="197">
        <f t="shared" si="460"/>
        <v>6.0930617977437734E-2</v>
      </c>
      <c r="AL586" s="197">
        <f t="shared" si="461"/>
        <v>9.6203707235237593E-2</v>
      </c>
      <c r="AM586" s="197">
        <f t="shared" si="462"/>
        <v>4.0790371867740751E-3</v>
      </c>
      <c r="AN586" s="197">
        <f t="shared" si="427"/>
        <v>24.05</v>
      </c>
      <c r="AO586" s="197">
        <f t="shared" si="428"/>
        <v>21.69</v>
      </c>
      <c r="AP586" s="197">
        <f t="shared" si="463"/>
        <v>7.4093290390420161E-2</v>
      </c>
      <c r="AQ586" s="197">
        <f t="shared" si="464"/>
        <v>0.42250439890466829</v>
      </c>
      <c r="AR586" s="197">
        <f t="shared" si="465"/>
        <v>0.30589509873355925</v>
      </c>
      <c r="AS586" s="258">
        <f t="shared" si="466"/>
        <v>0.15228632177729159</v>
      </c>
      <c r="AT586" s="197">
        <f t="shared" si="429"/>
        <v>2.5974058656511614E-4</v>
      </c>
      <c r="AU586" s="194">
        <f t="shared" si="430"/>
        <v>21.19</v>
      </c>
      <c r="AV586" s="197">
        <f t="shared" si="431"/>
        <v>2.7E-2</v>
      </c>
      <c r="AW586" s="197">
        <f t="shared" si="432"/>
        <v>3.4260000000000002E-3</v>
      </c>
      <c r="AX586" s="197">
        <f t="shared" si="467"/>
        <v>6.1668000000000001E-2</v>
      </c>
      <c r="AY586" s="197">
        <f t="shared" si="433"/>
        <v>2.8867476000000005E-3</v>
      </c>
      <c r="AZ586" s="197">
        <f t="shared" si="434"/>
        <v>0</v>
      </c>
      <c r="BA586" s="197">
        <f t="shared" si="468"/>
        <v>7.2596940000000013E-2</v>
      </c>
      <c r="BB586" s="258">
        <f t="shared" si="435"/>
        <v>0.36575210336206115</v>
      </c>
      <c r="BC586" s="197">
        <f t="shared" si="436"/>
        <v>2.2380490766334034E-2</v>
      </c>
      <c r="BD586" s="197">
        <f t="shared" si="469"/>
        <v>4.4760981532668068E-3</v>
      </c>
      <c r="BE586" s="197">
        <f t="shared" si="470"/>
        <v>2.6856588919600841E-2</v>
      </c>
      <c r="BF586" s="197">
        <f t="shared" si="437"/>
        <v>0.20773291256157633</v>
      </c>
      <c r="BG586" s="197">
        <f t="shared" si="438"/>
        <v>5.4608303342508187E-4</v>
      </c>
      <c r="BH586" s="197">
        <f t="shared" si="439"/>
        <v>3.5336687086656722E-2</v>
      </c>
      <c r="BI586" s="197">
        <f t="shared" si="471"/>
        <v>0.44730899017824427</v>
      </c>
      <c r="BJ586" s="197">
        <f t="shared" si="440"/>
        <v>6.769615024661003</v>
      </c>
      <c r="BK586" s="288">
        <f t="shared" si="441"/>
        <v>0.93392401361838984</v>
      </c>
      <c r="BL586" s="197">
        <f t="shared" si="442"/>
        <v>0.37608972359227794</v>
      </c>
      <c r="BM586" s="197">
        <f t="shared" si="443"/>
        <v>7.4353030976985271E-2</v>
      </c>
      <c r="BN586" s="197">
        <f t="shared" si="444"/>
        <v>54.461181858619113</v>
      </c>
      <c r="BO586" s="197">
        <f t="shared" si="472"/>
        <v>0.2082789955950014</v>
      </c>
      <c r="BP586" s="197">
        <f t="shared" si="445"/>
        <v>65.620924669625111</v>
      </c>
      <c r="BQ586" s="197">
        <f t="shared" si="446"/>
        <v>9.9596940000000009E-2</v>
      </c>
      <c r="BR586" s="288">
        <f t="shared" si="447"/>
        <v>0.16008975919012108</v>
      </c>
      <c r="BS586" s="197">
        <f t="shared" si="448"/>
        <v>0.11660930017110901</v>
      </c>
      <c r="BT586" s="197">
        <f t="shared" si="449"/>
        <v>0.36419974881911377</v>
      </c>
      <c r="BU586" s="197">
        <f t="shared" si="450"/>
        <v>0.1713930788771201</v>
      </c>
      <c r="BV586" s="197">
        <f t="shared" si="451"/>
        <v>0.53530306917875781</v>
      </c>
      <c r="BW586" s="194"/>
      <c r="BX586" s="194"/>
      <c r="BY586" s="194"/>
      <c r="BZ586" s="194"/>
      <c r="CA586" s="194"/>
      <c r="CB586" s="194"/>
      <c r="CC586" s="194"/>
      <c r="CD586" s="194"/>
      <c r="CE586" s="194"/>
      <c r="CF586" s="194"/>
      <c r="CG586" s="194"/>
      <c r="CH586" s="194"/>
      <c r="CI586" s="194"/>
      <c r="CJ586" s="194"/>
      <c r="CK586" s="194"/>
      <c r="CL586" s="194"/>
      <c r="CM586" s="194"/>
      <c r="CN586" s="194"/>
      <c r="CO586" s="194"/>
      <c r="CP586" s="194"/>
      <c r="CQ586" s="194"/>
      <c r="CR586" s="194"/>
      <c r="CS586" s="194"/>
      <c r="CT586" s="194"/>
      <c r="CU586" s="194"/>
      <c r="CV586" s="194"/>
      <c r="CW586" s="194"/>
      <c r="CX586" s="194"/>
      <c r="CY586" s="194"/>
      <c r="CZ586" s="194"/>
      <c r="DA586" s="194"/>
      <c r="DB586" s="194"/>
      <c r="DC586" s="194"/>
      <c r="DD586" s="194"/>
      <c r="DE586" s="194"/>
      <c r="DF586" s="194"/>
    </row>
    <row r="587" spans="2:110" s="192" customFormat="1" hidden="1" x14ac:dyDescent="0.35">
      <c r="B587" s="289"/>
      <c r="C587" s="289"/>
      <c r="Q587" s="193"/>
      <c r="R587" s="194">
        <f t="shared" si="452"/>
        <v>18</v>
      </c>
      <c r="S587" s="197">
        <f t="shared" si="418"/>
        <v>0.3888888888888889</v>
      </c>
      <c r="T587" s="194">
        <f t="shared" si="473"/>
        <v>0.69</v>
      </c>
      <c r="U587" s="194">
        <f t="shared" si="474"/>
        <v>1.4999999999999999E-4</v>
      </c>
      <c r="V587" s="197">
        <f t="shared" si="453"/>
        <v>0.3888888888888889</v>
      </c>
      <c r="W587" s="197">
        <f t="shared" si="419"/>
        <v>4.3555555555555561E-3</v>
      </c>
      <c r="X587" s="286">
        <f t="shared" si="420"/>
        <v>1</v>
      </c>
      <c r="Y587" s="286">
        <f t="shared" si="421"/>
        <v>0.17335969315081967</v>
      </c>
      <c r="Z587" s="286">
        <f t="shared" si="422"/>
        <v>0.54964853345132902</v>
      </c>
      <c r="AA587" s="286">
        <f t="shared" si="454"/>
        <v>0.17335969315081967</v>
      </c>
      <c r="AB587" s="197">
        <f t="shared" si="423"/>
        <v>0.36419974881911377</v>
      </c>
      <c r="AC587" s="287">
        <f t="shared" si="424"/>
        <v>4.4451203372005044E-7</v>
      </c>
      <c r="AD587" s="197">
        <f t="shared" si="455"/>
        <v>11.693936048110356</v>
      </c>
      <c r="AE587" s="197">
        <f t="shared" si="456"/>
        <v>35.08180814433107</v>
      </c>
      <c r="AF587" s="197">
        <f t="shared" si="457"/>
        <v>8.5178571428571423E-2</v>
      </c>
      <c r="AG587" s="197">
        <f t="shared" si="458"/>
        <v>0.25553571428571431</v>
      </c>
      <c r="AH587" s="197">
        <f t="shared" si="425"/>
        <v>0.11660930017110901</v>
      </c>
      <c r="AI587" s="197">
        <f t="shared" si="459"/>
        <v>0.11660930017110901</v>
      </c>
      <c r="AJ587" s="218">
        <f t="shared" si="426"/>
        <v>390.00000000000006</v>
      </c>
      <c r="AK587" s="197">
        <f t="shared" si="460"/>
        <v>6.0930617977437734E-2</v>
      </c>
      <c r="AL587" s="197">
        <f t="shared" si="461"/>
        <v>9.6203707235237593E-2</v>
      </c>
      <c r="AM587" s="197">
        <f t="shared" si="462"/>
        <v>4.0790371867740751E-3</v>
      </c>
      <c r="AN587" s="197">
        <f t="shared" si="427"/>
        <v>24.05</v>
      </c>
      <c r="AO587" s="197">
        <f t="shared" si="428"/>
        <v>21.69</v>
      </c>
      <c r="AP587" s="197">
        <f t="shared" si="463"/>
        <v>7.4093290390420161E-2</v>
      </c>
      <c r="AQ587" s="197">
        <f t="shared" si="464"/>
        <v>0.42250439890466829</v>
      </c>
      <c r="AR587" s="197">
        <f t="shared" si="465"/>
        <v>0.30589509873355925</v>
      </c>
      <c r="AS587" s="258">
        <f t="shared" si="466"/>
        <v>0.15228632177729159</v>
      </c>
      <c r="AT587" s="197">
        <f t="shared" si="429"/>
        <v>2.5974058656511614E-4</v>
      </c>
      <c r="AU587" s="194">
        <f t="shared" si="430"/>
        <v>21.19</v>
      </c>
      <c r="AV587" s="197">
        <f t="shared" si="431"/>
        <v>2.7E-2</v>
      </c>
      <c r="AW587" s="197">
        <f t="shared" si="432"/>
        <v>3.4260000000000002E-3</v>
      </c>
      <c r="AX587" s="197">
        <f t="shared" si="467"/>
        <v>6.1668000000000001E-2</v>
      </c>
      <c r="AY587" s="197">
        <f t="shared" si="433"/>
        <v>2.8867476000000005E-3</v>
      </c>
      <c r="AZ587" s="197">
        <f t="shared" si="434"/>
        <v>0</v>
      </c>
      <c r="BA587" s="197">
        <f t="shared" si="468"/>
        <v>7.2596940000000013E-2</v>
      </c>
      <c r="BB587" s="258">
        <f t="shared" si="435"/>
        <v>0.36575210336206115</v>
      </c>
      <c r="BC587" s="197">
        <f t="shared" si="436"/>
        <v>2.2380490766334034E-2</v>
      </c>
      <c r="BD587" s="197">
        <f t="shared" si="469"/>
        <v>4.4760981532668068E-3</v>
      </c>
      <c r="BE587" s="197">
        <f t="shared" si="470"/>
        <v>2.6856588919600841E-2</v>
      </c>
      <c r="BF587" s="197">
        <f t="shared" si="437"/>
        <v>0.20773291256157633</v>
      </c>
      <c r="BG587" s="197">
        <f t="shared" si="438"/>
        <v>5.4608303342508187E-4</v>
      </c>
      <c r="BH587" s="197">
        <f t="shared" si="439"/>
        <v>3.5336687086656722E-2</v>
      </c>
      <c r="BI587" s="197">
        <f t="shared" si="471"/>
        <v>0.44730899017824427</v>
      </c>
      <c r="BJ587" s="197">
        <f t="shared" si="440"/>
        <v>6.769615024661003</v>
      </c>
      <c r="BK587" s="288">
        <f t="shared" si="441"/>
        <v>0.93392401361838984</v>
      </c>
      <c r="BL587" s="197">
        <f t="shared" si="442"/>
        <v>0.37608972359227794</v>
      </c>
      <c r="BM587" s="197">
        <f t="shared" si="443"/>
        <v>7.4353030976985271E-2</v>
      </c>
      <c r="BN587" s="197">
        <f t="shared" si="444"/>
        <v>54.461181858619113</v>
      </c>
      <c r="BO587" s="197">
        <f t="shared" si="472"/>
        <v>0.2082789955950014</v>
      </c>
      <c r="BP587" s="197">
        <f t="shared" si="445"/>
        <v>65.620924669625111</v>
      </c>
      <c r="BQ587" s="197">
        <f t="shared" si="446"/>
        <v>9.9596940000000009E-2</v>
      </c>
      <c r="BR587" s="288">
        <f t="shared" si="447"/>
        <v>0.16008975919012108</v>
      </c>
      <c r="BS587" s="197">
        <f t="shared" si="448"/>
        <v>0.11660930017110901</v>
      </c>
      <c r="BT587" s="197">
        <f t="shared" si="449"/>
        <v>0.36419974881911377</v>
      </c>
      <c r="BU587" s="197">
        <f t="shared" si="450"/>
        <v>0.1713930788771201</v>
      </c>
      <c r="BV587" s="197">
        <f t="shared" si="451"/>
        <v>0.53530306917875781</v>
      </c>
      <c r="BW587" s="194"/>
      <c r="BX587" s="194"/>
      <c r="BY587" s="194"/>
      <c r="BZ587" s="194"/>
      <c r="CA587" s="194"/>
      <c r="CB587" s="194"/>
      <c r="CC587" s="194"/>
      <c r="CD587" s="194"/>
      <c r="CE587" s="194"/>
      <c r="CF587" s="194"/>
      <c r="CG587" s="194"/>
      <c r="CH587" s="194"/>
      <c r="CI587" s="194"/>
      <c r="CJ587" s="194"/>
      <c r="CK587" s="194"/>
      <c r="CL587" s="194"/>
      <c r="CM587" s="194"/>
      <c r="CN587" s="194"/>
      <c r="CO587" s="194"/>
      <c r="CP587" s="194"/>
      <c r="CQ587" s="194"/>
      <c r="CR587" s="194"/>
      <c r="CS587" s="194"/>
      <c r="CT587" s="194"/>
      <c r="CU587" s="194"/>
      <c r="CV587" s="194"/>
      <c r="CW587" s="194"/>
      <c r="CX587" s="194"/>
      <c r="CY587" s="194"/>
      <c r="CZ587" s="194"/>
      <c r="DA587" s="194"/>
      <c r="DB587" s="194"/>
      <c r="DC587" s="194"/>
      <c r="DD587" s="194"/>
      <c r="DE587" s="194"/>
      <c r="DF587" s="194"/>
    </row>
    <row r="588" spans="2:110" s="192" customFormat="1" hidden="1" x14ac:dyDescent="0.35">
      <c r="B588" s="289"/>
      <c r="C588" s="289"/>
      <c r="Q588" s="193"/>
      <c r="R588" s="194">
        <f t="shared" si="452"/>
        <v>18</v>
      </c>
      <c r="S588" s="197">
        <f t="shared" si="418"/>
        <v>0.3888888888888889</v>
      </c>
      <c r="T588" s="194">
        <f t="shared" si="473"/>
        <v>0.69</v>
      </c>
      <c r="U588" s="194">
        <f t="shared" si="474"/>
        <v>1.4999999999999999E-4</v>
      </c>
      <c r="V588" s="197">
        <f t="shared" si="453"/>
        <v>0.3888888888888889</v>
      </c>
      <c r="W588" s="197">
        <f t="shared" si="419"/>
        <v>4.3555555555555561E-3</v>
      </c>
      <c r="X588" s="286">
        <f t="shared" si="420"/>
        <v>1</v>
      </c>
      <c r="Y588" s="286">
        <f t="shared" si="421"/>
        <v>0.17335969315081967</v>
      </c>
      <c r="Z588" s="286">
        <f t="shared" si="422"/>
        <v>0.54964853345132902</v>
      </c>
      <c r="AA588" s="286">
        <f t="shared" si="454"/>
        <v>0.17335969315081967</v>
      </c>
      <c r="AB588" s="197">
        <f t="shared" si="423"/>
        <v>0.36419974881911377</v>
      </c>
      <c r="AC588" s="287">
        <f t="shared" si="424"/>
        <v>4.4451203372005044E-7</v>
      </c>
      <c r="AD588" s="197">
        <f t="shared" si="455"/>
        <v>11.693936048110356</v>
      </c>
      <c r="AE588" s="197">
        <f t="shared" si="456"/>
        <v>35.08180814433107</v>
      </c>
      <c r="AF588" s="197">
        <f t="shared" si="457"/>
        <v>8.5178571428571423E-2</v>
      </c>
      <c r="AG588" s="197">
        <f t="shared" si="458"/>
        <v>0.25553571428571431</v>
      </c>
      <c r="AH588" s="197">
        <f t="shared" si="425"/>
        <v>0.11660930017110901</v>
      </c>
      <c r="AI588" s="197">
        <f t="shared" si="459"/>
        <v>0.11660930017110901</v>
      </c>
      <c r="AJ588" s="218">
        <f t="shared" si="426"/>
        <v>390.00000000000006</v>
      </c>
      <c r="AK588" s="197">
        <f t="shared" si="460"/>
        <v>6.0930617977437734E-2</v>
      </c>
      <c r="AL588" s="197">
        <f t="shared" si="461"/>
        <v>9.6203707235237593E-2</v>
      </c>
      <c r="AM588" s="197">
        <f t="shared" si="462"/>
        <v>4.0790371867740751E-3</v>
      </c>
      <c r="AN588" s="197">
        <f t="shared" si="427"/>
        <v>24.05</v>
      </c>
      <c r="AO588" s="197">
        <f t="shared" si="428"/>
        <v>21.69</v>
      </c>
      <c r="AP588" s="197">
        <f t="shared" si="463"/>
        <v>7.4093290390420161E-2</v>
      </c>
      <c r="AQ588" s="197">
        <f t="shared" si="464"/>
        <v>0.42250439890466829</v>
      </c>
      <c r="AR588" s="197">
        <f t="shared" si="465"/>
        <v>0.30589509873355925</v>
      </c>
      <c r="AS588" s="258">
        <f t="shared" si="466"/>
        <v>0.15228632177729159</v>
      </c>
      <c r="AT588" s="197">
        <f t="shared" si="429"/>
        <v>2.5974058656511614E-4</v>
      </c>
      <c r="AU588" s="194">
        <f t="shared" si="430"/>
        <v>21.19</v>
      </c>
      <c r="AV588" s="197">
        <f t="shared" si="431"/>
        <v>2.7E-2</v>
      </c>
      <c r="AW588" s="197">
        <f t="shared" si="432"/>
        <v>3.4260000000000002E-3</v>
      </c>
      <c r="AX588" s="197">
        <f t="shared" si="467"/>
        <v>6.1668000000000001E-2</v>
      </c>
      <c r="AY588" s="197">
        <f t="shared" si="433"/>
        <v>2.8867476000000005E-3</v>
      </c>
      <c r="AZ588" s="197">
        <f t="shared" si="434"/>
        <v>0</v>
      </c>
      <c r="BA588" s="197">
        <f t="shared" si="468"/>
        <v>7.2596940000000013E-2</v>
      </c>
      <c r="BB588" s="258">
        <f t="shared" si="435"/>
        <v>0.36575210336206115</v>
      </c>
      <c r="BC588" s="197">
        <f t="shared" si="436"/>
        <v>2.2380490766334034E-2</v>
      </c>
      <c r="BD588" s="197">
        <f t="shared" si="469"/>
        <v>4.4760981532668068E-3</v>
      </c>
      <c r="BE588" s="197">
        <f t="shared" si="470"/>
        <v>2.6856588919600841E-2</v>
      </c>
      <c r="BF588" s="197">
        <f t="shared" si="437"/>
        <v>0.20773291256157633</v>
      </c>
      <c r="BG588" s="197">
        <f t="shared" si="438"/>
        <v>5.4608303342508187E-4</v>
      </c>
      <c r="BH588" s="197">
        <f t="shared" si="439"/>
        <v>3.5336687086656722E-2</v>
      </c>
      <c r="BI588" s="197">
        <f t="shared" si="471"/>
        <v>0.44730899017824427</v>
      </c>
      <c r="BJ588" s="197">
        <f t="shared" si="440"/>
        <v>6.769615024661003</v>
      </c>
      <c r="BK588" s="288">
        <f t="shared" si="441"/>
        <v>0.93392401361838984</v>
      </c>
      <c r="BL588" s="197">
        <f t="shared" si="442"/>
        <v>0.37608972359227794</v>
      </c>
      <c r="BM588" s="197">
        <f t="shared" si="443"/>
        <v>7.4353030976985271E-2</v>
      </c>
      <c r="BN588" s="197">
        <f t="shared" si="444"/>
        <v>54.461181858619113</v>
      </c>
      <c r="BO588" s="197">
        <f t="shared" si="472"/>
        <v>0.2082789955950014</v>
      </c>
      <c r="BP588" s="197">
        <f t="shared" si="445"/>
        <v>65.620924669625111</v>
      </c>
      <c r="BQ588" s="197">
        <f t="shared" si="446"/>
        <v>9.9596940000000009E-2</v>
      </c>
      <c r="BR588" s="288">
        <f t="shared" si="447"/>
        <v>0.16008975919012108</v>
      </c>
      <c r="BS588" s="197">
        <f t="shared" si="448"/>
        <v>0.11660930017110901</v>
      </c>
      <c r="BT588" s="197">
        <f t="shared" si="449"/>
        <v>0.36419974881911377</v>
      </c>
      <c r="BU588" s="197">
        <f t="shared" si="450"/>
        <v>0.1713930788771201</v>
      </c>
      <c r="BV588" s="197">
        <f t="shared" si="451"/>
        <v>0.53530306917875781</v>
      </c>
      <c r="BW588" s="194"/>
      <c r="BX588" s="194"/>
      <c r="BY588" s="194"/>
      <c r="BZ588" s="194"/>
      <c r="CA588" s="194"/>
      <c r="CB588" s="194"/>
      <c r="CC588" s="194"/>
      <c r="CD588" s="194"/>
      <c r="CE588" s="194"/>
      <c r="CF588" s="194"/>
      <c r="CG588" s="194"/>
      <c r="CH588" s="194"/>
      <c r="CI588" s="194"/>
      <c r="CJ588" s="194"/>
      <c r="CK588" s="194"/>
      <c r="CL588" s="194"/>
      <c r="CM588" s="194"/>
      <c r="CN588" s="194"/>
      <c r="CO588" s="194"/>
      <c r="CP588" s="194"/>
      <c r="CQ588" s="194"/>
      <c r="CR588" s="194"/>
      <c r="CS588" s="194"/>
      <c r="CT588" s="194"/>
      <c r="CU588" s="194"/>
      <c r="CV588" s="194"/>
      <c r="CW588" s="194"/>
      <c r="CX588" s="194"/>
      <c r="CY588" s="194"/>
      <c r="CZ588" s="194"/>
      <c r="DA588" s="194"/>
      <c r="DB588" s="194"/>
      <c r="DC588" s="194"/>
      <c r="DD588" s="194"/>
      <c r="DE588" s="194"/>
      <c r="DF588" s="194"/>
    </row>
    <row r="589" spans="2:110" s="192" customFormat="1" hidden="1" x14ac:dyDescent="0.35">
      <c r="B589" s="289"/>
      <c r="C589" s="289"/>
      <c r="Q589" s="193"/>
      <c r="R589" s="194">
        <f t="shared" si="452"/>
        <v>18</v>
      </c>
      <c r="S589" s="197">
        <f t="shared" si="418"/>
        <v>0.3888888888888889</v>
      </c>
      <c r="T589" s="194">
        <f t="shared" si="473"/>
        <v>0.69</v>
      </c>
      <c r="U589" s="194">
        <f t="shared" si="474"/>
        <v>1.4999999999999999E-4</v>
      </c>
      <c r="V589" s="197">
        <f t="shared" si="453"/>
        <v>0.3888888888888889</v>
      </c>
      <c r="W589" s="197">
        <f t="shared" si="419"/>
        <v>4.3555555555555561E-3</v>
      </c>
      <c r="X589" s="286">
        <f t="shared" si="420"/>
        <v>1</v>
      </c>
      <c r="Y589" s="286">
        <f t="shared" si="421"/>
        <v>0.17335969315081967</v>
      </c>
      <c r="Z589" s="286">
        <f t="shared" si="422"/>
        <v>0.54964853345132902</v>
      </c>
      <c r="AA589" s="286">
        <f t="shared" si="454"/>
        <v>0.17335969315081967</v>
      </c>
      <c r="AB589" s="197">
        <f t="shared" si="423"/>
        <v>0.36419974881911377</v>
      </c>
      <c r="AC589" s="287">
        <f t="shared" si="424"/>
        <v>4.4451203372005044E-7</v>
      </c>
      <c r="AD589" s="197">
        <f t="shared" si="455"/>
        <v>11.693936048110356</v>
      </c>
      <c r="AE589" s="197">
        <f t="shared" si="456"/>
        <v>35.08180814433107</v>
      </c>
      <c r="AF589" s="197">
        <f t="shared" si="457"/>
        <v>8.5178571428571423E-2</v>
      </c>
      <c r="AG589" s="197">
        <f t="shared" si="458"/>
        <v>0.25553571428571431</v>
      </c>
      <c r="AH589" s="197">
        <f t="shared" si="425"/>
        <v>0.11660930017110901</v>
      </c>
      <c r="AI589" s="197">
        <f t="shared" si="459"/>
        <v>0.11660930017110901</v>
      </c>
      <c r="AJ589" s="218">
        <f t="shared" si="426"/>
        <v>390.00000000000006</v>
      </c>
      <c r="AK589" s="197">
        <f t="shared" si="460"/>
        <v>6.0930617977437734E-2</v>
      </c>
      <c r="AL589" s="197">
        <f t="shared" si="461"/>
        <v>9.6203707235237593E-2</v>
      </c>
      <c r="AM589" s="197">
        <f t="shared" si="462"/>
        <v>4.0790371867740751E-3</v>
      </c>
      <c r="AN589" s="197">
        <f t="shared" si="427"/>
        <v>24.05</v>
      </c>
      <c r="AO589" s="197">
        <f t="shared" si="428"/>
        <v>21.69</v>
      </c>
      <c r="AP589" s="197">
        <f t="shared" si="463"/>
        <v>7.4093290390420161E-2</v>
      </c>
      <c r="AQ589" s="197">
        <f t="shared" si="464"/>
        <v>0.42250439890466829</v>
      </c>
      <c r="AR589" s="197">
        <f t="shared" si="465"/>
        <v>0.30589509873355925</v>
      </c>
      <c r="AS589" s="258">
        <f t="shared" si="466"/>
        <v>0.15228632177729159</v>
      </c>
      <c r="AT589" s="197">
        <f t="shared" si="429"/>
        <v>2.5974058656511614E-4</v>
      </c>
      <c r="AU589" s="194">
        <f t="shared" si="430"/>
        <v>21.19</v>
      </c>
      <c r="AV589" s="197">
        <f t="shared" si="431"/>
        <v>2.7E-2</v>
      </c>
      <c r="AW589" s="197">
        <f t="shared" si="432"/>
        <v>3.4260000000000002E-3</v>
      </c>
      <c r="AX589" s="197">
        <f t="shared" si="467"/>
        <v>6.1668000000000001E-2</v>
      </c>
      <c r="AY589" s="197">
        <f t="shared" si="433"/>
        <v>2.8867476000000005E-3</v>
      </c>
      <c r="AZ589" s="197">
        <f t="shared" si="434"/>
        <v>0</v>
      </c>
      <c r="BA589" s="197">
        <f t="shared" si="468"/>
        <v>7.2596940000000013E-2</v>
      </c>
      <c r="BB589" s="258">
        <f t="shared" si="435"/>
        <v>0.36575210336206115</v>
      </c>
      <c r="BC589" s="197">
        <f t="shared" si="436"/>
        <v>2.2380490766334034E-2</v>
      </c>
      <c r="BD589" s="197">
        <f t="shared" si="469"/>
        <v>4.4760981532668068E-3</v>
      </c>
      <c r="BE589" s="197">
        <f t="shared" si="470"/>
        <v>2.6856588919600841E-2</v>
      </c>
      <c r="BF589" s="197">
        <f t="shared" si="437"/>
        <v>0.20773291256157633</v>
      </c>
      <c r="BG589" s="197">
        <f t="shared" si="438"/>
        <v>5.4608303342508187E-4</v>
      </c>
      <c r="BH589" s="197">
        <f t="shared" si="439"/>
        <v>3.5336687086656722E-2</v>
      </c>
      <c r="BI589" s="197">
        <f t="shared" si="471"/>
        <v>0.44730899017824427</v>
      </c>
      <c r="BJ589" s="197">
        <f t="shared" si="440"/>
        <v>6.769615024661003</v>
      </c>
      <c r="BK589" s="288">
        <f t="shared" si="441"/>
        <v>0.93392401361838984</v>
      </c>
      <c r="BL589" s="197">
        <f t="shared" si="442"/>
        <v>0.37608972359227794</v>
      </c>
      <c r="BM589" s="197">
        <f t="shared" si="443"/>
        <v>7.4353030976985271E-2</v>
      </c>
      <c r="BN589" s="197">
        <f t="shared" si="444"/>
        <v>54.461181858619113</v>
      </c>
      <c r="BO589" s="197">
        <f t="shared" si="472"/>
        <v>0.2082789955950014</v>
      </c>
      <c r="BP589" s="197">
        <f t="shared" si="445"/>
        <v>65.620924669625111</v>
      </c>
      <c r="BQ589" s="197">
        <f t="shared" si="446"/>
        <v>9.9596940000000009E-2</v>
      </c>
      <c r="BR589" s="288">
        <f t="shared" si="447"/>
        <v>0.16008975919012108</v>
      </c>
      <c r="BS589" s="197">
        <f t="shared" si="448"/>
        <v>0.11660930017110901</v>
      </c>
      <c r="BT589" s="197">
        <f t="shared" si="449"/>
        <v>0.36419974881911377</v>
      </c>
      <c r="BU589" s="197">
        <f t="shared" si="450"/>
        <v>0.1713930788771201</v>
      </c>
      <c r="BV589" s="197">
        <f t="shared" si="451"/>
        <v>0.53530306917875781</v>
      </c>
      <c r="BW589" s="194"/>
      <c r="BX589" s="194"/>
      <c r="BY589" s="194"/>
      <c r="BZ589" s="194"/>
      <c r="CA589" s="194"/>
      <c r="CB589" s="194"/>
      <c r="CC589" s="194"/>
      <c r="CD589" s="194"/>
      <c r="CE589" s="194"/>
      <c r="CF589" s="194"/>
      <c r="CG589" s="194"/>
      <c r="CH589" s="194"/>
      <c r="CI589" s="194"/>
      <c r="CJ589" s="194"/>
      <c r="CK589" s="194"/>
      <c r="CL589" s="194"/>
      <c r="CM589" s="194"/>
      <c r="CN589" s="194"/>
      <c r="CO589" s="194"/>
      <c r="CP589" s="194"/>
      <c r="CQ589" s="194"/>
      <c r="CR589" s="194"/>
      <c r="CS589" s="194"/>
      <c r="CT589" s="194"/>
      <c r="CU589" s="194"/>
      <c r="CV589" s="194"/>
      <c r="CW589" s="194"/>
      <c r="CX589" s="194"/>
      <c r="CY589" s="194"/>
      <c r="CZ589" s="194"/>
      <c r="DA589" s="194"/>
      <c r="DB589" s="194"/>
      <c r="DC589" s="194"/>
      <c r="DD589" s="194"/>
      <c r="DE589" s="194"/>
      <c r="DF589" s="194"/>
    </row>
    <row r="590" spans="2:110" s="192" customFormat="1" hidden="1" x14ac:dyDescent="0.35">
      <c r="B590" s="289"/>
      <c r="C590" s="289"/>
      <c r="Q590" s="193"/>
      <c r="R590" s="194">
        <f t="shared" si="452"/>
        <v>18</v>
      </c>
      <c r="S590" s="197">
        <f t="shared" si="418"/>
        <v>0.3888888888888889</v>
      </c>
      <c r="T590" s="194">
        <f t="shared" si="473"/>
        <v>0.69</v>
      </c>
      <c r="U590" s="194">
        <f t="shared" si="474"/>
        <v>1.4999999999999999E-4</v>
      </c>
      <c r="V590" s="197">
        <f t="shared" si="453"/>
        <v>0.3888888888888889</v>
      </c>
      <c r="W590" s="197">
        <f t="shared" si="419"/>
        <v>4.3555555555555561E-3</v>
      </c>
      <c r="X590" s="286">
        <f t="shared" si="420"/>
        <v>1</v>
      </c>
      <c r="Y590" s="286">
        <f t="shared" si="421"/>
        <v>0.17335969315081967</v>
      </c>
      <c r="Z590" s="286">
        <f t="shared" si="422"/>
        <v>0.54964853345132902</v>
      </c>
      <c r="AA590" s="286">
        <f t="shared" si="454"/>
        <v>0.17335969315081967</v>
      </c>
      <c r="AB590" s="197">
        <f t="shared" si="423"/>
        <v>0.36419974881911377</v>
      </c>
      <c r="AC590" s="287">
        <f t="shared" si="424"/>
        <v>4.4451203372005044E-7</v>
      </c>
      <c r="AD590" s="197">
        <f t="shared" si="455"/>
        <v>11.693936048110356</v>
      </c>
      <c r="AE590" s="197">
        <f t="shared" si="456"/>
        <v>35.08180814433107</v>
      </c>
      <c r="AF590" s="197">
        <f t="shared" si="457"/>
        <v>8.5178571428571423E-2</v>
      </c>
      <c r="AG590" s="197">
        <f t="shared" si="458"/>
        <v>0.25553571428571431</v>
      </c>
      <c r="AH590" s="197">
        <f t="shared" si="425"/>
        <v>0.11660930017110901</v>
      </c>
      <c r="AI590" s="197">
        <f t="shared" si="459"/>
        <v>0.11660930017110901</v>
      </c>
      <c r="AJ590" s="218">
        <f t="shared" si="426"/>
        <v>390.00000000000006</v>
      </c>
      <c r="AK590" s="197">
        <f t="shared" si="460"/>
        <v>6.0930617977437734E-2</v>
      </c>
      <c r="AL590" s="197">
        <f t="shared" si="461"/>
        <v>9.6203707235237593E-2</v>
      </c>
      <c r="AM590" s="197">
        <f t="shared" si="462"/>
        <v>4.0790371867740751E-3</v>
      </c>
      <c r="AN590" s="197">
        <f t="shared" si="427"/>
        <v>24.05</v>
      </c>
      <c r="AO590" s="197">
        <f t="shared" si="428"/>
        <v>21.69</v>
      </c>
      <c r="AP590" s="197">
        <f t="shared" si="463"/>
        <v>7.4093290390420161E-2</v>
      </c>
      <c r="AQ590" s="197">
        <f t="shared" si="464"/>
        <v>0.42250439890466829</v>
      </c>
      <c r="AR590" s="197">
        <f t="shared" si="465"/>
        <v>0.30589509873355925</v>
      </c>
      <c r="AS590" s="258">
        <f t="shared" si="466"/>
        <v>0.15228632177729159</v>
      </c>
      <c r="AT590" s="197">
        <f t="shared" si="429"/>
        <v>2.5974058656511614E-4</v>
      </c>
      <c r="AU590" s="194">
        <f t="shared" si="430"/>
        <v>21.19</v>
      </c>
      <c r="AV590" s="197">
        <f t="shared" si="431"/>
        <v>2.7E-2</v>
      </c>
      <c r="AW590" s="197">
        <f t="shared" si="432"/>
        <v>3.4260000000000002E-3</v>
      </c>
      <c r="AX590" s="197">
        <f t="shared" si="467"/>
        <v>6.1668000000000001E-2</v>
      </c>
      <c r="AY590" s="197">
        <f t="shared" si="433"/>
        <v>2.8867476000000005E-3</v>
      </c>
      <c r="AZ590" s="197">
        <f t="shared" si="434"/>
        <v>0</v>
      </c>
      <c r="BA590" s="197">
        <f t="shared" si="468"/>
        <v>7.2596940000000013E-2</v>
      </c>
      <c r="BB590" s="258">
        <f t="shared" si="435"/>
        <v>0.36575210336206115</v>
      </c>
      <c r="BC590" s="197">
        <f t="shared" si="436"/>
        <v>2.2380490766334034E-2</v>
      </c>
      <c r="BD590" s="197">
        <f t="shared" si="469"/>
        <v>4.4760981532668068E-3</v>
      </c>
      <c r="BE590" s="197">
        <f t="shared" si="470"/>
        <v>2.6856588919600841E-2</v>
      </c>
      <c r="BF590" s="197">
        <f t="shared" si="437"/>
        <v>0.20773291256157633</v>
      </c>
      <c r="BG590" s="197">
        <f t="shared" si="438"/>
        <v>5.4608303342508187E-4</v>
      </c>
      <c r="BH590" s="197">
        <f t="shared" si="439"/>
        <v>3.5336687086656722E-2</v>
      </c>
      <c r="BI590" s="197">
        <f t="shared" si="471"/>
        <v>0.44730899017824427</v>
      </c>
      <c r="BJ590" s="197">
        <f t="shared" si="440"/>
        <v>6.769615024661003</v>
      </c>
      <c r="BK590" s="288">
        <f t="shared" si="441"/>
        <v>0.93392401361838984</v>
      </c>
      <c r="BL590" s="197">
        <f t="shared" si="442"/>
        <v>0.37608972359227794</v>
      </c>
      <c r="BM590" s="197">
        <f t="shared" si="443"/>
        <v>7.4353030976985271E-2</v>
      </c>
      <c r="BN590" s="197">
        <f t="shared" si="444"/>
        <v>54.461181858619113</v>
      </c>
      <c r="BO590" s="197">
        <f t="shared" si="472"/>
        <v>0.2082789955950014</v>
      </c>
      <c r="BP590" s="197">
        <f t="shared" si="445"/>
        <v>65.620924669625111</v>
      </c>
      <c r="BQ590" s="197">
        <f t="shared" si="446"/>
        <v>9.9596940000000009E-2</v>
      </c>
      <c r="BR590" s="288">
        <f t="shared" si="447"/>
        <v>0.16008975919012108</v>
      </c>
      <c r="BS590" s="197">
        <f t="shared" si="448"/>
        <v>0.11660930017110901</v>
      </c>
      <c r="BT590" s="197">
        <f t="shared" si="449"/>
        <v>0.36419974881911377</v>
      </c>
      <c r="BU590" s="197">
        <f t="shared" si="450"/>
        <v>0.1713930788771201</v>
      </c>
      <c r="BV590" s="197">
        <f t="shared" si="451"/>
        <v>0.53530306917875781</v>
      </c>
      <c r="BW590" s="194"/>
      <c r="BX590" s="194"/>
      <c r="BY590" s="194"/>
      <c r="BZ590" s="194"/>
      <c r="CA590" s="194"/>
      <c r="CB590" s="194"/>
      <c r="CC590" s="194"/>
      <c r="CD590" s="194"/>
      <c r="CE590" s="194"/>
      <c r="CF590" s="194"/>
      <c r="CG590" s="194"/>
      <c r="CH590" s="194"/>
      <c r="CI590" s="194"/>
      <c r="CJ590" s="194"/>
      <c r="CK590" s="194"/>
      <c r="CL590" s="194"/>
      <c r="CM590" s="194"/>
      <c r="CN590" s="194"/>
      <c r="CO590" s="194"/>
      <c r="CP590" s="194"/>
      <c r="CQ590" s="194"/>
      <c r="CR590" s="194"/>
      <c r="CS590" s="194"/>
      <c r="CT590" s="194"/>
      <c r="CU590" s="194"/>
      <c r="CV590" s="194"/>
      <c r="CW590" s="194"/>
      <c r="CX590" s="194"/>
      <c r="CY590" s="194"/>
      <c r="CZ590" s="194"/>
      <c r="DA590" s="194"/>
      <c r="DB590" s="194"/>
      <c r="DC590" s="194"/>
      <c r="DD590" s="194"/>
      <c r="DE590" s="194"/>
      <c r="DF590" s="194"/>
    </row>
    <row r="591" spans="2:110" s="192" customFormat="1" hidden="1" x14ac:dyDescent="0.35">
      <c r="B591" s="289"/>
      <c r="C591" s="289"/>
      <c r="Q591" s="193"/>
      <c r="R591" s="194">
        <f t="shared" si="452"/>
        <v>18</v>
      </c>
      <c r="S591" s="197">
        <f t="shared" si="418"/>
        <v>0.3888888888888889</v>
      </c>
      <c r="T591" s="194">
        <f t="shared" si="473"/>
        <v>0.69</v>
      </c>
      <c r="U591" s="194">
        <f t="shared" si="474"/>
        <v>1.4999999999999999E-4</v>
      </c>
      <c r="V591" s="197">
        <f t="shared" si="453"/>
        <v>0.3888888888888889</v>
      </c>
      <c r="W591" s="197">
        <f t="shared" si="419"/>
        <v>4.3555555555555561E-3</v>
      </c>
      <c r="X591" s="286">
        <f t="shared" si="420"/>
        <v>1</v>
      </c>
      <c r="Y591" s="286">
        <f t="shared" si="421"/>
        <v>0.17335969315081967</v>
      </c>
      <c r="Z591" s="286">
        <f t="shared" si="422"/>
        <v>0.54964853345132902</v>
      </c>
      <c r="AA591" s="286">
        <f t="shared" si="454"/>
        <v>0.17335969315081967</v>
      </c>
      <c r="AB591" s="197">
        <f t="shared" si="423"/>
        <v>0.36419974881911377</v>
      </c>
      <c r="AC591" s="287">
        <f t="shared" si="424"/>
        <v>4.4451203372005044E-7</v>
      </c>
      <c r="AD591" s="197">
        <f t="shared" si="455"/>
        <v>11.693936048110356</v>
      </c>
      <c r="AE591" s="197">
        <f t="shared" si="456"/>
        <v>35.08180814433107</v>
      </c>
      <c r="AF591" s="197">
        <f t="shared" si="457"/>
        <v>8.5178571428571423E-2</v>
      </c>
      <c r="AG591" s="197">
        <f t="shared" si="458"/>
        <v>0.25553571428571431</v>
      </c>
      <c r="AH591" s="197">
        <f t="shared" si="425"/>
        <v>0.11660930017110901</v>
      </c>
      <c r="AI591" s="197">
        <f t="shared" si="459"/>
        <v>0.11660930017110901</v>
      </c>
      <c r="AJ591" s="218">
        <f t="shared" si="426"/>
        <v>390.00000000000006</v>
      </c>
      <c r="AK591" s="197">
        <f t="shared" si="460"/>
        <v>6.0930617977437734E-2</v>
      </c>
      <c r="AL591" s="197">
        <f t="shared" si="461"/>
        <v>9.6203707235237593E-2</v>
      </c>
      <c r="AM591" s="197">
        <f t="shared" si="462"/>
        <v>4.0790371867740751E-3</v>
      </c>
      <c r="AN591" s="197">
        <f t="shared" si="427"/>
        <v>24.05</v>
      </c>
      <c r="AO591" s="197">
        <f t="shared" si="428"/>
        <v>21.69</v>
      </c>
      <c r="AP591" s="197">
        <f t="shared" si="463"/>
        <v>7.4093290390420161E-2</v>
      </c>
      <c r="AQ591" s="197">
        <f t="shared" si="464"/>
        <v>0.42250439890466829</v>
      </c>
      <c r="AR591" s="197">
        <f t="shared" si="465"/>
        <v>0.30589509873355925</v>
      </c>
      <c r="AS591" s="258">
        <f t="shared" si="466"/>
        <v>0.15228632177729159</v>
      </c>
      <c r="AT591" s="197">
        <f t="shared" si="429"/>
        <v>2.5974058656511614E-4</v>
      </c>
      <c r="AU591" s="194">
        <f t="shared" si="430"/>
        <v>21.19</v>
      </c>
      <c r="AV591" s="197">
        <f t="shared" si="431"/>
        <v>2.7E-2</v>
      </c>
      <c r="AW591" s="197">
        <f t="shared" si="432"/>
        <v>3.4260000000000002E-3</v>
      </c>
      <c r="AX591" s="197">
        <f t="shared" si="467"/>
        <v>6.1668000000000001E-2</v>
      </c>
      <c r="AY591" s="197">
        <f t="shared" si="433"/>
        <v>2.8867476000000005E-3</v>
      </c>
      <c r="AZ591" s="197">
        <f t="shared" si="434"/>
        <v>0</v>
      </c>
      <c r="BA591" s="197">
        <f t="shared" si="468"/>
        <v>7.2596940000000013E-2</v>
      </c>
      <c r="BB591" s="258">
        <f t="shared" si="435"/>
        <v>0.36575210336206115</v>
      </c>
      <c r="BC591" s="197">
        <f t="shared" si="436"/>
        <v>2.2380490766334034E-2</v>
      </c>
      <c r="BD591" s="197">
        <f t="shared" si="469"/>
        <v>4.4760981532668068E-3</v>
      </c>
      <c r="BE591" s="197">
        <f t="shared" si="470"/>
        <v>2.6856588919600841E-2</v>
      </c>
      <c r="BF591" s="197">
        <f t="shared" si="437"/>
        <v>0.20773291256157633</v>
      </c>
      <c r="BG591" s="197">
        <f t="shared" si="438"/>
        <v>5.4608303342508187E-4</v>
      </c>
      <c r="BH591" s="197">
        <f t="shared" si="439"/>
        <v>3.5336687086656722E-2</v>
      </c>
      <c r="BI591" s="197">
        <f t="shared" si="471"/>
        <v>0.44730899017824427</v>
      </c>
      <c r="BJ591" s="197">
        <f t="shared" si="440"/>
        <v>6.769615024661003</v>
      </c>
      <c r="BK591" s="288">
        <f t="shared" si="441"/>
        <v>0.93392401361838984</v>
      </c>
      <c r="BL591" s="197">
        <f t="shared" si="442"/>
        <v>0.37608972359227794</v>
      </c>
      <c r="BM591" s="197">
        <f t="shared" si="443"/>
        <v>7.4353030976985271E-2</v>
      </c>
      <c r="BN591" s="197">
        <f t="shared" si="444"/>
        <v>54.461181858619113</v>
      </c>
      <c r="BO591" s="197">
        <f t="shared" si="472"/>
        <v>0.2082789955950014</v>
      </c>
      <c r="BP591" s="197">
        <f t="shared" si="445"/>
        <v>65.620924669625111</v>
      </c>
      <c r="BQ591" s="197">
        <f t="shared" si="446"/>
        <v>9.9596940000000009E-2</v>
      </c>
      <c r="BR591" s="288">
        <f t="shared" si="447"/>
        <v>0.16008975919012108</v>
      </c>
      <c r="BS591" s="197">
        <f t="shared" si="448"/>
        <v>0.11660930017110901</v>
      </c>
      <c r="BT591" s="197">
        <f t="shared" si="449"/>
        <v>0.36419974881911377</v>
      </c>
      <c r="BU591" s="197">
        <f t="shared" si="450"/>
        <v>0.1713930788771201</v>
      </c>
      <c r="BV591" s="197">
        <f t="shared" si="451"/>
        <v>0.53530306917875781</v>
      </c>
      <c r="BW591" s="194"/>
      <c r="BX591" s="194"/>
      <c r="BY591" s="194"/>
      <c r="BZ591" s="194"/>
      <c r="CA591" s="194"/>
      <c r="CB591" s="194"/>
      <c r="CC591" s="194"/>
      <c r="CD591" s="194"/>
      <c r="CE591" s="194"/>
      <c r="CF591" s="194"/>
      <c r="CG591" s="194"/>
      <c r="CH591" s="194"/>
      <c r="CI591" s="194"/>
      <c r="CJ591" s="194"/>
      <c r="CK591" s="194"/>
      <c r="CL591" s="194"/>
      <c r="CM591" s="194"/>
      <c r="CN591" s="194"/>
      <c r="CO591" s="194"/>
      <c r="CP591" s="194"/>
      <c r="CQ591" s="194"/>
      <c r="CR591" s="194"/>
      <c r="CS591" s="194"/>
      <c r="CT591" s="194"/>
      <c r="CU591" s="194"/>
      <c r="CV591" s="194"/>
      <c r="CW591" s="194"/>
      <c r="CX591" s="194"/>
      <c r="CY591" s="194"/>
      <c r="CZ591" s="194"/>
      <c r="DA591" s="194"/>
      <c r="DB591" s="194"/>
      <c r="DC591" s="194"/>
      <c r="DD591" s="194"/>
      <c r="DE591" s="194"/>
      <c r="DF591" s="194"/>
    </row>
    <row r="592" spans="2:110" s="192" customFormat="1" hidden="1" x14ac:dyDescent="0.35">
      <c r="B592" s="289"/>
      <c r="C592" s="289"/>
      <c r="Q592" s="193"/>
      <c r="R592" s="194">
        <f t="shared" si="452"/>
        <v>18</v>
      </c>
      <c r="S592" s="197">
        <f t="shared" si="418"/>
        <v>0.3888888888888889</v>
      </c>
      <c r="T592" s="194">
        <f t="shared" si="473"/>
        <v>0.69</v>
      </c>
      <c r="U592" s="194">
        <f t="shared" si="474"/>
        <v>1.4999999999999999E-4</v>
      </c>
      <c r="V592" s="197">
        <f t="shared" si="453"/>
        <v>0.3888888888888889</v>
      </c>
      <c r="W592" s="197">
        <f t="shared" si="419"/>
        <v>4.3555555555555561E-3</v>
      </c>
      <c r="X592" s="286">
        <f t="shared" si="420"/>
        <v>1</v>
      </c>
      <c r="Y592" s="286">
        <f t="shared" si="421"/>
        <v>0.17335969315081967</v>
      </c>
      <c r="Z592" s="286">
        <f t="shared" si="422"/>
        <v>0.54964853345132902</v>
      </c>
      <c r="AA592" s="286">
        <f t="shared" si="454"/>
        <v>0.17335969315081967</v>
      </c>
      <c r="AB592" s="197">
        <f t="shared" si="423"/>
        <v>0.36419974881911377</v>
      </c>
      <c r="AC592" s="287">
        <f t="shared" si="424"/>
        <v>4.4451203372005044E-7</v>
      </c>
      <c r="AD592" s="197">
        <f t="shared" si="455"/>
        <v>11.693936048110356</v>
      </c>
      <c r="AE592" s="197">
        <f t="shared" si="456"/>
        <v>35.08180814433107</v>
      </c>
      <c r="AF592" s="197">
        <f t="shared" si="457"/>
        <v>8.5178571428571423E-2</v>
      </c>
      <c r="AG592" s="197">
        <f t="shared" si="458"/>
        <v>0.25553571428571431</v>
      </c>
      <c r="AH592" s="197">
        <f t="shared" si="425"/>
        <v>0.11660930017110901</v>
      </c>
      <c r="AI592" s="197">
        <f t="shared" si="459"/>
        <v>0.11660930017110901</v>
      </c>
      <c r="AJ592" s="218">
        <f t="shared" si="426"/>
        <v>390.00000000000006</v>
      </c>
      <c r="AK592" s="197">
        <f t="shared" si="460"/>
        <v>6.0930617977437734E-2</v>
      </c>
      <c r="AL592" s="197">
        <f t="shared" si="461"/>
        <v>9.6203707235237593E-2</v>
      </c>
      <c r="AM592" s="197">
        <f t="shared" si="462"/>
        <v>4.0790371867740751E-3</v>
      </c>
      <c r="AN592" s="197">
        <f t="shared" si="427"/>
        <v>24.05</v>
      </c>
      <c r="AO592" s="197">
        <f t="shared" si="428"/>
        <v>21.69</v>
      </c>
      <c r="AP592" s="197">
        <f t="shared" si="463"/>
        <v>7.4093290390420161E-2</v>
      </c>
      <c r="AQ592" s="197">
        <f t="shared" si="464"/>
        <v>0.42250439890466829</v>
      </c>
      <c r="AR592" s="197">
        <f t="shared" si="465"/>
        <v>0.30589509873355925</v>
      </c>
      <c r="AS592" s="258">
        <f t="shared" si="466"/>
        <v>0.15228632177729159</v>
      </c>
      <c r="AT592" s="197">
        <f t="shared" si="429"/>
        <v>2.5974058656511614E-4</v>
      </c>
      <c r="AU592" s="194">
        <f t="shared" si="430"/>
        <v>21.19</v>
      </c>
      <c r="AV592" s="197">
        <f t="shared" si="431"/>
        <v>2.7E-2</v>
      </c>
      <c r="AW592" s="197">
        <f t="shared" si="432"/>
        <v>3.4260000000000002E-3</v>
      </c>
      <c r="AX592" s="197">
        <f t="shared" si="467"/>
        <v>6.1668000000000001E-2</v>
      </c>
      <c r="AY592" s="197">
        <f t="shared" si="433"/>
        <v>2.8867476000000005E-3</v>
      </c>
      <c r="AZ592" s="197">
        <f t="shared" si="434"/>
        <v>0</v>
      </c>
      <c r="BA592" s="197">
        <f t="shared" si="468"/>
        <v>7.2596940000000013E-2</v>
      </c>
      <c r="BB592" s="258">
        <f t="shared" si="435"/>
        <v>0.36575210336206115</v>
      </c>
      <c r="BC592" s="197">
        <f t="shared" si="436"/>
        <v>2.2380490766334034E-2</v>
      </c>
      <c r="BD592" s="197">
        <f t="shared" si="469"/>
        <v>4.4760981532668068E-3</v>
      </c>
      <c r="BE592" s="197">
        <f t="shared" si="470"/>
        <v>2.6856588919600841E-2</v>
      </c>
      <c r="BF592" s="197">
        <f t="shared" si="437"/>
        <v>0.20773291256157633</v>
      </c>
      <c r="BG592" s="197">
        <f t="shared" si="438"/>
        <v>5.4608303342508187E-4</v>
      </c>
      <c r="BH592" s="197">
        <f t="shared" si="439"/>
        <v>3.5336687086656722E-2</v>
      </c>
      <c r="BI592" s="197">
        <f t="shared" si="471"/>
        <v>0.44730899017824427</v>
      </c>
      <c r="BJ592" s="197">
        <f t="shared" si="440"/>
        <v>6.769615024661003</v>
      </c>
      <c r="BK592" s="288">
        <f t="shared" si="441"/>
        <v>0.93392401361838984</v>
      </c>
      <c r="BL592" s="197">
        <f t="shared" si="442"/>
        <v>0.37608972359227794</v>
      </c>
      <c r="BM592" s="197">
        <f t="shared" si="443"/>
        <v>7.4353030976985271E-2</v>
      </c>
      <c r="BN592" s="197">
        <f t="shared" si="444"/>
        <v>54.461181858619113</v>
      </c>
      <c r="BO592" s="197">
        <f t="shared" si="472"/>
        <v>0.2082789955950014</v>
      </c>
      <c r="BP592" s="197">
        <f t="shared" si="445"/>
        <v>65.620924669625111</v>
      </c>
      <c r="BQ592" s="197">
        <f t="shared" si="446"/>
        <v>9.9596940000000009E-2</v>
      </c>
      <c r="BR592" s="288">
        <f t="shared" si="447"/>
        <v>0.16008975919012108</v>
      </c>
      <c r="BS592" s="197">
        <f t="shared" si="448"/>
        <v>0.11660930017110901</v>
      </c>
      <c r="BT592" s="197">
        <f t="shared" si="449"/>
        <v>0.36419974881911377</v>
      </c>
      <c r="BU592" s="197">
        <f t="shared" si="450"/>
        <v>0.1713930788771201</v>
      </c>
      <c r="BV592" s="197">
        <f t="shared" si="451"/>
        <v>0.53530306917875781</v>
      </c>
      <c r="BW592" s="194"/>
      <c r="BX592" s="194"/>
      <c r="BY592" s="194"/>
      <c r="BZ592" s="194"/>
      <c r="CA592" s="194"/>
      <c r="CB592" s="194"/>
      <c r="CC592" s="194"/>
      <c r="CD592" s="194"/>
      <c r="CE592" s="194"/>
      <c r="CF592" s="194"/>
      <c r="CG592" s="194"/>
      <c r="CH592" s="194"/>
      <c r="CI592" s="194"/>
      <c r="CJ592" s="194"/>
      <c r="CK592" s="194"/>
      <c r="CL592" s="194"/>
      <c r="CM592" s="194"/>
      <c r="CN592" s="194"/>
      <c r="CO592" s="194"/>
      <c r="CP592" s="194"/>
      <c r="CQ592" s="194"/>
      <c r="CR592" s="194"/>
      <c r="CS592" s="194"/>
      <c r="CT592" s="194"/>
      <c r="CU592" s="194"/>
      <c r="CV592" s="194"/>
      <c r="CW592" s="194"/>
      <c r="CX592" s="194"/>
      <c r="CY592" s="194"/>
      <c r="CZ592" s="194"/>
      <c r="DA592" s="194"/>
      <c r="DB592" s="194"/>
      <c r="DC592" s="194"/>
      <c r="DD592" s="194"/>
      <c r="DE592" s="194"/>
      <c r="DF592" s="194"/>
    </row>
    <row r="593" spans="2:110" s="192" customFormat="1" hidden="1" x14ac:dyDescent="0.35">
      <c r="B593" s="289"/>
      <c r="C593" s="289"/>
      <c r="Q593" s="193"/>
      <c r="R593" s="194">
        <f t="shared" si="452"/>
        <v>18</v>
      </c>
      <c r="S593" s="197">
        <f t="shared" si="418"/>
        <v>0.3888888888888889</v>
      </c>
      <c r="T593" s="194">
        <f t="shared" si="473"/>
        <v>0.69</v>
      </c>
      <c r="U593" s="194">
        <f t="shared" si="474"/>
        <v>1.4999999999999999E-4</v>
      </c>
      <c r="V593" s="197">
        <f t="shared" si="453"/>
        <v>0.3888888888888889</v>
      </c>
      <c r="W593" s="197">
        <f t="shared" si="419"/>
        <v>4.3555555555555561E-3</v>
      </c>
      <c r="X593" s="286">
        <f t="shared" si="420"/>
        <v>1</v>
      </c>
      <c r="Y593" s="286">
        <f t="shared" si="421"/>
        <v>0.17335969315081967</v>
      </c>
      <c r="Z593" s="286">
        <f t="shared" si="422"/>
        <v>0.54964853345132902</v>
      </c>
      <c r="AA593" s="286">
        <f t="shared" si="454"/>
        <v>0.17335969315081967</v>
      </c>
      <c r="AB593" s="197">
        <f t="shared" si="423"/>
        <v>0.36419974881911377</v>
      </c>
      <c r="AC593" s="287">
        <f t="shared" si="424"/>
        <v>4.4451203372005044E-7</v>
      </c>
      <c r="AD593" s="197">
        <f t="shared" si="455"/>
        <v>11.693936048110356</v>
      </c>
      <c r="AE593" s="197">
        <f t="shared" si="456"/>
        <v>35.08180814433107</v>
      </c>
      <c r="AF593" s="197">
        <f t="shared" si="457"/>
        <v>8.5178571428571423E-2</v>
      </c>
      <c r="AG593" s="197">
        <f t="shared" si="458"/>
        <v>0.25553571428571431</v>
      </c>
      <c r="AH593" s="197">
        <f t="shared" si="425"/>
        <v>0.11660930017110901</v>
      </c>
      <c r="AI593" s="197">
        <f t="shared" si="459"/>
        <v>0.11660930017110901</v>
      </c>
      <c r="AJ593" s="218">
        <f t="shared" si="426"/>
        <v>390.00000000000006</v>
      </c>
      <c r="AK593" s="197">
        <f t="shared" si="460"/>
        <v>6.0930617977437734E-2</v>
      </c>
      <c r="AL593" s="197">
        <f t="shared" si="461"/>
        <v>9.6203707235237593E-2</v>
      </c>
      <c r="AM593" s="197">
        <f t="shared" si="462"/>
        <v>4.0790371867740751E-3</v>
      </c>
      <c r="AN593" s="197">
        <f t="shared" si="427"/>
        <v>24.05</v>
      </c>
      <c r="AO593" s="197">
        <f t="shared" si="428"/>
        <v>21.69</v>
      </c>
      <c r="AP593" s="197">
        <f t="shared" si="463"/>
        <v>7.4093290390420161E-2</v>
      </c>
      <c r="AQ593" s="197">
        <f t="shared" si="464"/>
        <v>0.42250439890466829</v>
      </c>
      <c r="AR593" s="197">
        <f t="shared" si="465"/>
        <v>0.30589509873355925</v>
      </c>
      <c r="AS593" s="258">
        <f t="shared" si="466"/>
        <v>0.15228632177729159</v>
      </c>
      <c r="AT593" s="197">
        <f t="shared" si="429"/>
        <v>2.5974058656511614E-4</v>
      </c>
      <c r="AU593" s="194">
        <f t="shared" si="430"/>
        <v>21.19</v>
      </c>
      <c r="AV593" s="197">
        <f t="shared" si="431"/>
        <v>2.7E-2</v>
      </c>
      <c r="AW593" s="197">
        <f t="shared" si="432"/>
        <v>3.4260000000000002E-3</v>
      </c>
      <c r="AX593" s="197">
        <f t="shared" si="467"/>
        <v>6.1668000000000001E-2</v>
      </c>
      <c r="AY593" s="197">
        <f t="shared" si="433"/>
        <v>2.8867476000000005E-3</v>
      </c>
      <c r="AZ593" s="197">
        <f t="shared" si="434"/>
        <v>0</v>
      </c>
      <c r="BA593" s="197">
        <f t="shared" si="468"/>
        <v>7.2596940000000013E-2</v>
      </c>
      <c r="BB593" s="258">
        <f t="shared" si="435"/>
        <v>0.36575210336206115</v>
      </c>
      <c r="BC593" s="197">
        <f t="shared" si="436"/>
        <v>2.2380490766334034E-2</v>
      </c>
      <c r="BD593" s="197">
        <f t="shared" si="469"/>
        <v>4.4760981532668068E-3</v>
      </c>
      <c r="BE593" s="197">
        <f t="shared" si="470"/>
        <v>2.6856588919600841E-2</v>
      </c>
      <c r="BF593" s="197">
        <f t="shared" si="437"/>
        <v>0.20773291256157633</v>
      </c>
      <c r="BG593" s="197">
        <f t="shared" si="438"/>
        <v>5.4608303342508187E-4</v>
      </c>
      <c r="BH593" s="197">
        <f t="shared" si="439"/>
        <v>3.5336687086656722E-2</v>
      </c>
      <c r="BI593" s="197">
        <f t="shared" si="471"/>
        <v>0.44730899017824427</v>
      </c>
      <c r="BJ593" s="197">
        <f t="shared" si="440"/>
        <v>6.769615024661003</v>
      </c>
      <c r="BK593" s="288">
        <f t="shared" si="441"/>
        <v>0.93392401361838984</v>
      </c>
      <c r="BL593" s="197">
        <f t="shared" si="442"/>
        <v>0.37608972359227794</v>
      </c>
      <c r="BM593" s="197">
        <f t="shared" si="443"/>
        <v>7.4353030976985271E-2</v>
      </c>
      <c r="BN593" s="197">
        <f t="shared" si="444"/>
        <v>54.461181858619113</v>
      </c>
      <c r="BO593" s="197">
        <f t="shared" si="472"/>
        <v>0.2082789955950014</v>
      </c>
      <c r="BP593" s="197">
        <f t="shared" si="445"/>
        <v>65.620924669625111</v>
      </c>
      <c r="BQ593" s="197">
        <f t="shared" si="446"/>
        <v>9.9596940000000009E-2</v>
      </c>
      <c r="BR593" s="288">
        <f t="shared" si="447"/>
        <v>0.16008975919012108</v>
      </c>
      <c r="BS593" s="197">
        <f t="shared" si="448"/>
        <v>0.11660930017110901</v>
      </c>
      <c r="BT593" s="197">
        <f t="shared" si="449"/>
        <v>0.36419974881911377</v>
      </c>
      <c r="BU593" s="197">
        <f t="shared" si="450"/>
        <v>0.1713930788771201</v>
      </c>
      <c r="BV593" s="197">
        <f t="shared" si="451"/>
        <v>0.53530306917875781</v>
      </c>
      <c r="BW593" s="194"/>
      <c r="BX593" s="194"/>
      <c r="BY593" s="194"/>
      <c r="BZ593" s="194"/>
      <c r="CA593" s="194"/>
      <c r="CB593" s="194"/>
      <c r="CC593" s="194"/>
      <c r="CD593" s="194"/>
      <c r="CE593" s="194"/>
      <c r="CF593" s="194"/>
      <c r="CG593" s="194"/>
      <c r="CH593" s="194"/>
      <c r="CI593" s="194"/>
      <c r="CJ593" s="194"/>
      <c r="CK593" s="194"/>
      <c r="CL593" s="194"/>
      <c r="CM593" s="194"/>
      <c r="CN593" s="194"/>
      <c r="CO593" s="194"/>
      <c r="CP593" s="194"/>
      <c r="CQ593" s="194"/>
      <c r="CR593" s="194"/>
      <c r="CS593" s="194"/>
      <c r="CT593" s="194"/>
      <c r="CU593" s="194"/>
      <c r="CV593" s="194"/>
      <c r="CW593" s="194"/>
      <c r="CX593" s="194"/>
      <c r="CY593" s="194"/>
      <c r="CZ593" s="194"/>
      <c r="DA593" s="194"/>
      <c r="DB593" s="194"/>
      <c r="DC593" s="194"/>
      <c r="DD593" s="194"/>
      <c r="DE593" s="194"/>
      <c r="DF593" s="194"/>
    </row>
    <row r="594" spans="2:110" s="192" customFormat="1" hidden="1" x14ac:dyDescent="0.35">
      <c r="B594" s="289"/>
      <c r="C594" s="289"/>
      <c r="Q594" s="193"/>
      <c r="R594" s="194">
        <f t="shared" si="452"/>
        <v>18</v>
      </c>
      <c r="S594" s="197">
        <f t="shared" si="418"/>
        <v>0.3888888888888889</v>
      </c>
      <c r="T594" s="194">
        <f t="shared" si="473"/>
        <v>0.69</v>
      </c>
      <c r="U594" s="194">
        <f t="shared" si="474"/>
        <v>1.4999999999999999E-4</v>
      </c>
      <c r="V594" s="197">
        <f t="shared" si="453"/>
        <v>0.3888888888888889</v>
      </c>
      <c r="W594" s="197">
        <f t="shared" si="419"/>
        <v>4.3555555555555561E-3</v>
      </c>
      <c r="X594" s="286">
        <f t="shared" si="420"/>
        <v>1</v>
      </c>
      <c r="Y594" s="286">
        <f t="shared" si="421"/>
        <v>0.17335969315081967</v>
      </c>
      <c r="Z594" s="286">
        <f t="shared" si="422"/>
        <v>0.54964853345132902</v>
      </c>
      <c r="AA594" s="286">
        <f t="shared" si="454"/>
        <v>0.17335969315081967</v>
      </c>
      <c r="AB594" s="197">
        <f t="shared" si="423"/>
        <v>0.36419974881911377</v>
      </c>
      <c r="AC594" s="287">
        <f t="shared" si="424"/>
        <v>4.4451203372005044E-7</v>
      </c>
      <c r="AD594" s="197">
        <f t="shared" si="455"/>
        <v>11.693936048110356</v>
      </c>
      <c r="AE594" s="197">
        <f t="shared" si="456"/>
        <v>35.08180814433107</v>
      </c>
      <c r="AF594" s="197">
        <f t="shared" si="457"/>
        <v>8.5178571428571423E-2</v>
      </c>
      <c r="AG594" s="197">
        <f t="shared" si="458"/>
        <v>0.25553571428571431</v>
      </c>
      <c r="AH594" s="197">
        <f t="shared" si="425"/>
        <v>0.11660930017110901</v>
      </c>
      <c r="AI594" s="197">
        <f t="shared" si="459"/>
        <v>0.11660930017110901</v>
      </c>
      <c r="AJ594" s="218">
        <f t="shared" si="426"/>
        <v>390.00000000000006</v>
      </c>
      <c r="AK594" s="197">
        <f t="shared" si="460"/>
        <v>6.0930617977437734E-2</v>
      </c>
      <c r="AL594" s="197">
        <f t="shared" si="461"/>
        <v>9.6203707235237593E-2</v>
      </c>
      <c r="AM594" s="197">
        <f t="shared" si="462"/>
        <v>4.0790371867740751E-3</v>
      </c>
      <c r="AN594" s="197">
        <f t="shared" si="427"/>
        <v>24.05</v>
      </c>
      <c r="AO594" s="197">
        <f t="shared" si="428"/>
        <v>21.69</v>
      </c>
      <c r="AP594" s="197">
        <f t="shared" si="463"/>
        <v>7.4093290390420161E-2</v>
      </c>
      <c r="AQ594" s="197">
        <f t="shared" si="464"/>
        <v>0.42250439890466829</v>
      </c>
      <c r="AR594" s="197">
        <f t="shared" si="465"/>
        <v>0.30589509873355925</v>
      </c>
      <c r="AS594" s="258">
        <f t="shared" si="466"/>
        <v>0.15228632177729159</v>
      </c>
      <c r="AT594" s="197">
        <f t="shared" si="429"/>
        <v>2.5974058656511614E-4</v>
      </c>
      <c r="AU594" s="194">
        <f t="shared" si="430"/>
        <v>21.19</v>
      </c>
      <c r="AV594" s="197">
        <f t="shared" si="431"/>
        <v>2.7E-2</v>
      </c>
      <c r="AW594" s="197">
        <f t="shared" si="432"/>
        <v>3.4260000000000002E-3</v>
      </c>
      <c r="AX594" s="197">
        <f t="shared" si="467"/>
        <v>6.1668000000000001E-2</v>
      </c>
      <c r="AY594" s="197">
        <f t="shared" si="433"/>
        <v>2.8867476000000005E-3</v>
      </c>
      <c r="AZ594" s="197">
        <f t="shared" si="434"/>
        <v>0</v>
      </c>
      <c r="BA594" s="197">
        <f t="shared" si="468"/>
        <v>7.2596940000000013E-2</v>
      </c>
      <c r="BB594" s="258">
        <f t="shared" si="435"/>
        <v>0.36575210336206115</v>
      </c>
      <c r="BC594" s="197">
        <f t="shared" si="436"/>
        <v>2.2380490766334034E-2</v>
      </c>
      <c r="BD594" s="197">
        <f t="shared" si="469"/>
        <v>4.4760981532668068E-3</v>
      </c>
      <c r="BE594" s="197">
        <f t="shared" si="470"/>
        <v>2.6856588919600841E-2</v>
      </c>
      <c r="BF594" s="197">
        <f t="shared" si="437"/>
        <v>0.20773291256157633</v>
      </c>
      <c r="BG594" s="197">
        <f t="shared" si="438"/>
        <v>5.4608303342508187E-4</v>
      </c>
      <c r="BH594" s="197">
        <f t="shared" si="439"/>
        <v>3.5336687086656722E-2</v>
      </c>
      <c r="BI594" s="197">
        <f t="shared" si="471"/>
        <v>0.44730899017824427</v>
      </c>
      <c r="BJ594" s="197">
        <f t="shared" si="440"/>
        <v>6.769615024661003</v>
      </c>
      <c r="BK594" s="288">
        <f t="shared" si="441"/>
        <v>0.93392401361838984</v>
      </c>
      <c r="BL594" s="197">
        <f t="shared" si="442"/>
        <v>0.37608972359227794</v>
      </c>
      <c r="BM594" s="197">
        <f t="shared" si="443"/>
        <v>7.4353030976985271E-2</v>
      </c>
      <c r="BN594" s="197">
        <f t="shared" si="444"/>
        <v>54.461181858619113</v>
      </c>
      <c r="BO594" s="197">
        <f t="shared" si="472"/>
        <v>0.2082789955950014</v>
      </c>
      <c r="BP594" s="197">
        <f t="shared" si="445"/>
        <v>65.620924669625111</v>
      </c>
      <c r="BQ594" s="197">
        <f t="shared" si="446"/>
        <v>9.9596940000000009E-2</v>
      </c>
      <c r="BR594" s="288">
        <f t="shared" si="447"/>
        <v>0.16008975919012108</v>
      </c>
      <c r="BS594" s="197">
        <f t="shared" si="448"/>
        <v>0.11660930017110901</v>
      </c>
      <c r="BT594" s="197">
        <f t="shared" si="449"/>
        <v>0.36419974881911377</v>
      </c>
      <c r="BU594" s="197">
        <f t="shared" si="450"/>
        <v>0.1713930788771201</v>
      </c>
      <c r="BV594" s="197">
        <f t="shared" si="451"/>
        <v>0.53530306917875781</v>
      </c>
      <c r="BW594" s="194"/>
      <c r="BX594" s="194"/>
      <c r="BY594" s="194"/>
      <c r="BZ594" s="194"/>
      <c r="CA594" s="194"/>
      <c r="CB594" s="194"/>
      <c r="CC594" s="194"/>
      <c r="CD594" s="194"/>
      <c r="CE594" s="194"/>
      <c r="CF594" s="194"/>
      <c r="CG594" s="194"/>
      <c r="CH594" s="194"/>
      <c r="CI594" s="194"/>
      <c r="CJ594" s="194"/>
      <c r="CK594" s="194"/>
      <c r="CL594" s="194"/>
      <c r="CM594" s="194"/>
      <c r="CN594" s="194"/>
      <c r="CO594" s="194"/>
      <c r="CP594" s="194"/>
      <c r="CQ594" s="194"/>
      <c r="CR594" s="194"/>
      <c r="CS594" s="194"/>
      <c r="CT594" s="194"/>
      <c r="CU594" s="194"/>
      <c r="CV594" s="194"/>
      <c r="CW594" s="194"/>
      <c r="CX594" s="194"/>
      <c r="CY594" s="194"/>
      <c r="CZ594" s="194"/>
      <c r="DA594" s="194"/>
      <c r="DB594" s="194"/>
      <c r="DC594" s="194"/>
      <c r="DD594" s="194"/>
      <c r="DE594" s="194"/>
      <c r="DF594" s="194"/>
    </row>
    <row r="595" spans="2:110" s="192" customFormat="1" hidden="1" x14ac:dyDescent="0.35">
      <c r="B595" s="289"/>
      <c r="C595" s="289"/>
      <c r="Q595" s="193"/>
      <c r="R595" s="194">
        <f t="shared" si="452"/>
        <v>18</v>
      </c>
      <c r="S595" s="197">
        <f t="shared" si="418"/>
        <v>0.3888888888888889</v>
      </c>
      <c r="T595" s="194">
        <f t="shared" si="473"/>
        <v>0.69</v>
      </c>
      <c r="U595" s="194">
        <f t="shared" si="474"/>
        <v>1.4999999999999999E-4</v>
      </c>
      <c r="V595" s="197">
        <f t="shared" si="453"/>
        <v>0.3888888888888889</v>
      </c>
      <c r="W595" s="197">
        <f t="shared" si="419"/>
        <v>4.3555555555555561E-3</v>
      </c>
      <c r="X595" s="286">
        <f t="shared" si="420"/>
        <v>1</v>
      </c>
      <c r="Y595" s="286">
        <f t="shared" si="421"/>
        <v>0.17335969315081967</v>
      </c>
      <c r="Z595" s="286">
        <f t="shared" si="422"/>
        <v>0.54964853345132902</v>
      </c>
      <c r="AA595" s="286">
        <f t="shared" si="454"/>
        <v>0.17335969315081967</v>
      </c>
      <c r="AB595" s="197">
        <f t="shared" si="423"/>
        <v>0.36419974881911377</v>
      </c>
      <c r="AC595" s="287">
        <f t="shared" si="424"/>
        <v>4.4451203372005044E-7</v>
      </c>
      <c r="AD595" s="197">
        <f t="shared" si="455"/>
        <v>11.693936048110356</v>
      </c>
      <c r="AE595" s="197">
        <f t="shared" si="456"/>
        <v>35.08180814433107</v>
      </c>
      <c r="AF595" s="197">
        <f t="shared" si="457"/>
        <v>8.5178571428571423E-2</v>
      </c>
      <c r="AG595" s="197">
        <f t="shared" si="458"/>
        <v>0.25553571428571431</v>
      </c>
      <c r="AH595" s="197">
        <f t="shared" si="425"/>
        <v>0.11660930017110901</v>
      </c>
      <c r="AI595" s="197">
        <f t="shared" si="459"/>
        <v>0.11660930017110901</v>
      </c>
      <c r="AJ595" s="218">
        <f t="shared" si="426"/>
        <v>390.00000000000006</v>
      </c>
      <c r="AK595" s="197">
        <f t="shared" si="460"/>
        <v>6.0930617977437734E-2</v>
      </c>
      <c r="AL595" s="197">
        <f t="shared" si="461"/>
        <v>9.6203707235237593E-2</v>
      </c>
      <c r="AM595" s="197">
        <f t="shared" si="462"/>
        <v>4.0790371867740751E-3</v>
      </c>
      <c r="AN595" s="197">
        <f t="shared" si="427"/>
        <v>24.05</v>
      </c>
      <c r="AO595" s="197">
        <f t="shared" si="428"/>
        <v>21.69</v>
      </c>
      <c r="AP595" s="197">
        <f t="shared" si="463"/>
        <v>7.4093290390420161E-2</v>
      </c>
      <c r="AQ595" s="197">
        <f t="shared" si="464"/>
        <v>0.42250439890466829</v>
      </c>
      <c r="AR595" s="197">
        <f t="shared" si="465"/>
        <v>0.30589509873355925</v>
      </c>
      <c r="AS595" s="258">
        <f t="shared" si="466"/>
        <v>0.15228632177729159</v>
      </c>
      <c r="AT595" s="197">
        <f t="shared" si="429"/>
        <v>2.5974058656511614E-4</v>
      </c>
      <c r="AU595" s="194">
        <f t="shared" si="430"/>
        <v>21.19</v>
      </c>
      <c r="AV595" s="197">
        <f t="shared" si="431"/>
        <v>2.7E-2</v>
      </c>
      <c r="AW595" s="197">
        <f t="shared" si="432"/>
        <v>3.4260000000000002E-3</v>
      </c>
      <c r="AX595" s="197">
        <f t="shared" si="467"/>
        <v>6.1668000000000001E-2</v>
      </c>
      <c r="AY595" s="197">
        <f t="shared" si="433"/>
        <v>2.8867476000000005E-3</v>
      </c>
      <c r="AZ595" s="197">
        <f t="shared" si="434"/>
        <v>0</v>
      </c>
      <c r="BA595" s="197">
        <f t="shared" si="468"/>
        <v>7.2596940000000013E-2</v>
      </c>
      <c r="BB595" s="258">
        <f t="shared" si="435"/>
        <v>0.36575210336206115</v>
      </c>
      <c r="BC595" s="197">
        <f t="shared" si="436"/>
        <v>2.2380490766334034E-2</v>
      </c>
      <c r="BD595" s="197">
        <f t="shared" si="469"/>
        <v>4.4760981532668068E-3</v>
      </c>
      <c r="BE595" s="197">
        <f t="shared" si="470"/>
        <v>2.6856588919600841E-2</v>
      </c>
      <c r="BF595" s="197">
        <f t="shared" si="437"/>
        <v>0.20773291256157633</v>
      </c>
      <c r="BG595" s="197">
        <f t="shared" si="438"/>
        <v>5.4608303342508187E-4</v>
      </c>
      <c r="BH595" s="197">
        <f t="shared" si="439"/>
        <v>3.5336687086656722E-2</v>
      </c>
      <c r="BI595" s="197">
        <f t="shared" si="471"/>
        <v>0.44730899017824427</v>
      </c>
      <c r="BJ595" s="197">
        <f t="shared" si="440"/>
        <v>6.769615024661003</v>
      </c>
      <c r="BK595" s="288">
        <f t="shared" si="441"/>
        <v>0.93392401361838984</v>
      </c>
      <c r="BL595" s="197">
        <f t="shared" si="442"/>
        <v>0.37608972359227794</v>
      </c>
      <c r="BM595" s="197">
        <f t="shared" si="443"/>
        <v>7.4353030976985271E-2</v>
      </c>
      <c r="BN595" s="197">
        <f t="shared" si="444"/>
        <v>54.461181858619113</v>
      </c>
      <c r="BO595" s="197">
        <f t="shared" si="472"/>
        <v>0.2082789955950014</v>
      </c>
      <c r="BP595" s="197">
        <f t="shared" si="445"/>
        <v>65.620924669625111</v>
      </c>
      <c r="BQ595" s="197">
        <f t="shared" si="446"/>
        <v>9.9596940000000009E-2</v>
      </c>
      <c r="BR595" s="288">
        <f t="shared" si="447"/>
        <v>0.16008975919012108</v>
      </c>
      <c r="BS595" s="197">
        <f t="shared" si="448"/>
        <v>0.11660930017110901</v>
      </c>
      <c r="BT595" s="197">
        <f t="shared" si="449"/>
        <v>0.36419974881911377</v>
      </c>
      <c r="BU595" s="197">
        <f t="shared" si="450"/>
        <v>0.1713930788771201</v>
      </c>
      <c r="BV595" s="197">
        <f t="shared" si="451"/>
        <v>0.53530306917875781</v>
      </c>
      <c r="BW595" s="194"/>
      <c r="BX595" s="194"/>
      <c r="BY595" s="194"/>
      <c r="BZ595" s="194"/>
      <c r="CA595" s="194"/>
      <c r="CB595" s="194"/>
      <c r="CC595" s="194"/>
      <c r="CD595" s="194"/>
      <c r="CE595" s="194"/>
      <c r="CF595" s="194"/>
      <c r="CG595" s="194"/>
      <c r="CH595" s="194"/>
      <c r="CI595" s="194"/>
      <c r="CJ595" s="194"/>
      <c r="CK595" s="194"/>
      <c r="CL595" s="194"/>
      <c r="CM595" s="194"/>
      <c r="CN595" s="194"/>
      <c r="CO595" s="194"/>
      <c r="CP595" s="194"/>
      <c r="CQ595" s="194"/>
      <c r="CR595" s="194"/>
      <c r="CS595" s="194"/>
      <c r="CT595" s="194"/>
      <c r="CU595" s="194"/>
      <c r="CV595" s="194"/>
      <c r="CW595" s="194"/>
      <c r="CX595" s="194"/>
      <c r="CY595" s="194"/>
      <c r="CZ595" s="194"/>
      <c r="DA595" s="194"/>
      <c r="DB595" s="194"/>
      <c r="DC595" s="194"/>
      <c r="DD595" s="194"/>
      <c r="DE595" s="194"/>
      <c r="DF595" s="194"/>
    </row>
    <row r="596" spans="2:110" s="192" customFormat="1" hidden="1" x14ac:dyDescent="0.35">
      <c r="B596" s="289"/>
      <c r="C596" s="289"/>
      <c r="Q596" s="193"/>
      <c r="R596" s="194">
        <f t="shared" si="452"/>
        <v>18</v>
      </c>
      <c r="S596" s="197">
        <f t="shared" si="418"/>
        <v>0.3888888888888889</v>
      </c>
      <c r="T596" s="194">
        <f t="shared" si="473"/>
        <v>0.69</v>
      </c>
      <c r="U596" s="194">
        <f t="shared" si="474"/>
        <v>1.4999999999999999E-4</v>
      </c>
      <c r="V596" s="197">
        <f t="shared" si="453"/>
        <v>0.3888888888888889</v>
      </c>
      <c r="W596" s="197">
        <f t="shared" si="419"/>
        <v>4.3555555555555561E-3</v>
      </c>
      <c r="X596" s="286">
        <f t="shared" si="420"/>
        <v>1</v>
      </c>
      <c r="Y596" s="286">
        <f t="shared" si="421"/>
        <v>0.17335969315081967</v>
      </c>
      <c r="Z596" s="286">
        <f t="shared" si="422"/>
        <v>0.54964853345132902</v>
      </c>
      <c r="AA596" s="286">
        <f t="shared" si="454"/>
        <v>0.17335969315081967</v>
      </c>
      <c r="AB596" s="197">
        <f t="shared" si="423"/>
        <v>0.36419974881911377</v>
      </c>
      <c r="AC596" s="287">
        <f t="shared" si="424"/>
        <v>4.4451203372005044E-7</v>
      </c>
      <c r="AD596" s="197">
        <f t="shared" si="455"/>
        <v>11.693936048110356</v>
      </c>
      <c r="AE596" s="197">
        <f t="shared" si="456"/>
        <v>35.08180814433107</v>
      </c>
      <c r="AF596" s="197">
        <f t="shared" si="457"/>
        <v>8.5178571428571423E-2</v>
      </c>
      <c r="AG596" s="197">
        <f t="shared" si="458"/>
        <v>0.25553571428571431</v>
      </c>
      <c r="AH596" s="197">
        <f t="shared" si="425"/>
        <v>0.11660930017110901</v>
      </c>
      <c r="AI596" s="197">
        <f t="shared" si="459"/>
        <v>0.11660930017110901</v>
      </c>
      <c r="AJ596" s="218">
        <f t="shared" si="426"/>
        <v>390.00000000000006</v>
      </c>
      <c r="AK596" s="197">
        <f t="shared" si="460"/>
        <v>6.0930617977437734E-2</v>
      </c>
      <c r="AL596" s="197">
        <f t="shared" si="461"/>
        <v>9.6203707235237593E-2</v>
      </c>
      <c r="AM596" s="197">
        <f t="shared" si="462"/>
        <v>4.0790371867740751E-3</v>
      </c>
      <c r="AN596" s="197">
        <f t="shared" si="427"/>
        <v>24.05</v>
      </c>
      <c r="AO596" s="197">
        <f t="shared" si="428"/>
        <v>21.69</v>
      </c>
      <c r="AP596" s="197">
        <f t="shared" si="463"/>
        <v>7.4093290390420161E-2</v>
      </c>
      <c r="AQ596" s="197">
        <f t="shared" si="464"/>
        <v>0.42250439890466829</v>
      </c>
      <c r="AR596" s="197">
        <f t="shared" si="465"/>
        <v>0.30589509873355925</v>
      </c>
      <c r="AS596" s="258">
        <f t="shared" si="466"/>
        <v>0.15228632177729159</v>
      </c>
      <c r="AT596" s="197">
        <f t="shared" si="429"/>
        <v>2.5974058656511614E-4</v>
      </c>
      <c r="AU596" s="194">
        <f t="shared" si="430"/>
        <v>21.19</v>
      </c>
      <c r="AV596" s="197">
        <f t="shared" si="431"/>
        <v>2.7E-2</v>
      </c>
      <c r="AW596" s="197">
        <f t="shared" si="432"/>
        <v>3.4260000000000002E-3</v>
      </c>
      <c r="AX596" s="197">
        <f t="shared" si="467"/>
        <v>6.1668000000000001E-2</v>
      </c>
      <c r="AY596" s="197">
        <f t="shared" si="433"/>
        <v>2.8867476000000005E-3</v>
      </c>
      <c r="AZ596" s="197">
        <f t="shared" si="434"/>
        <v>0</v>
      </c>
      <c r="BA596" s="197">
        <f t="shared" si="468"/>
        <v>7.2596940000000013E-2</v>
      </c>
      <c r="BB596" s="258">
        <f t="shared" si="435"/>
        <v>0.36575210336206115</v>
      </c>
      <c r="BC596" s="197">
        <f t="shared" si="436"/>
        <v>2.2380490766334034E-2</v>
      </c>
      <c r="BD596" s="197">
        <f t="shared" si="469"/>
        <v>4.4760981532668068E-3</v>
      </c>
      <c r="BE596" s="197">
        <f t="shared" si="470"/>
        <v>2.6856588919600841E-2</v>
      </c>
      <c r="BF596" s="197">
        <f t="shared" si="437"/>
        <v>0.20773291256157633</v>
      </c>
      <c r="BG596" s="197">
        <f t="shared" si="438"/>
        <v>5.4608303342508187E-4</v>
      </c>
      <c r="BH596" s="197">
        <f t="shared" si="439"/>
        <v>3.5336687086656722E-2</v>
      </c>
      <c r="BI596" s="197">
        <f t="shared" si="471"/>
        <v>0.44730899017824427</v>
      </c>
      <c r="BJ596" s="197">
        <f t="shared" si="440"/>
        <v>6.769615024661003</v>
      </c>
      <c r="BK596" s="288">
        <f t="shared" si="441"/>
        <v>0.93392401361838984</v>
      </c>
      <c r="BL596" s="197">
        <f t="shared" si="442"/>
        <v>0.37608972359227794</v>
      </c>
      <c r="BM596" s="197">
        <f t="shared" si="443"/>
        <v>7.4353030976985271E-2</v>
      </c>
      <c r="BN596" s="197">
        <f t="shared" si="444"/>
        <v>54.461181858619113</v>
      </c>
      <c r="BO596" s="197">
        <f t="shared" si="472"/>
        <v>0.2082789955950014</v>
      </c>
      <c r="BP596" s="197">
        <f t="shared" si="445"/>
        <v>65.620924669625111</v>
      </c>
      <c r="BQ596" s="197">
        <f t="shared" si="446"/>
        <v>9.9596940000000009E-2</v>
      </c>
      <c r="BR596" s="288">
        <f t="shared" si="447"/>
        <v>0.16008975919012108</v>
      </c>
      <c r="BS596" s="197">
        <f t="shared" si="448"/>
        <v>0.11660930017110901</v>
      </c>
      <c r="BT596" s="197">
        <f t="shared" si="449"/>
        <v>0.36419974881911377</v>
      </c>
      <c r="BU596" s="197">
        <f t="shared" si="450"/>
        <v>0.1713930788771201</v>
      </c>
      <c r="BV596" s="197">
        <f t="shared" si="451"/>
        <v>0.53530306917875781</v>
      </c>
      <c r="BW596" s="194"/>
      <c r="BX596" s="194"/>
      <c r="BY596" s="194"/>
      <c r="BZ596" s="194"/>
      <c r="CA596" s="194"/>
      <c r="CB596" s="194"/>
      <c r="CC596" s="194"/>
      <c r="CD596" s="194"/>
      <c r="CE596" s="194"/>
      <c r="CF596" s="194"/>
      <c r="CG596" s="194"/>
      <c r="CH596" s="194"/>
      <c r="CI596" s="194"/>
      <c r="CJ596" s="194"/>
      <c r="CK596" s="194"/>
      <c r="CL596" s="194"/>
      <c r="CM596" s="194"/>
      <c r="CN596" s="194"/>
      <c r="CO596" s="194"/>
      <c r="CP596" s="194"/>
      <c r="CQ596" s="194"/>
      <c r="CR596" s="194"/>
      <c r="CS596" s="194"/>
      <c r="CT596" s="194"/>
      <c r="CU596" s="194"/>
      <c r="CV596" s="194"/>
      <c r="CW596" s="194"/>
      <c r="CX596" s="194"/>
      <c r="CY596" s="194"/>
      <c r="CZ596" s="194"/>
      <c r="DA596" s="194"/>
      <c r="DB596" s="194"/>
      <c r="DC596" s="194"/>
      <c r="DD596" s="194"/>
      <c r="DE596" s="194"/>
      <c r="DF596" s="194"/>
    </row>
    <row r="597" spans="2:110" s="192" customFormat="1" hidden="1" x14ac:dyDescent="0.35">
      <c r="B597" s="289"/>
      <c r="C597" s="289"/>
      <c r="Q597" s="193"/>
      <c r="R597" s="194">
        <f t="shared" si="452"/>
        <v>18</v>
      </c>
      <c r="S597" s="197">
        <f t="shared" si="418"/>
        <v>0.3888888888888889</v>
      </c>
      <c r="T597" s="194">
        <f t="shared" si="473"/>
        <v>0.69</v>
      </c>
      <c r="U597" s="194">
        <f t="shared" si="474"/>
        <v>1.4999999999999999E-4</v>
      </c>
      <c r="V597" s="197">
        <f t="shared" si="453"/>
        <v>0.3888888888888889</v>
      </c>
      <c r="W597" s="197">
        <f t="shared" si="419"/>
        <v>4.3555555555555561E-3</v>
      </c>
      <c r="X597" s="286">
        <f t="shared" si="420"/>
        <v>1</v>
      </c>
      <c r="Y597" s="286">
        <f t="shared" si="421"/>
        <v>0.17335969315081967</v>
      </c>
      <c r="Z597" s="286">
        <f t="shared" si="422"/>
        <v>0.54964853345132902</v>
      </c>
      <c r="AA597" s="286">
        <f t="shared" si="454"/>
        <v>0.17335969315081967</v>
      </c>
      <c r="AB597" s="197">
        <f t="shared" si="423"/>
        <v>0.36419974881911377</v>
      </c>
      <c r="AC597" s="287">
        <f t="shared" si="424"/>
        <v>4.4451203372005044E-7</v>
      </c>
      <c r="AD597" s="197">
        <f t="shared" si="455"/>
        <v>11.693936048110356</v>
      </c>
      <c r="AE597" s="197">
        <f t="shared" si="456"/>
        <v>35.08180814433107</v>
      </c>
      <c r="AF597" s="197">
        <f t="shared" si="457"/>
        <v>8.5178571428571423E-2</v>
      </c>
      <c r="AG597" s="197">
        <f t="shared" si="458"/>
        <v>0.25553571428571431</v>
      </c>
      <c r="AH597" s="197">
        <f t="shared" si="425"/>
        <v>0.11660930017110901</v>
      </c>
      <c r="AI597" s="197">
        <f t="shared" si="459"/>
        <v>0.11660930017110901</v>
      </c>
      <c r="AJ597" s="218">
        <f t="shared" si="426"/>
        <v>390.00000000000006</v>
      </c>
      <c r="AK597" s="197">
        <f t="shared" si="460"/>
        <v>6.0930617977437734E-2</v>
      </c>
      <c r="AL597" s="197">
        <f t="shared" si="461"/>
        <v>9.6203707235237593E-2</v>
      </c>
      <c r="AM597" s="197">
        <f t="shared" si="462"/>
        <v>4.0790371867740751E-3</v>
      </c>
      <c r="AN597" s="197">
        <f t="shared" si="427"/>
        <v>24.05</v>
      </c>
      <c r="AO597" s="197">
        <f t="shared" si="428"/>
        <v>21.69</v>
      </c>
      <c r="AP597" s="197">
        <f t="shared" si="463"/>
        <v>7.4093290390420161E-2</v>
      </c>
      <c r="AQ597" s="197">
        <f t="shared" si="464"/>
        <v>0.42250439890466829</v>
      </c>
      <c r="AR597" s="197">
        <f t="shared" si="465"/>
        <v>0.30589509873355925</v>
      </c>
      <c r="AS597" s="258">
        <f t="shared" si="466"/>
        <v>0.15228632177729159</v>
      </c>
      <c r="AT597" s="197">
        <f t="shared" si="429"/>
        <v>2.5974058656511614E-4</v>
      </c>
      <c r="AU597" s="194">
        <f t="shared" si="430"/>
        <v>21.19</v>
      </c>
      <c r="AV597" s="197">
        <f t="shared" si="431"/>
        <v>2.7E-2</v>
      </c>
      <c r="AW597" s="197">
        <f t="shared" si="432"/>
        <v>3.4260000000000002E-3</v>
      </c>
      <c r="AX597" s="197">
        <f t="shared" si="467"/>
        <v>6.1668000000000001E-2</v>
      </c>
      <c r="AY597" s="197">
        <f t="shared" si="433"/>
        <v>2.8867476000000005E-3</v>
      </c>
      <c r="AZ597" s="197">
        <f t="shared" si="434"/>
        <v>0</v>
      </c>
      <c r="BA597" s="197">
        <f t="shared" si="468"/>
        <v>7.2596940000000013E-2</v>
      </c>
      <c r="BB597" s="258">
        <f t="shared" si="435"/>
        <v>0.36575210336206115</v>
      </c>
      <c r="BC597" s="197">
        <f t="shared" si="436"/>
        <v>2.2380490766334034E-2</v>
      </c>
      <c r="BD597" s="197">
        <f t="shared" si="469"/>
        <v>4.4760981532668068E-3</v>
      </c>
      <c r="BE597" s="197">
        <f t="shared" si="470"/>
        <v>2.6856588919600841E-2</v>
      </c>
      <c r="BF597" s="197">
        <f t="shared" si="437"/>
        <v>0.20773291256157633</v>
      </c>
      <c r="BG597" s="197">
        <f t="shared" si="438"/>
        <v>5.4608303342508187E-4</v>
      </c>
      <c r="BH597" s="197">
        <f t="shared" si="439"/>
        <v>3.5336687086656722E-2</v>
      </c>
      <c r="BI597" s="197">
        <f t="shared" si="471"/>
        <v>0.44730899017824427</v>
      </c>
      <c r="BJ597" s="197">
        <f t="shared" si="440"/>
        <v>6.769615024661003</v>
      </c>
      <c r="BK597" s="288">
        <f t="shared" si="441"/>
        <v>0.93392401361838984</v>
      </c>
      <c r="BL597" s="197">
        <f t="shared" si="442"/>
        <v>0.37608972359227794</v>
      </c>
      <c r="BM597" s="197">
        <f t="shared" si="443"/>
        <v>7.4353030976985271E-2</v>
      </c>
      <c r="BN597" s="197">
        <f t="shared" si="444"/>
        <v>54.461181858619113</v>
      </c>
      <c r="BO597" s="197">
        <f t="shared" si="472"/>
        <v>0.2082789955950014</v>
      </c>
      <c r="BP597" s="197">
        <f t="shared" si="445"/>
        <v>65.620924669625111</v>
      </c>
      <c r="BQ597" s="197">
        <f t="shared" si="446"/>
        <v>9.9596940000000009E-2</v>
      </c>
      <c r="BR597" s="288">
        <f t="shared" si="447"/>
        <v>0.16008975919012108</v>
      </c>
      <c r="BS597" s="197">
        <f t="shared" si="448"/>
        <v>0.11660930017110901</v>
      </c>
      <c r="BT597" s="197">
        <f t="shared" si="449"/>
        <v>0.36419974881911377</v>
      </c>
      <c r="BU597" s="197">
        <f t="shared" si="450"/>
        <v>0.1713930788771201</v>
      </c>
      <c r="BV597" s="197">
        <f t="shared" si="451"/>
        <v>0.53530306917875781</v>
      </c>
      <c r="BW597" s="194"/>
      <c r="BX597" s="194"/>
      <c r="BY597" s="194"/>
      <c r="BZ597" s="194"/>
      <c r="CA597" s="194"/>
      <c r="CB597" s="194"/>
      <c r="CC597" s="194"/>
      <c r="CD597" s="194"/>
      <c r="CE597" s="194"/>
      <c r="CF597" s="194"/>
      <c r="CG597" s="194"/>
      <c r="CH597" s="194"/>
      <c r="CI597" s="194"/>
      <c r="CJ597" s="194"/>
      <c r="CK597" s="194"/>
      <c r="CL597" s="194"/>
      <c r="CM597" s="194"/>
      <c r="CN597" s="194"/>
      <c r="CO597" s="194"/>
      <c r="CP597" s="194"/>
      <c r="CQ597" s="194"/>
      <c r="CR597" s="194"/>
      <c r="CS597" s="194"/>
      <c r="CT597" s="194"/>
      <c r="CU597" s="194"/>
      <c r="CV597" s="194"/>
      <c r="CW597" s="194"/>
      <c r="CX597" s="194"/>
      <c r="CY597" s="194"/>
      <c r="CZ597" s="194"/>
      <c r="DA597" s="194"/>
      <c r="DB597" s="194"/>
      <c r="DC597" s="194"/>
      <c r="DD597" s="194"/>
      <c r="DE597" s="194"/>
      <c r="DF597" s="194"/>
    </row>
    <row r="598" spans="2:110" s="192" customFormat="1" hidden="1" x14ac:dyDescent="0.35">
      <c r="B598" s="289"/>
      <c r="C598" s="289"/>
      <c r="Q598" s="193"/>
      <c r="R598" s="194">
        <f t="shared" si="452"/>
        <v>18</v>
      </c>
      <c r="S598" s="197">
        <f t="shared" si="418"/>
        <v>0.3888888888888889</v>
      </c>
      <c r="T598" s="194">
        <f t="shared" si="473"/>
        <v>0.69</v>
      </c>
      <c r="U598" s="194">
        <f t="shared" si="474"/>
        <v>1.4999999999999999E-4</v>
      </c>
      <c r="V598" s="197">
        <f t="shared" si="453"/>
        <v>0.3888888888888889</v>
      </c>
      <c r="W598" s="197">
        <f t="shared" si="419"/>
        <v>4.3555555555555561E-3</v>
      </c>
      <c r="X598" s="286">
        <f t="shared" si="420"/>
        <v>1</v>
      </c>
      <c r="Y598" s="286">
        <f t="shared" si="421"/>
        <v>0.17335969315081967</v>
      </c>
      <c r="Z598" s="286">
        <f t="shared" si="422"/>
        <v>0.54964853345132902</v>
      </c>
      <c r="AA598" s="286">
        <f t="shared" si="454"/>
        <v>0.17335969315081967</v>
      </c>
      <c r="AB598" s="197">
        <f t="shared" si="423"/>
        <v>0.36419974881911377</v>
      </c>
      <c r="AC598" s="287">
        <f t="shared" si="424"/>
        <v>4.4451203372005044E-7</v>
      </c>
      <c r="AD598" s="197">
        <f t="shared" si="455"/>
        <v>11.693936048110356</v>
      </c>
      <c r="AE598" s="197">
        <f t="shared" si="456"/>
        <v>35.08180814433107</v>
      </c>
      <c r="AF598" s="197">
        <f t="shared" si="457"/>
        <v>8.5178571428571423E-2</v>
      </c>
      <c r="AG598" s="197">
        <f t="shared" si="458"/>
        <v>0.25553571428571431</v>
      </c>
      <c r="AH598" s="197">
        <f t="shared" si="425"/>
        <v>0.11660930017110901</v>
      </c>
      <c r="AI598" s="197">
        <f t="shared" si="459"/>
        <v>0.11660930017110901</v>
      </c>
      <c r="AJ598" s="218">
        <f t="shared" si="426"/>
        <v>390.00000000000006</v>
      </c>
      <c r="AK598" s="197">
        <f t="shared" si="460"/>
        <v>6.0930617977437734E-2</v>
      </c>
      <c r="AL598" s="197">
        <f t="shared" si="461"/>
        <v>9.6203707235237593E-2</v>
      </c>
      <c r="AM598" s="197">
        <f t="shared" si="462"/>
        <v>4.0790371867740751E-3</v>
      </c>
      <c r="AN598" s="197">
        <f t="shared" si="427"/>
        <v>24.05</v>
      </c>
      <c r="AO598" s="197">
        <f t="shared" si="428"/>
        <v>21.69</v>
      </c>
      <c r="AP598" s="197">
        <f t="shared" si="463"/>
        <v>7.4093290390420161E-2</v>
      </c>
      <c r="AQ598" s="197">
        <f t="shared" si="464"/>
        <v>0.42250439890466829</v>
      </c>
      <c r="AR598" s="197">
        <f t="shared" si="465"/>
        <v>0.30589509873355925</v>
      </c>
      <c r="AS598" s="258">
        <f t="shared" si="466"/>
        <v>0.15228632177729159</v>
      </c>
      <c r="AT598" s="197">
        <f t="shared" si="429"/>
        <v>2.5974058656511614E-4</v>
      </c>
      <c r="AU598" s="194">
        <f t="shared" si="430"/>
        <v>21.19</v>
      </c>
      <c r="AV598" s="197">
        <f t="shared" si="431"/>
        <v>2.7E-2</v>
      </c>
      <c r="AW598" s="197">
        <f t="shared" si="432"/>
        <v>3.4260000000000002E-3</v>
      </c>
      <c r="AX598" s="197">
        <f t="shared" si="467"/>
        <v>6.1668000000000001E-2</v>
      </c>
      <c r="AY598" s="197">
        <f t="shared" si="433"/>
        <v>2.8867476000000005E-3</v>
      </c>
      <c r="AZ598" s="197">
        <f t="shared" si="434"/>
        <v>0</v>
      </c>
      <c r="BA598" s="197">
        <f t="shared" si="468"/>
        <v>7.2596940000000013E-2</v>
      </c>
      <c r="BB598" s="258">
        <f t="shared" si="435"/>
        <v>0.36575210336206115</v>
      </c>
      <c r="BC598" s="197">
        <f t="shared" si="436"/>
        <v>2.2380490766334034E-2</v>
      </c>
      <c r="BD598" s="197">
        <f t="shared" si="469"/>
        <v>4.4760981532668068E-3</v>
      </c>
      <c r="BE598" s="197">
        <f t="shared" si="470"/>
        <v>2.6856588919600841E-2</v>
      </c>
      <c r="BF598" s="197">
        <f t="shared" si="437"/>
        <v>0.20773291256157633</v>
      </c>
      <c r="BG598" s="197">
        <f t="shared" si="438"/>
        <v>5.4608303342508187E-4</v>
      </c>
      <c r="BH598" s="197">
        <f t="shared" si="439"/>
        <v>3.5336687086656722E-2</v>
      </c>
      <c r="BI598" s="197">
        <f t="shared" si="471"/>
        <v>0.44730899017824427</v>
      </c>
      <c r="BJ598" s="197">
        <f t="shared" si="440"/>
        <v>6.769615024661003</v>
      </c>
      <c r="BK598" s="288">
        <f t="shared" si="441"/>
        <v>0.93392401361838984</v>
      </c>
      <c r="BL598" s="197">
        <f t="shared" si="442"/>
        <v>0.37608972359227794</v>
      </c>
      <c r="BM598" s="197">
        <f t="shared" si="443"/>
        <v>7.4353030976985271E-2</v>
      </c>
      <c r="BN598" s="197">
        <f t="shared" si="444"/>
        <v>54.461181858619113</v>
      </c>
      <c r="BO598" s="197">
        <f t="shared" si="472"/>
        <v>0.2082789955950014</v>
      </c>
      <c r="BP598" s="197">
        <f t="shared" si="445"/>
        <v>65.620924669625111</v>
      </c>
      <c r="BQ598" s="197">
        <f t="shared" si="446"/>
        <v>9.9596940000000009E-2</v>
      </c>
      <c r="BR598" s="288">
        <f t="shared" si="447"/>
        <v>0.16008975919012108</v>
      </c>
      <c r="BS598" s="197">
        <f t="shared" si="448"/>
        <v>0.11660930017110901</v>
      </c>
      <c r="BT598" s="197">
        <f t="shared" si="449"/>
        <v>0.36419974881911377</v>
      </c>
      <c r="BU598" s="197">
        <f t="shared" si="450"/>
        <v>0.1713930788771201</v>
      </c>
      <c r="BV598" s="197">
        <f t="shared" si="451"/>
        <v>0.53530306917875781</v>
      </c>
      <c r="BW598" s="194"/>
      <c r="BX598" s="194"/>
      <c r="BY598" s="194"/>
      <c r="BZ598" s="194"/>
      <c r="CA598" s="194"/>
      <c r="CB598" s="194"/>
      <c r="CC598" s="194"/>
      <c r="CD598" s="194"/>
      <c r="CE598" s="194"/>
      <c r="CF598" s="194"/>
      <c r="CG598" s="194"/>
      <c r="CH598" s="194"/>
      <c r="CI598" s="194"/>
      <c r="CJ598" s="194"/>
      <c r="CK598" s="194"/>
      <c r="CL598" s="194"/>
      <c r="CM598" s="194"/>
      <c r="CN598" s="194"/>
      <c r="CO598" s="194"/>
      <c r="CP598" s="194"/>
      <c r="CQ598" s="194"/>
      <c r="CR598" s="194"/>
      <c r="CS598" s="194"/>
      <c r="CT598" s="194"/>
      <c r="CU598" s="194"/>
      <c r="CV598" s="194"/>
      <c r="CW598" s="194"/>
      <c r="CX598" s="194"/>
      <c r="CY598" s="194"/>
      <c r="CZ598" s="194"/>
      <c r="DA598" s="194"/>
      <c r="DB598" s="194"/>
      <c r="DC598" s="194"/>
      <c r="DD598" s="194"/>
      <c r="DE598" s="194"/>
      <c r="DF598" s="194"/>
    </row>
    <row r="599" spans="2:110" s="192" customFormat="1" hidden="1" x14ac:dyDescent="0.35">
      <c r="B599" s="289"/>
      <c r="C599" s="289"/>
      <c r="Q599" s="193"/>
      <c r="R599" s="194">
        <f t="shared" si="452"/>
        <v>18</v>
      </c>
      <c r="S599" s="197">
        <f t="shared" si="418"/>
        <v>0.3888888888888889</v>
      </c>
      <c r="T599" s="194">
        <f t="shared" si="473"/>
        <v>0.69</v>
      </c>
      <c r="U599" s="194">
        <f t="shared" si="474"/>
        <v>1.4999999999999999E-4</v>
      </c>
      <c r="V599" s="197">
        <f t="shared" si="453"/>
        <v>0.3888888888888889</v>
      </c>
      <c r="W599" s="197">
        <f t="shared" si="419"/>
        <v>4.3555555555555561E-3</v>
      </c>
      <c r="X599" s="286">
        <f t="shared" si="420"/>
        <v>1</v>
      </c>
      <c r="Y599" s="286">
        <f t="shared" si="421"/>
        <v>0.17335969315081967</v>
      </c>
      <c r="Z599" s="286">
        <f t="shared" si="422"/>
        <v>0.54964853345132902</v>
      </c>
      <c r="AA599" s="286">
        <f t="shared" si="454"/>
        <v>0.17335969315081967</v>
      </c>
      <c r="AB599" s="197">
        <f t="shared" si="423"/>
        <v>0.36419974881911377</v>
      </c>
      <c r="AC599" s="287">
        <f t="shared" si="424"/>
        <v>4.4451203372005044E-7</v>
      </c>
      <c r="AD599" s="197">
        <f t="shared" si="455"/>
        <v>11.693936048110356</v>
      </c>
      <c r="AE599" s="197">
        <f t="shared" si="456"/>
        <v>35.08180814433107</v>
      </c>
      <c r="AF599" s="197">
        <f t="shared" si="457"/>
        <v>8.5178571428571423E-2</v>
      </c>
      <c r="AG599" s="197">
        <f t="shared" si="458"/>
        <v>0.25553571428571431</v>
      </c>
      <c r="AH599" s="197">
        <f t="shared" si="425"/>
        <v>0.11660930017110901</v>
      </c>
      <c r="AI599" s="197">
        <f t="shared" si="459"/>
        <v>0.11660930017110901</v>
      </c>
      <c r="AJ599" s="218">
        <f t="shared" si="426"/>
        <v>390.00000000000006</v>
      </c>
      <c r="AK599" s="197">
        <f t="shared" si="460"/>
        <v>6.0930617977437734E-2</v>
      </c>
      <c r="AL599" s="197">
        <f t="shared" si="461"/>
        <v>9.6203707235237593E-2</v>
      </c>
      <c r="AM599" s="197">
        <f t="shared" si="462"/>
        <v>4.0790371867740751E-3</v>
      </c>
      <c r="AN599" s="197">
        <f t="shared" si="427"/>
        <v>24.05</v>
      </c>
      <c r="AO599" s="197">
        <f t="shared" si="428"/>
        <v>21.69</v>
      </c>
      <c r="AP599" s="197">
        <f t="shared" si="463"/>
        <v>7.4093290390420161E-2</v>
      </c>
      <c r="AQ599" s="197">
        <f t="shared" si="464"/>
        <v>0.42250439890466829</v>
      </c>
      <c r="AR599" s="197">
        <f t="shared" si="465"/>
        <v>0.30589509873355925</v>
      </c>
      <c r="AS599" s="258">
        <f t="shared" si="466"/>
        <v>0.15228632177729159</v>
      </c>
      <c r="AT599" s="197">
        <f t="shared" si="429"/>
        <v>2.5974058656511614E-4</v>
      </c>
      <c r="AU599" s="194">
        <f t="shared" si="430"/>
        <v>21.19</v>
      </c>
      <c r="AV599" s="197">
        <f t="shared" si="431"/>
        <v>2.7E-2</v>
      </c>
      <c r="AW599" s="197">
        <f t="shared" si="432"/>
        <v>3.4260000000000002E-3</v>
      </c>
      <c r="AX599" s="197">
        <f t="shared" si="467"/>
        <v>6.1668000000000001E-2</v>
      </c>
      <c r="AY599" s="197">
        <f t="shared" si="433"/>
        <v>2.8867476000000005E-3</v>
      </c>
      <c r="AZ599" s="197">
        <f t="shared" si="434"/>
        <v>0</v>
      </c>
      <c r="BA599" s="197">
        <f t="shared" si="468"/>
        <v>7.2596940000000013E-2</v>
      </c>
      <c r="BB599" s="258">
        <f t="shared" si="435"/>
        <v>0.36575210336206115</v>
      </c>
      <c r="BC599" s="197">
        <f t="shared" si="436"/>
        <v>2.2380490766334034E-2</v>
      </c>
      <c r="BD599" s="197">
        <f t="shared" si="469"/>
        <v>4.4760981532668068E-3</v>
      </c>
      <c r="BE599" s="197">
        <f t="shared" si="470"/>
        <v>2.6856588919600841E-2</v>
      </c>
      <c r="BF599" s="197">
        <f t="shared" si="437"/>
        <v>0.20773291256157633</v>
      </c>
      <c r="BG599" s="197">
        <f t="shared" si="438"/>
        <v>5.4608303342508187E-4</v>
      </c>
      <c r="BH599" s="197">
        <f t="shared" si="439"/>
        <v>3.5336687086656722E-2</v>
      </c>
      <c r="BI599" s="197">
        <f t="shared" si="471"/>
        <v>0.44730899017824427</v>
      </c>
      <c r="BJ599" s="197">
        <f t="shared" si="440"/>
        <v>6.769615024661003</v>
      </c>
      <c r="BK599" s="288">
        <f t="shared" si="441"/>
        <v>0.93392401361838984</v>
      </c>
      <c r="BL599" s="197">
        <f t="shared" si="442"/>
        <v>0.37608972359227794</v>
      </c>
      <c r="BM599" s="197">
        <f t="shared" si="443"/>
        <v>7.4353030976985271E-2</v>
      </c>
      <c r="BN599" s="197">
        <f t="shared" si="444"/>
        <v>54.461181858619113</v>
      </c>
      <c r="BO599" s="197">
        <f t="shared" si="472"/>
        <v>0.2082789955950014</v>
      </c>
      <c r="BP599" s="197">
        <f t="shared" si="445"/>
        <v>65.620924669625111</v>
      </c>
      <c r="BQ599" s="197">
        <f t="shared" si="446"/>
        <v>9.9596940000000009E-2</v>
      </c>
      <c r="BR599" s="288">
        <f t="shared" si="447"/>
        <v>0.16008975919012108</v>
      </c>
      <c r="BS599" s="197">
        <f t="shared" si="448"/>
        <v>0.11660930017110901</v>
      </c>
      <c r="BT599" s="197">
        <f t="shared" si="449"/>
        <v>0.36419974881911377</v>
      </c>
      <c r="BU599" s="197">
        <f t="shared" si="450"/>
        <v>0.1713930788771201</v>
      </c>
      <c r="BV599" s="197">
        <f t="shared" si="451"/>
        <v>0.53530306917875781</v>
      </c>
      <c r="BW599" s="194"/>
      <c r="BX599" s="194"/>
      <c r="BY599" s="194"/>
      <c r="BZ599" s="194"/>
      <c r="CA599" s="194"/>
      <c r="CB599" s="194"/>
      <c r="CC599" s="194"/>
      <c r="CD599" s="194"/>
      <c r="CE599" s="194"/>
      <c r="CF599" s="194"/>
      <c r="CG599" s="194"/>
      <c r="CH599" s="194"/>
      <c r="CI599" s="194"/>
      <c r="CJ599" s="194"/>
      <c r="CK599" s="194"/>
      <c r="CL599" s="194"/>
      <c r="CM599" s="194"/>
      <c r="CN599" s="194"/>
      <c r="CO599" s="194"/>
      <c r="CP599" s="194"/>
      <c r="CQ599" s="194"/>
      <c r="CR599" s="194"/>
      <c r="CS599" s="194"/>
      <c r="CT599" s="194"/>
      <c r="CU599" s="194"/>
      <c r="CV599" s="194"/>
      <c r="CW599" s="194"/>
      <c r="CX599" s="194"/>
      <c r="CY599" s="194"/>
      <c r="CZ599" s="194"/>
      <c r="DA599" s="194"/>
      <c r="DB599" s="194"/>
      <c r="DC599" s="194"/>
      <c r="DD599" s="194"/>
      <c r="DE599" s="194"/>
      <c r="DF599" s="194"/>
    </row>
    <row r="600" spans="2:110" s="192" customFormat="1" hidden="1" x14ac:dyDescent="0.35">
      <c r="B600" s="289"/>
      <c r="C600" s="289"/>
      <c r="Q600" s="193"/>
      <c r="R600" s="194">
        <f t="shared" si="452"/>
        <v>18</v>
      </c>
      <c r="S600" s="197">
        <f t="shared" si="418"/>
        <v>0.3888888888888889</v>
      </c>
      <c r="T600" s="194">
        <f t="shared" si="473"/>
        <v>0.69</v>
      </c>
      <c r="U600" s="194">
        <f t="shared" si="474"/>
        <v>1.4999999999999999E-4</v>
      </c>
      <c r="V600" s="197">
        <f t="shared" si="453"/>
        <v>0.3888888888888889</v>
      </c>
      <c r="W600" s="197">
        <f t="shared" si="419"/>
        <v>4.3555555555555561E-3</v>
      </c>
      <c r="X600" s="286">
        <f t="shared" si="420"/>
        <v>1</v>
      </c>
      <c r="Y600" s="286">
        <f t="shared" si="421"/>
        <v>0.17335969315081967</v>
      </c>
      <c r="Z600" s="286">
        <f t="shared" si="422"/>
        <v>0.54964853345132902</v>
      </c>
      <c r="AA600" s="286">
        <f t="shared" si="454"/>
        <v>0.17335969315081967</v>
      </c>
      <c r="AB600" s="197">
        <f t="shared" si="423"/>
        <v>0.36419974881911377</v>
      </c>
      <c r="AC600" s="287">
        <f t="shared" si="424"/>
        <v>4.4451203372005044E-7</v>
      </c>
      <c r="AD600" s="197">
        <f t="shared" si="455"/>
        <v>11.693936048110356</v>
      </c>
      <c r="AE600" s="197">
        <f t="shared" si="456"/>
        <v>35.08180814433107</v>
      </c>
      <c r="AF600" s="197">
        <f t="shared" si="457"/>
        <v>8.5178571428571423E-2</v>
      </c>
      <c r="AG600" s="197">
        <f t="shared" si="458"/>
        <v>0.25553571428571431</v>
      </c>
      <c r="AH600" s="197">
        <f t="shared" si="425"/>
        <v>0.11660930017110901</v>
      </c>
      <c r="AI600" s="197">
        <f t="shared" si="459"/>
        <v>0.11660930017110901</v>
      </c>
      <c r="AJ600" s="218">
        <f t="shared" si="426"/>
        <v>390.00000000000006</v>
      </c>
      <c r="AK600" s="197">
        <f t="shared" si="460"/>
        <v>6.0930617977437734E-2</v>
      </c>
      <c r="AL600" s="197">
        <f t="shared" si="461"/>
        <v>9.6203707235237593E-2</v>
      </c>
      <c r="AM600" s="197">
        <f t="shared" si="462"/>
        <v>4.0790371867740751E-3</v>
      </c>
      <c r="AN600" s="197">
        <f t="shared" si="427"/>
        <v>24.05</v>
      </c>
      <c r="AO600" s="197">
        <f t="shared" si="428"/>
        <v>21.69</v>
      </c>
      <c r="AP600" s="197">
        <f t="shared" si="463"/>
        <v>7.4093290390420161E-2</v>
      </c>
      <c r="AQ600" s="197">
        <f t="shared" si="464"/>
        <v>0.42250439890466829</v>
      </c>
      <c r="AR600" s="197">
        <f t="shared" si="465"/>
        <v>0.30589509873355925</v>
      </c>
      <c r="AS600" s="258">
        <f t="shared" si="466"/>
        <v>0.15228632177729159</v>
      </c>
      <c r="AT600" s="197">
        <f t="shared" si="429"/>
        <v>2.5974058656511614E-4</v>
      </c>
      <c r="AU600" s="194">
        <f t="shared" si="430"/>
        <v>21.19</v>
      </c>
      <c r="AV600" s="197">
        <f t="shared" si="431"/>
        <v>2.7E-2</v>
      </c>
      <c r="AW600" s="197">
        <f t="shared" si="432"/>
        <v>3.4260000000000002E-3</v>
      </c>
      <c r="AX600" s="197">
        <f t="shared" si="467"/>
        <v>6.1668000000000001E-2</v>
      </c>
      <c r="AY600" s="197">
        <f t="shared" si="433"/>
        <v>2.8867476000000005E-3</v>
      </c>
      <c r="AZ600" s="197">
        <f t="shared" si="434"/>
        <v>0</v>
      </c>
      <c r="BA600" s="197">
        <f t="shared" si="468"/>
        <v>7.2596940000000013E-2</v>
      </c>
      <c r="BB600" s="258">
        <f t="shared" si="435"/>
        <v>0.36575210336206115</v>
      </c>
      <c r="BC600" s="197">
        <f t="shared" si="436"/>
        <v>2.2380490766334034E-2</v>
      </c>
      <c r="BD600" s="197">
        <f t="shared" si="469"/>
        <v>4.4760981532668068E-3</v>
      </c>
      <c r="BE600" s="197">
        <f t="shared" si="470"/>
        <v>2.6856588919600841E-2</v>
      </c>
      <c r="BF600" s="197">
        <f t="shared" si="437"/>
        <v>0.20773291256157633</v>
      </c>
      <c r="BG600" s="197">
        <f t="shared" si="438"/>
        <v>5.4608303342508187E-4</v>
      </c>
      <c r="BH600" s="197">
        <f t="shared" si="439"/>
        <v>3.5336687086656722E-2</v>
      </c>
      <c r="BI600" s="197">
        <f t="shared" si="471"/>
        <v>0.44730899017824427</v>
      </c>
      <c r="BJ600" s="197">
        <f t="shared" si="440"/>
        <v>6.769615024661003</v>
      </c>
      <c r="BK600" s="288">
        <f t="shared" si="441"/>
        <v>0.93392401361838984</v>
      </c>
      <c r="BL600" s="197">
        <f t="shared" si="442"/>
        <v>0.37608972359227794</v>
      </c>
      <c r="BM600" s="197">
        <f t="shared" si="443"/>
        <v>7.4353030976985271E-2</v>
      </c>
      <c r="BN600" s="197">
        <f t="shared" si="444"/>
        <v>54.461181858619113</v>
      </c>
      <c r="BO600" s="197">
        <f t="shared" si="472"/>
        <v>0.2082789955950014</v>
      </c>
      <c r="BP600" s="197">
        <f t="shared" si="445"/>
        <v>65.620924669625111</v>
      </c>
      <c r="BQ600" s="197">
        <f t="shared" si="446"/>
        <v>9.9596940000000009E-2</v>
      </c>
      <c r="BR600" s="288">
        <f t="shared" si="447"/>
        <v>0.16008975919012108</v>
      </c>
      <c r="BS600" s="197">
        <f t="shared" si="448"/>
        <v>0.11660930017110901</v>
      </c>
      <c r="BT600" s="197">
        <f t="shared" si="449"/>
        <v>0.36419974881911377</v>
      </c>
      <c r="BU600" s="197">
        <f t="shared" si="450"/>
        <v>0.1713930788771201</v>
      </c>
      <c r="BV600" s="197">
        <f t="shared" si="451"/>
        <v>0.53530306917875781</v>
      </c>
      <c r="BW600" s="194"/>
      <c r="BX600" s="194"/>
      <c r="BY600" s="194"/>
      <c r="BZ600" s="194"/>
      <c r="CA600" s="194"/>
      <c r="CB600" s="194"/>
      <c r="CC600" s="194"/>
      <c r="CD600" s="194"/>
      <c r="CE600" s="194"/>
      <c r="CF600" s="194"/>
      <c r="CG600" s="194"/>
      <c r="CH600" s="194"/>
      <c r="CI600" s="194"/>
      <c r="CJ600" s="194"/>
      <c r="CK600" s="194"/>
      <c r="CL600" s="194"/>
      <c r="CM600" s="194"/>
      <c r="CN600" s="194"/>
      <c r="CO600" s="194"/>
      <c r="CP600" s="194"/>
      <c r="CQ600" s="194"/>
      <c r="CR600" s="194"/>
      <c r="CS600" s="194"/>
      <c r="CT600" s="194"/>
      <c r="CU600" s="194"/>
      <c r="CV600" s="194"/>
      <c r="CW600" s="194"/>
      <c r="CX600" s="194"/>
      <c r="CY600" s="194"/>
      <c r="CZ600" s="194"/>
      <c r="DA600" s="194"/>
      <c r="DB600" s="194"/>
      <c r="DC600" s="194"/>
      <c r="DD600" s="194"/>
      <c r="DE600" s="194"/>
      <c r="DF600" s="194"/>
    </row>
    <row r="601" spans="2:110" s="192" customFormat="1" hidden="1" x14ac:dyDescent="0.35">
      <c r="B601" s="289"/>
      <c r="C601" s="289"/>
      <c r="Q601" s="193"/>
      <c r="R601" s="194">
        <f t="shared" si="452"/>
        <v>18</v>
      </c>
      <c r="S601" s="197">
        <f t="shared" si="418"/>
        <v>0.3888888888888889</v>
      </c>
      <c r="T601" s="194">
        <f t="shared" si="473"/>
        <v>0.69</v>
      </c>
      <c r="U601" s="194">
        <f t="shared" si="474"/>
        <v>1.4999999999999999E-4</v>
      </c>
      <c r="V601" s="197">
        <f t="shared" si="453"/>
        <v>0.3888888888888889</v>
      </c>
      <c r="W601" s="197">
        <f t="shared" si="419"/>
        <v>4.3555555555555561E-3</v>
      </c>
      <c r="X601" s="286">
        <f t="shared" si="420"/>
        <v>1</v>
      </c>
      <c r="Y601" s="286">
        <f t="shared" si="421"/>
        <v>0.17335969315081967</v>
      </c>
      <c r="Z601" s="286">
        <f t="shared" si="422"/>
        <v>0.54964853345132902</v>
      </c>
      <c r="AA601" s="286">
        <f t="shared" si="454"/>
        <v>0.17335969315081967</v>
      </c>
      <c r="AB601" s="197">
        <f t="shared" si="423"/>
        <v>0.36419974881911377</v>
      </c>
      <c r="AC601" s="287">
        <f t="shared" si="424"/>
        <v>4.4451203372005044E-7</v>
      </c>
      <c r="AD601" s="197">
        <f t="shared" si="455"/>
        <v>11.693936048110356</v>
      </c>
      <c r="AE601" s="197">
        <f t="shared" si="456"/>
        <v>35.08180814433107</v>
      </c>
      <c r="AF601" s="197">
        <f t="shared" si="457"/>
        <v>8.5178571428571423E-2</v>
      </c>
      <c r="AG601" s="197">
        <f t="shared" si="458"/>
        <v>0.25553571428571431</v>
      </c>
      <c r="AH601" s="197">
        <f t="shared" si="425"/>
        <v>0.11660930017110901</v>
      </c>
      <c r="AI601" s="197">
        <f t="shared" si="459"/>
        <v>0.11660930017110901</v>
      </c>
      <c r="AJ601" s="218">
        <f t="shared" si="426"/>
        <v>390.00000000000006</v>
      </c>
      <c r="AK601" s="197">
        <f t="shared" si="460"/>
        <v>6.0930617977437734E-2</v>
      </c>
      <c r="AL601" s="197">
        <f t="shared" si="461"/>
        <v>9.6203707235237593E-2</v>
      </c>
      <c r="AM601" s="197">
        <f t="shared" si="462"/>
        <v>4.0790371867740751E-3</v>
      </c>
      <c r="AN601" s="197">
        <f t="shared" si="427"/>
        <v>24.05</v>
      </c>
      <c r="AO601" s="197">
        <f t="shared" si="428"/>
        <v>21.69</v>
      </c>
      <c r="AP601" s="197">
        <f t="shared" si="463"/>
        <v>7.4093290390420161E-2</v>
      </c>
      <c r="AQ601" s="197">
        <f t="shared" si="464"/>
        <v>0.42250439890466829</v>
      </c>
      <c r="AR601" s="197">
        <f t="shared" si="465"/>
        <v>0.30589509873355925</v>
      </c>
      <c r="AS601" s="258">
        <f t="shared" si="466"/>
        <v>0.15228632177729159</v>
      </c>
      <c r="AT601" s="197">
        <f t="shared" si="429"/>
        <v>2.5974058656511614E-4</v>
      </c>
      <c r="AU601" s="194">
        <f t="shared" si="430"/>
        <v>21.19</v>
      </c>
      <c r="AV601" s="197">
        <f t="shared" si="431"/>
        <v>2.7E-2</v>
      </c>
      <c r="AW601" s="197">
        <f t="shared" si="432"/>
        <v>3.4260000000000002E-3</v>
      </c>
      <c r="AX601" s="197">
        <f t="shared" si="467"/>
        <v>6.1668000000000001E-2</v>
      </c>
      <c r="AY601" s="197">
        <f t="shared" si="433"/>
        <v>2.8867476000000005E-3</v>
      </c>
      <c r="AZ601" s="197">
        <f t="shared" si="434"/>
        <v>0</v>
      </c>
      <c r="BA601" s="197">
        <f t="shared" si="468"/>
        <v>7.2596940000000013E-2</v>
      </c>
      <c r="BB601" s="258">
        <f t="shared" si="435"/>
        <v>0.36575210336206115</v>
      </c>
      <c r="BC601" s="197">
        <f t="shared" si="436"/>
        <v>2.2380490766334034E-2</v>
      </c>
      <c r="BD601" s="197">
        <f t="shared" si="469"/>
        <v>4.4760981532668068E-3</v>
      </c>
      <c r="BE601" s="197">
        <f t="shared" si="470"/>
        <v>2.6856588919600841E-2</v>
      </c>
      <c r="BF601" s="197">
        <f t="shared" si="437"/>
        <v>0.20773291256157633</v>
      </c>
      <c r="BG601" s="197">
        <f t="shared" si="438"/>
        <v>5.4608303342508187E-4</v>
      </c>
      <c r="BH601" s="197">
        <f t="shared" si="439"/>
        <v>3.5336687086656722E-2</v>
      </c>
      <c r="BI601" s="197">
        <f t="shared" si="471"/>
        <v>0.44730899017824427</v>
      </c>
      <c r="BJ601" s="197">
        <f t="shared" si="440"/>
        <v>6.769615024661003</v>
      </c>
      <c r="BK601" s="288">
        <f t="shared" si="441"/>
        <v>0.93392401361838984</v>
      </c>
      <c r="BL601" s="197">
        <f t="shared" si="442"/>
        <v>0.37608972359227794</v>
      </c>
      <c r="BM601" s="197">
        <f t="shared" si="443"/>
        <v>7.4353030976985271E-2</v>
      </c>
      <c r="BN601" s="197">
        <f t="shared" si="444"/>
        <v>54.461181858619113</v>
      </c>
      <c r="BO601" s="197">
        <f t="shared" si="472"/>
        <v>0.2082789955950014</v>
      </c>
      <c r="BP601" s="197">
        <f t="shared" si="445"/>
        <v>65.620924669625111</v>
      </c>
      <c r="BQ601" s="197">
        <f t="shared" si="446"/>
        <v>9.9596940000000009E-2</v>
      </c>
      <c r="BR601" s="288">
        <f t="shared" si="447"/>
        <v>0.16008975919012108</v>
      </c>
      <c r="BS601" s="197">
        <f t="shared" si="448"/>
        <v>0.11660930017110901</v>
      </c>
      <c r="BT601" s="197">
        <f t="shared" si="449"/>
        <v>0.36419974881911377</v>
      </c>
      <c r="BU601" s="197">
        <f t="shared" si="450"/>
        <v>0.1713930788771201</v>
      </c>
      <c r="BV601" s="197">
        <f t="shared" si="451"/>
        <v>0.53530306917875781</v>
      </c>
      <c r="BW601" s="194"/>
      <c r="BX601" s="194"/>
      <c r="BY601" s="194"/>
      <c r="BZ601" s="194"/>
      <c r="CA601" s="194"/>
      <c r="CB601" s="194"/>
      <c r="CC601" s="194"/>
      <c r="CD601" s="194"/>
      <c r="CE601" s="194"/>
      <c r="CF601" s="194"/>
      <c r="CG601" s="194"/>
      <c r="CH601" s="194"/>
      <c r="CI601" s="194"/>
      <c r="CJ601" s="194"/>
      <c r="CK601" s="194"/>
      <c r="CL601" s="194"/>
      <c r="CM601" s="194"/>
      <c r="CN601" s="194"/>
      <c r="CO601" s="194"/>
      <c r="CP601" s="194"/>
      <c r="CQ601" s="194"/>
      <c r="CR601" s="194"/>
      <c r="CS601" s="194"/>
      <c r="CT601" s="194"/>
      <c r="CU601" s="194"/>
      <c r="CV601" s="194"/>
      <c r="CW601" s="194"/>
      <c r="CX601" s="194"/>
      <c r="CY601" s="194"/>
      <c r="CZ601" s="194"/>
      <c r="DA601" s="194"/>
      <c r="DB601" s="194"/>
      <c r="DC601" s="194"/>
      <c r="DD601" s="194"/>
      <c r="DE601" s="194"/>
      <c r="DF601" s="194"/>
    </row>
    <row r="602" spans="2:110" s="192" customFormat="1" hidden="1" x14ac:dyDescent="0.35">
      <c r="B602" s="289"/>
      <c r="C602" s="289"/>
      <c r="Q602" s="193"/>
      <c r="R602" s="194">
        <f t="shared" si="452"/>
        <v>18</v>
      </c>
      <c r="S602" s="197">
        <f t="shared" si="418"/>
        <v>0.3888888888888889</v>
      </c>
      <c r="T602" s="194">
        <f t="shared" si="473"/>
        <v>0.69</v>
      </c>
      <c r="U602" s="194">
        <f t="shared" si="474"/>
        <v>1.4999999999999999E-4</v>
      </c>
      <c r="V602" s="197">
        <f t="shared" si="453"/>
        <v>0.3888888888888889</v>
      </c>
      <c r="W602" s="197">
        <f t="shared" si="419"/>
        <v>4.3555555555555561E-3</v>
      </c>
      <c r="X602" s="286">
        <f t="shared" si="420"/>
        <v>1</v>
      </c>
      <c r="Y602" s="286">
        <f t="shared" si="421"/>
        <v>0.17335969315081967</v>
      </c>
      <c r="Z602" s="286">
        <f t="shared" si="422"/>
        <v>0.54964853345132902</v>
      </c>
      <c r="AA602" s="286">
        <f t="shared" si="454"/>
        <v>0.17335969315081967</v>
      </c>
      <c r="AB602" s="197">
        <f t="shared" si="423"/>
        <v>0.36419974881911377</v>
      </c>
      <c r="AC602" s="287">
        <f t="shared" si="424"/>
        <v>4.4451203372005044E-7</v>
      </c>
      <c r="AD602" s="197">
        <f t="shared" si="455"/>
        <v>11.693936048110356</v>
      </c>
      <c r="AE602" s="197">
        <f t="shared" si="456"/>
        <v>35.08180814433107</v>
      </c>
      <c r="AF602" s="197">
        <f t="shared" si="457"/>
        <v>8.5178571428571423E-2</v>
      </c>
      <c r="AG602" s="197">
        <f t="shared" si="458"/>
        <v>0.25553571428571431</v>
      </c>
      <c r="AH602" s="197">
        <f t="shared" si="425"/>
        <v>0.11660930017110901</v>
      </c>
      <c r="AI602" s="197">
        <f t="shared" si="459"/>
        <v>0.11660930017110901</v>
      </c>
      <c r="AJ602" s="218">
        <f t="shared" si="426"/>
        <v>390.00000000000006</v>
      </c>
      <c r="AK602" s="197">
        <f t="shared" si="460"/>
        <v>6.0930617977437734E-2</v>
      </c>
      <c r="AL602" s="197">
        <f t="shared" si="461"/>
        <v>9.6203707235237593E-2</v>
      </c>
      <c r="AM602" s="197">
        <f t="shared" si="462"/>
        <v>4.0790371867740751E-3</v>
      </c>
      <c r="AN602" s="197">
        <f t="shared" si="427"/>
        <v>24.05</v>
      </c>
      <c r="AO602" s="197">
        <f t="shared" si="428"/>
        <v>21.69</v>
      </c>
      <c r="AP602" s="197">
        <f t="shared" si="463"/>
        <v>7.4093290390420161E-2</v>
      </c>
      <c r="AQ602" s="197">
        <f t="shared" si="464"/>
        <v>0.42250439890466829</v>
      </c>
      <c r="AR602" s="197">
        <f t="shared" si="465"/>
        <v>0.30589509873355925</v>
      </c>
      <c r="AS602" s="258">
        <f t="shared" si="466"/>
        <v>0.15228632177729159</v>
      </c>
      <c r="AT602" s="197">
        <f t="shared" si="429"/>
        <v>2.5974058656511614E-4</v>
      </c>
      <c r="AU602" s="194">
        <f t="shared" si="430"/>
        <v>21.19</v>
      </c>
      <c r="AV602" s="197">
        <f t="shared" si="431"/>
        <v>2.7E-2</v>
      </c>
      <c r="AW602" s="197">
        <f t="shared" si="432"/>
        <v>3.4260000000000002E-3</v>
      </c>
      <c r="AX602" s="197">
        <f t="shared" si="467"/>
        <v>6.1668000000000001E-2</v>
      </c>
      <c r="AY602" s="197">
        <f t="shared" si="433"/>
        <v>2.8867476000000005E-3</v>
      </c>
      <c r="AZ602" s="197">
        <f t="shared" si="434"/>
        <v>0</v>
      </c>
      <c r="BA602" s="197">
        <f t="shared" si="468"/>
        <v>7.2596940000000013E-2</v>
      </c>
      <c r="BB602" s="258">
        <f t="shared" si="435"/>
        <v>0.36575210336206115</v>
      </c>
      <c r="BC602" s="197">
        <f t="shared" si="436"/>
        <v>2.2380490766334034E-2</v>
      </c>
      <c r="BD602" s="197">
        <f t="shared" si="469"/>
        <v>4.4760981532668068E-3</v>
      </c>
      <c r="BE602" s="197">
        <f t="shared" si="470"/>
        <v>2.6856588919600841E-2</v>
      </c>
      <c r="BF602" s="197">
        <f t="shared" si="437"/>
        <v>0.20773291256157633</v>
      </c>
      <c r="BG602" s="197">
        <f t="shared" si="438"/>
        <v>5.4608303342508187E-4</v>
      </c>
      <c r="BH602" s="197">
        <f t="shared" si="439"/>
        <v>3.5336687086656722E-2</v>
      </c>
      <c r="BI602" s="197">
        <f t="shared" si="471"/>
        <v>0.44730899017824427</v>
      </c>
      <c r="BJ602" s="197">
        <f t="shared" si="440"/>
        <v>6.769615024661003</v>
      </c>
      <c r="BK602" s="288">
        <f t="shared" si="441"/>
        <v>0.93392401361838984</v>
      </c>
      <c r="BL602" s="197">
        <f t="shared" si="442"/>
        <v>0.37608972359227794</v>
      </c>
      <c r="BM602" s="197">
        <f t="shared" si="443"/>
        <v>7.4353030976985271E-2</v>
      </c>
      <c r="BN602" s="197">
        <f t="shared" si="444"/>
        <v>54.461181858619113</v>
      </c>
      <c r="BO602" s="197">
        <f t="shared" si="472"/>
        <v>0.2082789955950014</v>
      </c>
      <c r="BP602" s="197">
        <f t="shared" si="445"/>
        <v>65.620924669625111</v>
      </c>
      <c r="BQ602" s="197">
        <f t="shared" si="446"/>
        <v>9.9596940000000009E-2</v>
      </c>
      <c r="BR602" s="288">
        <f t="shared" si="447"/>
        <v>0.16008975919012108</v>
      </c>
      <c r="BS602" s="197">
        <f t="shared" si="448"/>
        <v>0.11660930017110901</v>
      </c>
      <c r="BT602" s="197">
        <f t="shared" si="449"/>
        <v>0.36419974881911377</v>
      </c>
      <c r="BU602" s="197">
        <f t="shared" si="450"/>
        <v>0.1713930788771201</v>
      </c>
      <c r="BV602" s="197">
        <f t="shared" si="451"/>
        <v>0.53530306917875781</v>
      </c>
      <c r="BW602" s="194"/>
      <c r="BX602" s="194"/>
      <c r="BY602" s="194"/>
      <c r="BZ602" s="194"/>
      <c r="CA602" s="194"/>
      <c r="CB602" s="194"/>
      <c r="CC602" s="194"/>
      <c r="CD602" s="194"/>
      <c r="CE602" s="194"/>
      <c r="CF602" s="194"/>
      <c r="CG602" s="194"/>
      <c r="CH602" s="194"/>
      <c r="CI602" s="194"/>
      <c r="CJ602" s="194"/>
      <c r="CK602" s="194"/>
      <c r="CL602" s="194"/>
      <c r="CM602" s="194"/>
      <c r="CN602" s="194"/>
      <c r="CO602" s="194"/>
      <c r="CP602" s="194"/>
      <c r="CQ602" s="194"/>
      <c r="CR602" s="194"/>
      <c r="CS602" s="194"/>
      <c r="CT602" s="194"/>
      <c r="CU602" s="194"/>
      <c r="CV602" s="194"/>
      <c r="CW602" s="194"/>
      <c r="CX602" s="194"/>
      <c r="CY602" s="194"/>
      <c r="CZ602" s="194"/>
      <c r="DA602" s="194"/>
      <c r="DB602" s="194"/>
      <c r="DC602" s="194"/>
      <c r="DD602" s="194"/>
      <c r="DE602" s="194"/>
      <c r="DF602" s="194"/>
    </row>
    <row r="603" spans="2:110" s="192" customFormat="1" hidden="1" x14ac:dyDescent="0.35">
      <c r="B603" s="289"/>
      <c r="C603" s="289"/>
      <c r="Q603" s="193"/>
      <c r="R603" s="194">
        <f t="shared" si="452"/>
        <v>18</v>
      </c>
      <c r="S603" s="197">
        <f t="shared" si="418"/>
        <v>0.3888888888888889</v>
      </c>
      <c r="T603" s="194">
        <f t="shared" si="473"/>
        <v>0.69</v>
      </c>
      <c r="U603" s="194">
        <f t="shared" si="474"/>
        <v>1.4999999999999999E-4</v>
      </c>
      <c r="V603" s="197">
        <f t="shared" si="453"/>
        <v>0.3888888888888889</v>
      </c>
      <c r="W603" s="197">
        <f t="shared" si="419"/>
        <v>4.3555555555555561E-3</v>
      </c>
      <c r="X603" s="286">
        <f t="shared" si="420"/>
        <v>1</v>
      </c>
      <c r="Y603" s="286">
        <f t="shared" si="421"/>
        <v>0.17335969315081967</v>
      </c>
      <c r="Z603" s="286">
        <f t="shared" si="422"/>
        <v>0.54964853345132902</v>
      </c>
      <c r="AA603" s="286">
        <f t="shared" si="454"/>
        <v>0.17335969315081967</v>
      </c>
      <c r="AB603" s="197">
        <f t="shared" si="423"/>
        <v>0.36419974881911377</v>
      </c>
      <c r="AC603" s="287">
        <f t="shared" si="424"/>
        <v>4.4451203372005044E-7</v>
      </c>
      <c r="AD603" s="197">
        <f t="shared" si="455"/>
        <v>11.693936048110356</v>
      </c>
      <c r="AE603" s="197">
        <f t="shared" si="456"/>
        <v>35.08180814433107</v>
      </c>
      <c r="AF603" s="197">
        <f t="shared" si="457"/>
        <v>8.5178571428571423E-2</v>
      </c>
      <c r="AG603" s="197">
        <f t="shared" si="458"/>
        <v>0.25553571428571431</v>
      </c>
      <c r="AH603" s="197">
        <f t="shared" si="425"/>
        <v>0.11660930017110901</v>
      </c>
      <c r="AI603" s="197">
        <f t="shared" si="459"/>
        <v>0.11660930017110901</v>
      </c>
      <c r="AJ603" s="218">
        <f t="shared" si="426"/>
        <v>390.00000000000006</v>
      </c>
      <c r="AK603" s="197">
        <f t="shared" si="460"/>
        <v>6.0930617977437734E-2</v>
      </c>
      <c r="AL603" s="197">
        <f t="shared" si="461"/>
        <v>9.6203707235237593E-2</v>
      </c>
      <c r="AM603" s="197">
        <f t="shared" si="462"/>
        <v>4.0790371867740751E-3</v>
      </c>
      <c r="AN603" s="197">
        <f t="shared" si="427"/>
        <v>24.05</v>
      </c>
      <c r="AO603" s="197">
        <f t="shared" si="428"/>
        <v>21.69</v>
      </c>
      <c r="AP603" s="197">
        <f t="shared" si="463"/>
        <v>7.4093290390420161E-2</v>
      </c>
      <c r="AQ603" s="197">
        <f t="shared" si="464"/>
        <v>0.42250439890466829</v>
      </c>
      <c r="AR603" s="197">
        <f t="shared" si="465"/>
        <v>0.30589509873355925</v>
      </c>
      <c r="AS603" s="258">
        <f t="shared" si="466"/>
        <v>0.15228632177729159</v>
      </c>
      <c r="AT603" s="197">
        <f t="shared" si="429"/>
        <v>2.5974058656511614E-4</v>
      </c>
      <c r="AU603" s="194">
        <f t="shared" si="430"/>
        <v>21.19</v>
      </c>
      <c r="AV603" s="197">
        <f t="shared" si="431"/>
        <v>2.7E-2</v>
      </c>
      <c r="AW603" s="197">
        <f t="shared" si="432"/>
        <v>3.4260000000000002E-3</v>
      </c>
      <c r="AX603" s="197">
        <f t="shared" si="467"/>
        <v>6.1668000000000001E-2</v>
      </c>
      <c r="AY603" s="197">
        <f t="shared" si="433"/>
        <v>2.8867476000000005E-3</v>
      </c>
      <c r="AZ603" s="197">
        <f t="shared" si="434"/>
        <v>0</v>
      </c>
      <c r="BA603" s="197">
        <f t="shared" si="468"/>
        <v>7.2596940000000013E-2</v>
      </c>
      <c r="BB603" s="258">
        <f t="shared" si="435"/>
        <v>0.36575210336206115</v>
      </c>
      <c r="BC603" s="197">
        <f t="shared" si="436"/>
        <v>2.2380490766334034E-2</v>
      </c>
      <c r="BD603" s="197">
        <f t="shared" si="469"/>
        <v>4.4760981532668068E-3</v>
      </c>
      <c r="BE603" s="197">
        <f t="shared" si="470"/>
        <v>2.6856588919600841E-2</v>
      </c>
      <c r="BF603" s="197">
        <f t="shared" si="437"/>
        <v>0.20773291256157633</v>
      </c>
      <c r="BG603" s="197">
        <f t="shared" si="438"/>
        <v>5.4608303342508187E-4</v>
      </c>
      <c r="BH603" s="197">
        <f t="shared" si="439"/>
        <v>3.5336687086656722E-2</v>
      </c>
      <c r="BI603" s="197">
        <f t="shared" si="471"/>
        <v>0.44730899017824427</v>
      </c>
      <c r="BJ603" s="197">
        <f t="shared" si="440"/>
        <v>6.769615024661003</v>
      </c>
      <c r="BK603" s="288">
        <f t="shared" si="441"/>
        <v>0.93392401361838984</v>
      </c>
      <c r="BL603" s="197">
        <f t="shared" si="442"/>
        <v>0.37608972359227794</v>
      </c>
      <c r="BM603" s="197">
        <f t="shared" si="443"/>
        <v>7.4353030976985271E-2</v>
      </c>
      <c r="BN603" s="197">
        <f t="shared" si="444"/>
        <v>54.461181858619113</v>
      </c>
      <c r="BO603" s="197">
        <f t="shared" si="472"/>
        <v>0.2082789955950014</v>
      </c>
      <c r="BP603" s="197">
        <f t="shared" si="445"/>
        <v>65.620924669625111</v>
      </c>
      <c r="BQ603" s="197">
        <f t="shared" si="446"/>
        <v>9.9596940000000009E-2</v>
      </c>
      <c r="BR603" s="288">
        <f t="shared" si="447"/>
        <v>0.16008975919012108</v>
      </c>
      <c r="BS603" s="197">
        <f t="shared" si="448"/>
        <v>0.11660930017110901</v>
      </c>
      <c r="BT603" s="197">
        <f t="shared" si="449"/>
        <v>0.36419974881911377</v>
      </c>
      <c r="BU603" s="197">
        <f t="shared" si="450"/>
        <v>0.1713930788771201</v>
      </c>
      <c r="BV603" s="197">
        <f t="shared" si="451"/>
        <v>0.53530306917875781</v>
      </c>
      <c r="BW603" s="194"/>
      <c r="BX603" s="194"/>
      <c r="BY603" s="194"/>
      <c r="BZ603" s="194"/>
      <c r="CA603" s="194"/>
      <c r="CB603" s="194"/>
      <c r="CC603" s="194"/>
      <c r="CD603" s="194"/>
      <c r="CE603" s="194"/>
      <c r="CF603" s="194"/>
      <c r="CG603" s="194"/>
      <c r="CH603" s="194"/>
      <c r="CI603" s="194"/>
      <c r="CJ603" s="194"/>
      <c r="CK603" s="194"/>
      <c r="CL603" s="194"/>
      <c r="CM603" s="194"/>
      <c r="CN603" s="194"/>
      <c r="CO603" s="194"/>
      <c r="CP603" s="194"/>
      <c r="CQ603" s="194"/>
      <c r="CR603" s="194"/>
      <c r="CS603" s="194"/>
      <c r="CT603" s="194"/>
      <c r="CU603" s="194"/>
      <c r="CV603" s="194"/>
      <c r="CW603" s="194"/>
      <c r="CX603" s="194"/>
      <c r="CY603" s="194"/>
      <c r="CZ603" s="194"/>
      <c r="DA603" s="194"/>
      <c r="DB603" s="194"/>
      <c r="DC603" s="194"/>
      <c r="DD603" s="194"/>
      <c r="DE603" s="194"/>
      <c r="DF603" s="194"/>
    </row>
    <row r="604" spans="2:110" s="192" customFormat="1" hidden="1" x14ac:dyDescent="0.35">
      <c r="B604" s="289"/>
      <c r="C604" s="289"/>
      <c r="Q604" s="193"/>
      <c r="R604" s="194">
        <f t="shared" si="452"/>
        <v>18</v>
      </c>
      <c r="S604" s="197">
        <f t="shared" si="418"/>
        <v>0.3888888888888889</v>
      </c>
      <c r="T604" s="194">
        <f t="shared" si="473"/>
        <v>0.69</v>
      </c>
      <c r="U604" s="194">
        <f t="shared" si="474"/>
        <v>1.4999999999999999E-4</v>
      </c>
      <c r="V604" s="197">
        <f t="shared" si="453"/>
        <v>0.3888888888888889</v>
      </c>
      <c r="W604" s="197">
        <f t="shared" si="419"/>
        <v>4.3555555555555561E-3</v>
      </c>
      <c r="X604" s="286">
        <f t="shared" si="420"/>
        <v>1</v>
      </c>
      <c r="Y604" s="286">
        <f t="shared" si="421"/>
        <v>0.17335969315081967</v>
      </c>
      <c r="Z604" s="286">
        <f t="shared" si="422"/>
        <v>0.54964853345132902</v>
      </c>
      <c r="AA604" s="286">
        <f t="shared" si="454"/>
        <v>0.17335969315081967</v>
      </c>
      <c r="AB604" s="197">
        <f t="shared" si="423"/>
        <v>0.36419974881911377</v>
      </c>
      <c r="AC604" s="287">
        <f t="shared" si="424"/>
        <v>4.4451203372005044E-7</v>
      </c>
      <c r="AD604" s="197">
        <f t="shared" si="455"/>
        <v>11.693936048110356</v>
      </c>
      <c r="AE604" s="197">
        <f t="shared" si="456"/>
        <v>35.08180814433107</v>
      </c>
      <c r="AF604" s="197">
        <f t="shared" si="457"/>
        <v>8.5178571428571423E-2</v>
      </c>
      <c r="AG604" s="197">
        <f t="shared" si="458"/>
        <v>0.25553571428571431</v>
      </c>
      <c r="AH604" s="197">
        <f t="shared" si="425"/>
        <v>0.11660930017110901</v>
      </c>
      <c r="AI604" s="197">
        <f t="shared" si="459"/>
        <v>0.11660930017110901</v>
      </c>
      <c r="AJ604" s="218">
        <f t="shared" si="426"/>
        <v>390.00000000000006</v>
      </c>
      <c r="AK604" s="197">
        <f t="shared" si="460"/>
        <v>6.0930617977437734E-2</v>
      </c>
      <c r="AL604" s="197">
        <f t="shared" si="461"/>
        <v>9.6203707235237593E-2</v>
      </c>
      <c r="AM604" s="197">
        <f t="shared" si="462"/>
        <v>4.0790371867740751E-3</v>
      </c>
      <c r="AN604" s="197">
        <f t="shared" si="427"/>
        <v>24.05</v>
      </c>
      <c r="AO604" s="197">
        <f t="shared" si="428"/>
        <v>21.69</v>
      </c>
      <c r="AP604" s="197">
        <f t="shared" si="463"/>
        <v>7.4093290390420161E-2</v>
      </c>
      <c r="AQ604" s="197">
        <f t="shared" si="464"/>
        <v>0.42250439890466829</v>
      </c>
      <c r="AR604" s="197">
        <f t="shared" si="465"/>
        <v>0.30589509873355925</v>
      </c>
      <c r="AS604" s="258">
        <f t="shared" si="466"/>
        <v>0.15228632177729159</v>
      </c>
      <c r="AT604" s="197">
        <f t="shared" si="429"/>
        <v>2.5974058656511614E-4</v>
      </c>
      <c r="AU604" s="194">
        <f t="shared" si="430"/>
        <v>21.19</v>
      </c>
      <c r="AV604" s="197">
        <f t="shared" si="431"/>
        <v>2.7E-2</v>
      </c>
      <c r="AW604" s="197">
        <f t="shared" si="432"/>
        <v>3.4260000000000002E-3</v>
      </c>
      <c r="AX604" s="197">
        <f t="shared" si="467"/>
        <v>6.1668000000000001E-2</v>
      </c>
      <c r="AY604" s="197">
        <f t="shared" si="433"/>
        <v>2.8867476000000005E-3</v>
      </c>
      <c r="AZ604" s="197">
        <f t="shared" si="434"/>
        <v>0</v>
      </c>
      <c r="BA604" s="197">
        <f t="shared" si="468"/>
        <v>7.2596940000000013E-2</v>
      </c>
      <c r="BB604" s="258">
        <f t="shared" si="435"/>
        <v>0.36575210336206115</v>
      </c>
      <c r="BC604" s="197">
        <f t="shared" si="436"/>
        <v>2.2380490766334034E-2</v>
      </c>
      <c r="BD604" s="197">
        <f t="shared" si="469"/>
        <v>4.4760981532668068E-3</v>
      </c>
      <c r="BE604" s="197">
        <f t="shared" si="470"/>
        <v>2.6856588919600841E-2</v>
      </c>
      <c r="BF604" s="197">
        <f t="shared" si="437"/>
        <v>0.20773291256157633</v>
      </c>
      <c r="BG604" s="197">
        <f t="shared" si="438"/>
        <v>5.4608303342508187E-4</v>
      </c>
      <c r="BH604" s="197">
        <f t="shared" si="439"/>
        <v>3.5336687086656722E-2</v>
      </c>
      <c r="BI604" s="197">
        <f t="shared" si="471"/>
        <v>0.44730899017824427</v>
      </c>
      <c r="BJ604" s="197">
        <f t="shared" si="440"/>
        <v>6.769615024661003</v>
      </c>
      <c r="BK604" s="288">
        <f t="shared" si="441"/>
        <v>0.93392401361838984</v>
      </c>
      <c r="BL604" s="197">
        <f t="shared" si="442"/>
        <v>0.37608972359227794</v>
      </c>
      <c r="BM604" s="197">
        <f t="shared" si="443"/>
        <v>7.4353030976985271E-2</v>
      </c>
      <c r="BN604" s="197">
        <f t="shared" si="444"/>
        <v>54.461181858619113</v>
      </c>
      <c r="BO604" s="197">
        <f t="shared" si="472"/>
        <v>0.2082789955950014</v>
      </c>
      <c r="BP604" s="197">
        <f t="shared" si="445"/>
        <v>65.620924669625111</v>
      </c>
      <c r="BQ604" s="197">
        <f t="shared" si="446"/>
        <v>9.9596940000000009E-2</v>
      </c>
      <c r="BR604" s="288">
        <f t="shared" si="447"/>
        <v>0.16008975919012108</v>
      </c>
      <c r="BS604" s="197">
        <f t="shared" si="448"/>
        <v>0.11660930017110901</v>
      </c>
      <c r="BT604" s="197">
        <f t="shared" si="449"/>
        <v>0.36419974881911377</v>
      </c>
      <c r="BU604" s="197">
        <f t="shared" si="450"/>
        <v>0.1713930788771201</v>
      </c>
      <c r="BV604" s="197">
        <f t="shared" si="451"/>
        <v>0.53530306917875781</v>
      </c>
      <c r="BW604" s="194"/>
      <c r="BX604" s="194"/>
      <c r="BY604" s="194"/>
      <c r="BZ604" s="194"/>
      <c r="CA604" s="194"/>
      <c r="CB604" s="194"/>
      <c r="CC604" s="194"/>
      <c r="CD604" s="194"/>
      <c r="CE604" s="194"/>
      <c r="CF604" s="194"/>
      <c r="CG604" s="194"/>
      <c r="CH604" s="194"/>
      <c r="CI604" s="194"/>
      <c r="CJ604" s="194"/>
      <c r="CK604" s="194"/>
      <c r="CL604" s="194"/>
      <c r="CM604" s="194"/>
      <c r="CN604" s="194"/>
      <c r="CO604" s="194"/>
      <c r="CP604" s="194"/>
      <c r="CQ604" s="194"/>
      <c r="CR604" s="194"/>
      <c r="CS604" s="194"/>
      <c r="CT604" s="194"/>
      <c r="CU604" s="194"/>
      <c r="CV604" s="194"/>
      <c r="CW604" s="194"/>
      <c r="CX604" s="194"/>
      <c r="CY604" s="194"/>
      <c r="CZ604" s="194"/>
      <c r="DA604" s="194"/>
      <c r="DB604" s="194"/>
      <c r="DC604" s="194"/>
      <c r="DD604" s="194"/>
      <c r="DE604" s="194"/>
      <c r="DF604" s="194"/>
    </row>
    <row r="605" spans="2:110" s="192" customFormat="1" hidden="1" x14ac:dyDescent="0.35">
      <c r="B605" s="289"/>
      <c r="C605" s="289"/>
      <c r="Q605" s="193"/>
      <c r="R605" s="194">
        <f t="shared" si="452"/>
        <v>18</v>
      </c>
      <c r="S605" s="197">
        <f t="shared" si="418"/>
        <v>0.3888888888888889</v>
      </c>
      <c r="T605" s="194">
        <f t="shared" si="473"/>
        <v>0.69</v>
      </c>
      <c r="U605" s="194">
        <f t="shared" si="474"/>
        <v>1.4999999999999999E-4</v>
      </c>
      <c r="V605" s="197">
        <f t="shared" si="453"/>
        <v>0.3888888888888889</v>
      </c>
      <c r="W605" s="197">
        <f t="shared" si="419"/>
        <v>4.3555555555555561E-3</v>
      </c>
      <c r="X605" s="286">
        <f t="shared" si="420"/>
        <v>1</v>
      </c>
      <c r="Y605" s="286">
        <f t="shared" si="421"/>
        <v>0.17335969315081967</v>
      </c>
      <c r="Z605" s="286">
        <f t="shared" si="422"/>
        <v>0.54964853345132902</v>
      </c>
      <c r="AA605" s="286">
        <f t="shared" si="454"/>
        <v>0.17335969315081967</v>
      </c>
      <c r="AB605" s="197">
        <f t="shared" si="423"/>
        <v>0.36419974881911377</v>
      </c>
      <c r="AC605" s="287">
        <f t="shared" si="424"/>
        <v>4.4451203372005044E-7</v>
      </c>
      <c r="AD605" s="197">
        <f t="shared" si="455"/>
        <v>11.693936048110356</v>
      </c>
      <c r="AE605" s="197">
        <f t="shared" si="456"/>
        <v>35.08180814433107</v>
      </c>
      <c r="AF605" s="197">
        <f t="shared" si="457"/>
        <v>8.5178571428571423E-2</v>
      </c>
      <c r="AG605" s="197">
        <f t="shared" si="458"/>
        <v>0.25553571428571431</v>
      </c>
      <c r="AH605" s="197">
        <f t="shared" si="425"/>
        <v>0.11660930017110901</v>
      </c>
      <c r="AI605" s="197">
        <f t="shared" si="459"/>
        <v>0.11660930017110901</v>
      </c>
      <c r="AJ605" s="218">
        <f t="shared" si="426"/>
        <v>390.00000000000006</v>
      </c>
      <c r="AK605" s="197">
        <f t="shared" si="460"/>
        <v>6.0930617977437734E-2</v>
      </c>
      <c r="AL605" s="197">
        <f t="shared" si="461"/>
        <v>9.6203707235237593E-2</v>
      </c>
      <c r="AM605" s="197">
        <f t="shared" si="462"/>
        <v>4.0790371867740751E-3</v>
      </c>
      <c r="AN605" s="197">
        <f t="shared" si="427"/>
        <v>24.05</v>
      </c>
      <c r="AO605" s="197">
        <f t="shared" si="428"/>
        <v>21.69</v>
      </c>
      <c r="AP605" s="197">
        <f t="shared" si="463"/>
        <v>7.4093290390420161E-2</v>
      </c>
      <c r="AQ605" s="197">
        <f t="shared" si="464"/>
        <v>0.42250439890466829</v>
      </c>
      <c r="AR605" s="197">
        <f t="shared" si="465"/>
        <v>0.30589509873355925</v>
      </c>
      <c r="AS605" s="258">
        <f t="shared" si="466"/>
        <v>0.15228632177729159</v>
      </c>
      <c r="AT605" s="197">
        <f t="shared" si="429"/>
        <v>2.5974058656511614E-4</v>
      </c>
      <c r="AU605" s="194">
        <f t="shared" si="430"/>
        <v>21.19</v>
      </c>
      <c r="AV605" s="197">
        <f t="shared" si="431"/>
        <v>2.7E-2</v>
      </c>
      <c r="AW605" s="197">
        <f t="shared" si="432"/>
        <v>3.4260000000000002E-3</v>
      </c>
      <c r="AX605" s="197">
        <f t="shared" si="467"/>
        <v>6.1668000000000001E-2</v>
      </c>
      <c r="AY605" s="197">
        <f t="shared" si="433"/>
        <v>2.8867476000000005E-3</v>
      </c>
      <c r="AZ605" s="197">
        <f t="shared" si="434"/>
        <v>0</v>
      </c>
      <c r="BA605" s="197">
        <f t="shared" si="468"/>
        <v>7.2596940000000013E-2</v>
      </c>
      <c r="BB605" s="258">
        <f t="shared" si="435"/>
        <v>0.36575210336206115</v>
      </c>
      <c r="BC605" s="197">
        <f t="shared" si="436"/>
        <v>2.2380490766334034E-2</v>
      </c>
      <c r="BD605" s="197">
        <f t="shared" si="469"/>
        <v>4.4760981532668068E-3</v>
      </c>
      <c r="BE605" s="197">
        <f t="shared" si="470"/>
        <v>2.6856588919600841E-2</v>
      </c>
      <c r="BF605" s="197">
        <f t="shared" si="437"/>
        <v>0.20773291256157633</v>
      </c>
      <c r="BG605" s="197">
        <f t="shared" si="438"/>
        <v>5.4608303342508187E-4</v>
      </c>
      <c r="BH605" s="197">
        <f t="shared" si="439"/>
        <v>3.5336687086656722E-2</v>
      </c>
      <c r="BI605" s="197">
        <f t="shared" si="471"/>
        <v>0.44730899017824427</v>
      </c>
      <c r="BJ605" s="197">
        <f t="shared" si="440"/>
        <v>6.769615024661003</v>
      </c>
      <c r="BK605" s="288">
        <f t="shared" si="441"/>
        <v>0.93392401361838984</v>
      </c>
      <c r="BL605" s="197">
        <f t="shared" si="442"/>
        <v>0.37608972359227794</v>
      </c>
      <c r="BM605" s="197">
        <f t="shared" si="443"/>
        <v>7.4353030976985271E-2</v>
      </c>
      <c r="BN605" s="197">
        <f t="shared" si="444"/>
        <v>54.461181858619113</v>
      </c>
      <c r="BO605" s="197">
        <f t="shared" si="472"/>
        <v>0.2082789955950014</v>
      </c>
      <c r="BP605" s="197">
        <f t="shared" si="445"/>
        <v>65.620924669625111</v>
      </c>
      <c r="BQ605" s="197">
        <f t="shared" si="446"/>
        <v>9.9596940000000009E-2</v>
      </c>
      <c r="BR605" s="288">
        <f t="shared" si="447"/>
        <v>0.16008975919012108</v>
      </c>
      <c r="BS605" s="197">
        <f t="shared" si="448"/>
        <v>0.11660930017110901</v>
      </c>
      <c r="BT605" s="197">
        <f t="shared" si="449"/>
        <v>0.36419974881911377</v>
      </c>
      <c r="BU605" s="197">
        <f t="shared" si="450"/>
        <v>0.1713930788771201</v>
      </c>
      <c r="BV605" s="197">
        <f t="shared" si="451"/>
        <v>0.53530306917875781</v>
      </c>
      <c r="BW605" s="194"/>
      <c r="BX605" s="194"/>
      <c r="BY605" s="194"/>
      <c r="BZ605" s="194"/>
      <c r="CA605" s="194"/>
      <c r="CB605" s="194"/>
      <c r="CC605" s="194"/>
      <c r="CD605" s="194"/>
      <c r="CE605" s="194"/>
      <c r="CF605" s="194"/>
      <c r="CG605" s="194"/>
      <c r="CH605" s="194"/>
      <c r="CI605" s="194"/>
      <c r="CJ605" s="194"/>
      <c r="CK605" s="194"/>
      <c r="CL605" s="194"/>
      <c r="CM605" s="194"/>
      <c r="CN605" s="194"/>
      <c r="CO605" s="194"/>
      <c r="CP605" s="194"/>
      <c r="CQ605" s="194"/>
      <c r="CR605" s="194"/>
      <c r="CS605" s="194"/>
      <c r="CT605" s="194"/>
      <c r="CU605" s="194"/>
      <c r="CV605" s="194"/>
      <c r="CW605" s="194"/>
      <c r="CX605" s="194"/>
      <c r="CY605" s="194"/>
      <c r="CZ605" s="194"/>
      <c r="DA605" s="194"/>
      <c r="DB605" s="194"/>
      <c r="DC605" s="194"/>
      <c r="DD605" s="194"/>
      <c r="DE605" s="194"/>
      <c r="DF605" s="194"/>
    </row>
    <row r="606" spans="2:110" s="192" customFormat="1" hidden="1" x14ac:dyDescent="0.35">
      <c r="B606" s="289"/>
      <c r="C606" s="289"/>
      <c r="Q606" s="193"/>
      <c r="R606" s="194">
        <f t="shared" si="452"/>
        <v>18</v>
      </c>
      <c r="S606" s="197">
        <f t="shared" si="418"/>
        <v>0.3888888888888889</v>
      </c>
      <c r="T606" s="194">
        <f t="shared" si="473"/>
        <v>0.69</v>
      </c>
      <c r="U606" s="194">
        <f t="shared" si="474"/>
        <v>1.4999999999999999E-4</v>
      </c>
      <c r="V606" s="197">
        <f t="shared" si="453"/>
        <v>0.3888888888888889</v>
      </c>
      <c r="W606" s="197">
        <f t="shared" si="419"/>
        <v>4.3555555555555561E-3</v>
      </c>
      <c r="X606" s="286">
        <f t="shared" si="420"/>
        <v>1</v>
      </c>
      <c r="Y606" s="286">
        <f t="shared" si="421"/>
        <v>0.17335969315081967</v>
      </c>
      <c r="Z606" s="286">
        <f t="shared" si="422"/>
        <v>0.54964853345132902</v>
      </c>
      <c r="AA606" s="286">
        <f t="shared" si="454"/>
        <v>0.17335969315081967</v>
      </c>
      <c r="AB606" s="197">
        <f t="shared" si="423"/>
        <v>0.36419974881911377</v>
      </c>
      <c r="AC606" s="287">
        <f t="shared" si="424"/>
        <v>4.4451203372005044E-7</v>
      </c>
      <c r="AD606" s="197">
        <f t="shared" si="455"/>
        <v>11.693936048110356</v>
      </c>
      <c r="AE606" s="197">
        <f t="shared" si="456"/>
        <v>35.08180814433107</v>
      </c>
      <c r="AF606" s="197">
        <f t="shared" si="457"/>
        <v>8.5178571428571423E-2</v>
      </c>
      <c r="AG606" s="197">
        <f t="shared" si="458"/>
        <v>0.25553571428571431</v>
      </c>
      <c r="AH606" s="197">
        <f t="shared" si="425"/>
        <v>0.11660930017110901</v>
      </c>
      <c r="AI606" s="197">
        <f t="shared" si="459"/>
        <v>0.11660930017110901</v>
      </c>
      <c r="AJ606" s="218">
        <f t="shared" si="426"/>
        <v>390.00000000000006</v>
      </c>
      <c r="AK606" s="197">
        <f t="shared" si="460"/>
        <v>6.0930617977437734E-2</v>
      </c>
      <c r="AL606" s="197">
        <f t="shared" si="461"/>
        <v>9.6203707235237593E-2</v>
      </c>
      <c r="AM606" s="197">
        <f t="shared" si="462"/>
        <v>4.0790371867740751E-3</v>
      </c>
      <c r="AN606" s="197">
        <f t="shared" si="427"/>
        <v>24.05</v>
      </c>
      <c r="AO606" s="197">
        <f t="shared" si="428"/>
        <v>21.69</v>
      </c>
      <c r="AP606" s="197">
        <f t="shared" si="463"/>
        <v>7.4093290390420161E-2</v>
      </c>
      <c r="AQ606" s="197">
        <f t="shared" si="464"/>
        <v>0.42250439890466829</v>
      </c>
      <c r="AR606" s="197">
        <f t="shared" si="465"/>
        <v>0.30589509873355925</v>
      </c>
      <c r="AS606" s="258">
        <f t="shared" si="466"/>
        <v>0.15228632177729159</v>
      </c>
      <c r="AT606" s="197">
        <f t="shared" si="429"/>
        <v>2.5974058656511614E-4</v>
      </c>
      <c r="AU606" s="194">
        <f t="shared" si="430"/>
        <v>21.19</v>
      </c>
      <c r="AV606" s="197">
        <f t="shared" si="431"/>
        <v>2.7E-2</v>
      </c>
      <c r="AW606" s="197">
        <f t="shared" si="432"/>
        <v>3.4260000000000002E-3</v>
      </c>
      <c r="AX606" s="197">
        <f t="shared" si="467"/>
        <v>6.1668000000000001E-2</v>
      </c>
      <c r="AY606" s="197">
        <f t="shared" si="433"/>
        <v>2.8867476000000005E-3</v>
      </c>
      <c r="AZ606" s="197">
        <f t="shared" si="434"/>
        <v>0</v>
      </c>
      <c r="BA606" s="197">
        <f t="shared" si="468"/>
        <v>7.2596940000000013E-2</v>
      </c>
      <c r="BB606" s="258">
        <f t="shared" si="435"/>
        <v>0.36575210336206115</v>
      </c>
      <c r="BC606" s="197">
        <f t="shared" si="436"/>
        <v>2.2380490766334034E-2</v>
      </c>
      <c r="BD606" s="197">
        <f t="shared" si="469"/>
        <v>4.4760981532668068E-3</v>
      </c>
      <c r="BE606" s="197">
        <f t="shared" si="470"/>
        <v>2.6856588919600841E-2</v>
      </c>
      <c r="BF606" s="197">
        <f t="shared" si="437"/>
        <v>0.20773291256157633</v>
      </c>
      <c r="BG606" s="197">
        <f t="shared" si="438"/>
        <v>5.4608303342508187E-4</v>
      </c>
      <c r="BH606" s="197">
        <f t="shared" si="439"/>
        <v>3.5336687086656722E-2</v>
      </c>
      <c r="BI606" s="197">
        <f t="shared" si="471"/>
        <v>0.44730899017824427</v>
      </c>
      <c r="BJ606" s="197">
        <f t="shared" si="440"/>
        <v>6.769615024661003</v>
      </c>
      <c r="BK606" s="288">
        <f t="shared" si="441"/>
        <v>0.93392401361838984</v>
      </c>
      <c r="BL606" s="197">
        <f t="shared" si="442"/>
        <v>0.37608972359227794</v>
      </c>
      <c r="BM606" s="197">
        <f t="shared" si="443"/>
        <v>7.4353030976985271E-2</v>
      </c>
      <c r="BN606" s="197">
        <f t="shared" si="444"/>
        <v>54.461181858619113</v>
      </c>
      <c r="BO606" s="197">
        <f t="shared" si="472"/>
        <v>0.2082789955950014</v>
      </c>
      <c r="BP606" s="197">
        <f t="shared" si="445"/>
        <v>65.620924669625111</v>
      </c>
      <c r="BQ606" s="197">
        <f t="shared" si="446"/>
        <v>9.9596940000000009E-2</v>
      </c>
      <c r="BR606" s="288">
        <f t="shared" si="447"/>
        <v>0.16008975919012108</v>
      </c>
      <c r="BS606" s="197">
        <f t="shared" si="448"/>
        <v>0.11660930017110901</v>
      </c>
      <c r="BT606" s="197">
        <f t="shared" si="449"/>
        <v>0.36419974881911377</v>
      </c>
      <c r="BU606" s="197">
        <f t="shared" si="450"/>
        <v>0.1713930788771201</v>
      </c>
      <c r="BV606" s="197">
        <f t="shared" si="451"/>
        <v>0.53530306917875781</v>
      </c>
      <c r="BW606" s="194"/>
      <c r="BX606" s="194"/>
      <c r="BY606" s="194"/>
      <c r="BZ606" s="194"/>
      <c r="CA606" s="194"/>
      <c r="CB606" s="194"/>
      <c r="CC606" s="194"/>
      <c r="CD606" s="194"/>
      <c r="CE606" s="194"/>
      <c r="CF606" s="194"/>
      <c r="CG606" s="194"/>
      <c r="CH606" s="194"/>
      <c r="CI606" s="194"/>
      <c r="CJ606" s="194"/>
      <c r="CK606" s="194"/>
      <c r="CL606" s="194"/>
      <c r="CM606" s="194"/>
      <c r="CN606" s="194"/>
      <c r="CO606" s="194"/>
      <c r="CP606" s="194"/>
      <c r="CQ606" s="194"/>
      <c r="CR606" s="194"/>
      <c r="CS606" s="194"/>
      <c r="CT606" s="194"/>
      <c r="CU606" s="194"/>
      <c r="CV606" s="194"/>
      <c r="CW606" s="194"/>
      <c r="CX606" s="194"/>
      <c r="CY606" s="194"/>
      <c r="CZ606" s="194"/>
      <c r="DA606" s="194"/>
      <c r="DB606" s="194"/>
      <c r="DC606" s="194"/>
      <c r="DD606" s="194"/>
      <c r="DE606" s="194"/>
      <c r="DF606" s="194"/>
    </row>
    <row r="607" spans="2:110" s="192" customFormat="1" hidden="1" x14ac:dyDescent="0.35">
      <c r="B607" s="289"/>
      <c r="C607" s="289"/>
      <c r="Q607" s="193"/>
      <c r="R607" s="194">
        <f t="shared" si="452"/>
        <v>18</v>
      </c>
      <c r="S607" s="197">
        <f t="shared" si="418"/>
        <v>0.3888888888888889</v>
      </c>
      <c r="T607" s="194">
        <f t="shared" si="473"/>
        <v>0.69</v>
      </c>
      <c r="U607" s="194">
        <f t="shared" si="474"/>
        <v>1.4999999999999999E-4</v>
      </c>
      <c r="V607" s="197">
        <f t="shared" si="453"/>
        <v>0.3888888888888889</v>
      </c>
      <c r="W607" s="197">
        <f t="shared" si="419"/>
        <v>4.3555555555555561E-3</v>
      </c>
      <c r="X607" s="286">
        <f t="shared" si="420"/>
        <v>1</v>
      </c>
      <c r="Y607" s="286">
        <f t="shared" si="421"/>
        <v>0.17335969315081967</v>
      </c>
      <c r="Z607" s="286">
        <f t="shared" si="422"/>
        <v>0.54964853345132902</v>
      </c>
      <c r="AA607" s="286">
        <f t="shared" si="454"/>
        <v>0.17335969315081967</v>
      </c>
      <c r="AB607" s="197">
        <f t="shared" si="423"/>
        <v>0.36419974881911377</v>
      </c>
      <c r="AC607" s="287">
        <f t="shared" si="424"/>
        <v>4.4451203372005044E-7</v>
      </c>
      <c r="AD607" s="197">
        <f t="shared" si="455"/>
        <v>11.693936048110356</v>
      </c>
      <c r="AE607" s="197">
        <f t="shared" si="456"/>
        <v>35.08180814433107</v>
      </c>
      <c r="AF607" s="197">
        <f t="shared" si="457"/>
        <v>8.5178571428571423E-2</v>
      </c>
      <c r="AG607" s="197">
        <f t="shared" si="458"/>
        <v>0.25553571428571431</v>
      </c>
      <c r="AH607" s="197">
        <f t="shared" si="425"/>
        <v>0.11660930017110901</v>
      </c>
      <c r="AI607" s="197">
        <f t="shared" si="459"/>
        <v>0.11660930017110901</v>
      </c>
      <c r="AJ607" s="218">
        <f t="shared" si="426"/>
        <v>390.00000000000006</v>
      </c>
      <c r="AK607" s="197">
        <f t="shared" si="460"/>
        <v>6.0930617977437734E-2</v>
      </c>
      <c r="AL607" s="197">
        <f t="shared" si="461"/>
        <v>9.6203707235237593E-2</v>
      </c>
      <c r="AM607" s="197">
        <f t="shared" si="462"/>
        <v>4.0790371867740751E-3</v>
      </c>
      <c r="AN607" s="197">
        <f t="shared" si="427"/>
        <v>24.05</v>
      </c>
      <c r="AO607" s="197">
        <f t="shared" si="428"/>
        <v>21.69</v>
      </c>
      <c r="AP607" s="197">
        <f t="shared" si="463"/>
        <v>7.4093290390420161E-2</v>
      </c>
      <c r="AQ607" s="197">
        <f t="shared" si="464"/>
        <v>0.42250439890466829</v>
      </c>
      <c r="AR607" s="197">
        <f t="shared" si="465"/>
        <v>0.30589509873355925</v>
      </c>
      <c r="AS607" s="258">
        <f t="shared" si="466"/>
        <v>0.15228632177729159</v>
      </c>
      <c r="AT607" s="197">
        <f t="shared" si="429"/>
        <v>2.5974058656511614E-4</v>
      </c>
      <c r="AU607" s="194">
        <f t="shared" si="430"/>
        <v>21.19</v>
      </c>
      <c r="AV607" s="197">
        <f t="shared" si="431"/>
        <v>2.7E-2</v>
      </c>
      <c r="AW607" s="197">
        <f t="shared" si="432"/>
        <v>3.4260000000000002E-3</v>
      </c>
      <c r="AX607" s="197">
        <f t="shared" si="467"/>
        <v>6.1668000000000001E-2</v>
      </c>
      <c r="AY607" s="197">
        <f t="shared" si="433"/>
        <v>2.8867476000000005E-3</v>
      </c>
      <c r="AZ607" s="197">
        <f t="shared" si="434"/>
        <v>0</v>
      </c>
      <c r="BA607" s="197">
        <f t="shared" si="468"/>
        <v>7.2596940000000013E-2</v>
      </c>
      <c r="BB607" s="258">
        <f t="shared" si="435"/>
        <v>0.36575210336206115</v>
      </c>
      <c r="BC607" s="197">
        <f t="shared" si="436"/>
        <v>2.2380490766334034E-2</v>
      </c>
      <c r="BD607" s="197">
        <f t="shared" si="469"/>
        <v>4.4760981532668068E-3</v>
      </c>
      <c r="BE607" s="197">
        <f t="shared" si="470"/>
        <v>2.6856588919600841E-2</v>
      </c>
      <c r="BF607" s="197">
        <f t="shared" si="437"/>
        <v>0.20773291256157633</v>
      </c>
      <c r="BG607" s="197">
        <f t="shared" si="438"/>
        <v>5.4608303342508187E-4</v>
      </c>
      <c r="BH607" s="197">
        <f t="shared" si="439"/>
        <v>3.5336687086656722E-2</v>
      </c>
      <c r="BI607" s="197">
        <f t="shared" si="471"/>
        <v>0.44730899017824427</v>
      </c>
      <c r="BJ607" s="197">
        <f t="shared" si="440"/>
        <v>6.769615024661003</v>
      </c>
      <c r="BK607" s="288">
        <f t="shared" si="441"/>
        <v>0.93392401361838984</v>
      </c>
      <c r="BL607" s="197">
        <f t="shared" si="442"/>
        <v>0.37608972359227794</v>
      </c>
      <c r="BM607" s="197">
        <f t="shared" si="443"/>
        <v>7.4353030976985271E-2</v>
      </c>
      <c r="BN607" s="197">
        <f t="shared" si="444"/>
        <v>54.461181858619113</v>
      </c>
      <c r="BO607" s="197">
        <f t="shared" si="472"/>
        <v>0.2082789955950014</v>
      </c>
      <c r="BP607" s="197">
        <f t="shared" si="445"/>
        <v>65.620924669625111</v>
      </c>
      <c r="BQ607" s="197">
        <f t="shared" si="446"/>
        <v>9.9596940000000009E-2</v>
      </c>
      <c r="BR607" s="288">
        <f t="shared" si="447"/>
        <v>0.16008975919012108</v>
      </c>
      <c r="BS607" s="197">
        <f t="shared" si="448"/>
        <v>0.11660930017110901</v>
      </c>
      <c r="BT607" s="197">
        <f t="shared" si="449"/>
        <v>0.36419974881911377</v>
      </c>
      <c r="BU607" s="197">
        <f t="shared" si="450"/>
        <v>0.1713930788771201</v>
      </c>
      <c r="BV607" s="197">
        <f t="shared" si="451"/>
        <v>0.53530306917875781</v>
      </c>
      <c r="BW607" s="194"/>
      <c r="BX607" s="194"/>
      <c r="BY607" s="194"/>
      <c r="BZ607" s="194"/>
      <c r="CA607" s="194"/>
      <c r="CB607" s="194"/>
      <c r="CC607" s="194"/>
      <c r="CD607" s="194"/>
      <c r="CE607" s="194"/>
      <c r="CF607" s="194"/>
      <c r="CG607" s="194"/>
      <c r="CH607" s="194"/>
      <c r="CI607" s="194"/>
      <c r="CJ607" s="194"/>
      <c r="CK607" s="194"/>
      <c r="CL607" s="194"/>
      <c r="CM607" s="194"/>
      <c r="CN607" s="194"/>
      <c r="CO607" s="194"/>
      <c r="CP607" s="194"/>
      <c r="CQ607" s="194"/>
      <c r="CR607" s="194"/>
      <c r="CS607" s="194"/>
      <c r="CT607" s="194"/>
      <c r="CU607" s="194"/>
      <c r="CV607" s="194"/>
      <c r="CW607" s="194"/>
      <c r="CX607" s="194"/>
      <c r="CY607" s="194"/>
      <c r="CZ607" s="194"/>
      <c r="DA607" s="194"/>
      <c r="DB607" s="194"/>
      <c r="DC607" s="194"/>
      <c r="DD607" s="194"/>
      <c r="DE607" s="194"/>
      <c r="DF607" s="194"/>
    </row>
    <row r="608" spans="2:110" s="192" customFormat="1" hidden="1" x14ac:dyDescent="0.35">
      <c r="B608" s="289"/>
      <c r="C608" s="289"/>
      <c r="Q608" s="193"/>
      <c r="R608" s="194">
        <f t="shared" si="452"/>
        <v>18</v>
      </c>
      <c r="S608" s="197">
        <f t="shared" si="418"/>
        <v>0.3888888888888889</v>
      </c>
      <c r="T608" s="194">
        <f t="shared" si="473"/>
        <v>0.69</v>
      </c>
      <c r="U608" s="194">
        <f t="shared" si="474"/>
        <v>1.4999999999999999E-4</v>
      </c>
      <c r="V608" s="197">
        <f t="shared" si="453"/>
        <v>0.3888888888888889</v>
      </c>
      <c r="W608" s="197">
        <f t="shared" si="419"/>
        <v>4.3555555555555561E-3</v>
      </c>
      <c r="X608" s="286">
        <f t="shared" si="420"/>
        <v>1</v>
      </c>
      <c r="Y608" s="286">
        <f t="shared" si="421"/>
        <v>0.17335969315081967</v>
      </c>
      <c r="Z608" s="286">
        <f t="shared" si="422"/>
        <v>0.54964853345132902</v>
      </c>
      <c r="AA608" s="286">
        <f t="shared" si="454"/>
        <v>0.17335969315081967</v>
      </c>
      <c r="AB608" s="197">
        <f t="shared" si="423"/>
        <v>0.36419974881911377</v>
      </c>
      <c r="AC608" s="287">
        <f t="shared" si="424"/>
        <v>4.4451203372005044E-7</v>
      </c>
      <c r="AD608" s="197">
        <f t="shared" si="455"/>
        <v>11.693936048110356</v>
      </c>
      <c r="AE608" s="197">
        <f t="shared" si="456"/>
        <v>35.08180814433107</v>
      </c>
      <c r="AF608" s="197">
        <f t="shared" si="457"/>
        <v>8.5178571428571423E-2</v>
      </c>
      <c r="AG608" s="197">
        <f t="shared" si="458"/>
        <v>0.25553571428571431</v>
      </c>
      <c r="AH608" s="197">
        <f t="shared" si="425"/>
        <v>0.11660930017110901</v>
      </c>
      <c r="AI608" s="197">
        <f t="shared" si="459"/>
        <v>0.11660930017110901</v>
      </c>
      <c r="AJ608" s="218">
        <f t="shared" si="426"/>
        <v>390.00000000000006</v>
      </c>
      <c r="AK608" s="197">
        <f t="shared" si="460"/>
        <v>6.0930617977437734E-2</v>
      </c>
      <c r="AL608" s="197">
        <f t="shared" si="461"/>
        <v>9.6203707235237593E-2</v>
      </c>
      <c r="AM608" s="197">
        <f t="shared" si="462"/>
        <v>4.0790371867740751E-3</v>
      </c>
      <c r="AN608" s="197">
        <f t="shared" si="427"/>
        <v>24.05</v>
      </c>
      <c r="AO608" s="197">
        <f t="shared" si="428"/>
        <v>21.69</v>
      </c>
      <c r="AP608" s="197">
        <f t="shared" si="463"/>
        <v>7.4093290390420161E-2</v>
      </c>
      <c r="AQ608" s="197">
        <f t="shared" si="464"/>
        <v>0.42250439890466829</v>
      </c>
      <c r="AR608" s="197">
        <f t="shared" si="465"/>
        <v>0.30589509873355925</v>
      </c>
      <c r="AS608" s="258">
        <f t="shared" si="466"/>
        <v>0.15228632177729159</v>
      </c>
      <c r="AT608" s="197">
        <f t="shared" si="429"/>
        <v>2.5974058656511614E-4</v>
      </c>
      <c r="AU608" s="194">
        <f t="shared" si="430"/>
        <v>21.19</v>
      </c>
      <c r="AV608" s="197">
        <f t="shared" si="431"/>
        <v>2.7E-2</v>
      </c>
      <c r="AW608" s="197">
        <f t="shared" si="432"/>
        <v>3.4260000000000002E-3</v>
      </c>
      <c r="AX608" s="197">
        <f t="shared" si="467"/>
        <v>6.1668000000000001E-2</v>
      </c>
      <c r="AY608" s="197">
        <f t="shared" si="433"/>
        <v>2.8867476000000005E-3</v>
      </c>
      <c r="AZ608" s="197">
        <f t="shared" si="434"/>
        <v>0</v>
      </c>
      <c r="BA608" s="197">
        <f t="shared" si="468"/>
        <v>7.2596940000000013E-2</v>
      </c>
      <c r="BB608" s="258">
        <f t="shared" si="435"/>
        <v>0.36575210336206115</v>
      </c>
      <c r="BC608" s="197">
        <f t="shared" si="436"/>
        <v>2.2380490766334034E-2</v>
      </c>
      <c r="BD608" s="197">
        <f t="shared" si="469"/>
        <v>4.4760981532668068E-3</v>
      </c>
      <c r="BE608" s="197">
        <f t="shared" si="470"/>
        <v>2.6856588919600841E-2</v>
      </c>
      <c r="BF608" s="197">
        <f t="shared" si="437"/>
        <v>0.20773291256157633</v>
      </c>
      <c r="BG608" s="197">
        <f t="shared" si="438"/>
        <v>5.4608303342508187E-4</v>
      </c>
      <c r="BH608" s="197">
        <f t="shared" si="439"/>
        <v>3.5336687086656722E-2</v>
      </c>
      <c r="BI608" s="197">
        <f t="shared" si="471"/>
        <v>0.44730899017824427</v>
      </c>
      <c r="BJ608" s="197">
        <f t="shared" si="440"/>
        <v>6.769615024661003</v>
      </c>
      <c r="BK608" s="288">
        <f t="shared" si="441"/>
        <v>0.93392401361838984</v>
      </c>
      <c r="BL608" s="197">
        <f t="shared" si="442"/>
        <v>0.37608972359227794</v>
      </c>
      <c r="BM608" s="197">
        <f t="shared" si="443"/>
        <v>7.4353030976985271E-2</v>
      </c>
      <c r="BN608" s="197">
        <f t="shared" si="444"/>
        <v>54.461181858619113</v>
      </c>
      <c r="BO608" s="197">
        <f t="shared" si="472"/>
        <v>0.2082789955950014</v>
      </c>
      <c r="BP608" s="197">
        <f t="shared" si="445"/>
        <v>65.620924669625111</v>
      </c>
      <c r="BQ608" s="197">
        <f t="shared" si="446"/>
        <v>9.9596940000000009E-2</v>
      </c>
      <c r="BR608" s="288">
        <f t="shared" si="447"/>
        <v>0.16008975919012108</v>
      </c>
      <c r="BS608" s="197">
        <f t="shared" si="448"/>
        <v>0.11660930017110901</v>
      </c>
      <c r="BT608" s="197">
        <f t="shared" si="449"/>
        <v>0.36419974881911377</v>
      </c>
      <c r="BU608" s="197">
        <f t="shared" si="450"/>
        <v>0.1713930788771201</v>
      </c>
      <c r="BV608" s="197">
        <f t="shared" si="451"/>
        <v>0.53530306917875781</v>
      </c>
      <c r="BW608" s="194"/>
      <c r="BX608" s="194"/>
      <c r="BY608" s="194"/>
      <c r="BZ608" s="194"/>
      <c r="CA608" s="194"/>
      <c r="CB608" s="194"/>
      <c r="CC608" s="194"/>
      <c r="CD608" s="194"/>
      <c r="CE608" s="194"/>
      <c r="CF608" s="194"/>
      <c r="CG608" s="194"/>
      <c r="CH608" s="194"/>
      <c r="CI608" s="194"/>
      <c r="CJ608" s="194"/>
      <c r="CK608" s="194"/>
      <c r="CL608" s="194"/>
      <c r="CM608" s="194"/>
      <c r="CN608" s="194"/>
      <c r="CO608" s="194"/>
      <c r="CP608" s="194"/>
      <c r="CQ608" s="194"/>
      <c r="CR608" s="194"/>
      <c r="CS608" s="194"/>
      <c r="CT608" s="194"/>
      <c r="CU608" s="194"/>
      <c r="CV608" s="194"/>
      <c r="CW608" s="194"/>
      <c r="CX608" s="194"/>
      <c r="CY608" s="194"/>
      <c r="CZ608" s="194"/>
      <c r="DA608" s="194"/>
      <c r="DB608" s="194"/>
      <c r="DC608" s="194"/>
      <c r="DD608" s="194"/>
      <c r="DE608" s="194"/>
      <c r="DF608" s="194"/>
    </row>
    <row r="609" spans="2:110" s="192" customFormat="1" hidden="1" x14ac:dyDescent="0.35">
      <c r="B609" s="289"/>
      <c r="C609" s="289"/>
      <c r="Q609" s="193"/>
      <c r="R609" s="194">
        <f t="shared" si="452"/>
        <v>18</v>
      </c>
      <c r="S609" s="197">
        <f t="shared" si="418"/>
        <v>0.3888888888888889</v>
      </c>
      <c r="T609" s="194">
        <f t="shared" si="473"/>
        <v>0.69</v>
      </c>
      <c r="U609" s="194">
        <f t="shared" si="474"/>
        <v>1.4999999999999999E-4</v>
      </c>
      <c r="V609" s="197">
        <f t="shared" si="453"/>
        <v>0.3888888888888889</v>
      </c>
      <c r="W609" s="197">
        <f t="shared" si="419"/>
        <v>4.3555555555555561E-3</v>
      </c>
      <c r="X609" s="286">
        <f t="shared" si="420"/>
        <v>1</v>
      </c>
      <c r="Y609" s="286">
        <f t="shared" si="421"/>
        <v>0.17335969315081967</v>
      </c>
      <c r="Z609" s="286">
        <f t="shared" si="422"/>
        <v>0.54964853345132902</v>
      </c>
      <c r="AA609" s="286">
        <f t="shared" si="454"/>
        <v>0.17335969315081967</v>
      </c>
      <c r="AB609" s="197">
        <f t="shared" si="423"/>
        <v>0.36419974881911377</v>
      </c>
      <c r="AC609" s="287">
        <f t="shared" si="424"/>
        <v>4.4451203372005044E-7</v>
      </c>
      <c r="AD609" s="197">
        <f t="shared" si="455"/>
        <v>11.693936048110356</v>
      </c>
      <c r="AE609" s="197">
        <f t="shared" si="456"/>
        <v>35.08180814433107</v>
      </c>
      <c r="AF609" s="197">
        <f t="shared" si="457"/>
        <v>8.5178571428571423E-2</v>
      </c>
      <c r="AG609" s="197">
        <f t="shared" si="458"/>
        <v>0.25553571428571431</v>
      </c>
      <c r="AH609" s="197">
        <f t="shared" si="425"/>
        <v>0.11660930017110901</v>
      </c>
      <c r="AI609" s="197">
        <f t="shared" si="459"/>
        <v>0.11660930017110901</v>
      </c>
      <c r="AJ609" s="218">
        <f t="shared" si="426"/>
        <v>390.00000000000006</v>
      </c>
      <c r="AK609" s="197">
        <f t="shared" si="460"/>
        <v>6.0930617977437734E-2</v>
      </c>
      <c r="AL609" s="197">
        <f t="shared" si="461"/>
        <v>9.6203707235237593E-2</v>
      </c>
      <c r="AM609" s="197">
        <f t="shared" si="462"/>
        <v>4.0790371867740751E-3</v>
      </c>
      <c r="AN609" s="197">
        <f t="shared" si="427"/>
        <v>24.05</v>
      </c>
      <c r="AO609" s="197">
        <f t="shared" si="428"/>
        <v>21.69</v>
      </c>
      <c r="AP609" s="197">
        <f t="shared" si="463"/>
        <v>7.4093290390420161E-2</v>
      </c>
      <c r="AQ609" s="197">
        <f t="shared" si="464"/>
        <v>0.42250439890466829</v>
      </c>
      <c r="AR609" s="197">
        <f t="shared" si="465"/>
        <v>0.30589509873355925</v>
      </c>
      <c r="AS609" s="258">
        <f t="shared" si="466"/>
        <v>0.15228632177729159</v>
      </c>
      <c r="AT609" s="197">
        <f t="shared" si="429"/>
        <v>2.5974058656511614E-4</v>
      </c>
      <c r="AU609" s="194">
        <f t="shared" si="430"/>
        <v>21.19</v>
      </c>
      <c r="AV609" s="197">
        <f t="shared" si="431"/>
        <v>2.7E-2</v>
      </c>
      <c r="AW609" s="197">
        <f t="shared" si="432"/>
        <v>3.4260000000000002E-3</v>
      </c>
      <c r="AX609" s="197">
        <f t="shared" si="467"/>
        <v>6.1668000000000001E-2</v>
      </c>
      <c r="AY609" s="197">
        <f t="shared" si="433"/>
        <v>2.8867476000000005E-3</v>
      </c>
      <c r="AZ609" s="197">
        <f t="shared" si="434"/>
        <v>0</v>
      </c>
      <c r="BA609" s="197">
        <f t="shared" si="468"/>
        <v>7.2596940000000013E-2</v>
      </c>
      <c r="BB609" s="258">
        <f t="shared" si="435"/>
        <v>0.36575210336206115</v>
      </c>
      <c r="BC609" s="197">
        <f t="shared" si="436"/>
        <v>2.2380490766334034E-2</v>
      </c>
      <c r="BD609" s="197">
        <f t="shared" si="469"/>
        <v>4.4760981532668068E-3</v>
      </c>
      <c r="BE609" s="197">
        <f t="shared" si="470"/>
        <v>2.6856588919600841E-2</v>
      </c>
      <c r="BF609" s="197">
        <f t="shared" si="437"/>
        <v>0.20773291256157633</v>
      </c>
      <c r="BG609" s="197">
        <f t="shared" si="438"/>
        <v>5.4608303342508187E-4</v>
      </c>
      <c r="BH609" s="197">
        <f t="shared" si="439"/>
        <v>3.5336687086656722E-2</v>
      </c>
      <c r="BI609" s="197">
        <f t="shared" si="471"/>
        <v>0.44730899017824427</v>
      </c>
      <c r="BJ609" s="197">
        <f t="shared" si="440"/>
        <v>6.769615024661003</v>
      </c>
      <c r="BK609" s="288">
        <f t="shared" si="441"/>
        <v>0.93392401361838984</v>
      </c>
      <c r="BL609" s="197">
        <f t="shared" si="442"/>
        <v>0.37608972359227794</v>
      </c>
      <c r="BM609" s="197">
        <f t="shared" si="443"/>
        <v>7.4353030976985271E-2</v>
      </c>
      <c r="BN609" s="197">
        <f t="shared" si="444"/>
        <v>54.461181858619113</v>
      </c>
      <c r="BO609" s="197">
        <f t="shared" si="472"/>
        <v>0.2082789955950014</v>
      </c>
      <c r="BP609" s="197">
        <f t="shared" si="445"/>
        <v>65.620924669625111</v>
      </c>
      <c r="BQ609" s="197">
        <f t="shared" si="446"/>
        <v>9.9596940000000009E-2</v>
      </c>
      <c r="BR609" s="288">
        <f t="shared" si="447"/>
        <v>0.16008975919012108</v>
      </c>
      <c r="BS609" s="197">
        <f t="shared" si="448"/>
        <v>0.11660930017110901</v>
      </c>
      <c r="BT609" s="197">
        <f t="shared" si="449"/>
        <v>0.36419974881911377</v>
      </c>
      <c r="BU609" s="197">
        <f t="shared" si="450"/>
        <v>0.1713930788771201</v>
      </c>
      <c r="BV609" s="197">
        <f t="shared" si="451"/>
        <v>0.53530306917875781</v>
      </c>
      <c r="BW609" s="194"/>
      <c r="BX609" s="194"/>
      <c r="BY609" s="194"/>
      <c r="BZ609" s="194"/>
      <c r="CA609" s="194"/>
      <c r="CB609" s="194"/>
      <c r="CC609" s="194"/>
      <c r="CD609" s="194"/>
      <c r="CE609" s="194"/>
      <c r="CF609" s="194"/>
      <c r="CG609" s="194"/>
      <c r="CH609" s="194"/>
      <c r="CI609" s="194"/>
      <c r="CJ609" s="194"/>
      <c r="CK609" s="194"/>
      <c r="CL609" s="194"/>
      <c r="CM609" s="194"/>
      <c r="CN609" s="194"/>
      <c r="CO609" s="194"/>
      <c r="CP609" s="194"/>
      <c r="CQ609" s="194"/>
      <c r="CR609" s="194"/>
      <c r="CS609" s="194"/>
      <c r="CT609" s="194"/>
      <c r="CU609" s="194"/>
      <c r="CV609" s="194"/>
      <c r="CW609" s="194"/>
      <c r="CX609" s="194"/>
      <c r="CY609" s="194"/>
      <c r="CZ609" s="194"/>
      <c r="DA609" s="194"/>
      <c r="DB609" s="194"/>
      <c r="DC609" s="194"/>
      <c r="DD609" s="194"/>
      <c r="DE609" s="194"/>
      <c r="DF609" s="194"/>
    </row>
    <row r="610" spans="2:110" s="192" customFormat="1" hidden="1" x14ac:dyDescent="0.35">
      <c r="B610" s="289"/>
      <c r="C610" s="289"/>
      <c r="Q610" s="193"/>
      <c r="R610" s="194">
        <f t="shared" si="452"/>
        <v>18</v>
      </c>
      <c r="S610" s="197">
        <f t="shared" si="418"/>
        <v>0.3888888888888889</v>
      </c>
      <c r="T610" s="194">
        <f t="shared" si="473"/>
        <v>0.69</v>
      </c>
      <c r="U610" s="194">
        <f t="shared" si="474"/>
        <v>1.4999999999999999E-4</v>
      </c>
      <c r="V610" s="197">
        <f t="shared" si="453"/>
        <v>0.3888888888888889</v>
      </c>
      <c r="W610" s="197">
        <f t="shared" si="419"/>
        <v>4.3555555555555561E-3</v>
      </c>
      <c r="X610" s="286">
        <f t="shared" si="420"/>
        <v>1</v>
      </c>
      <c r="Y610" s="286">
        <f t="shared" si="421"/>
        <v>0.17335969315081967</v>
      </c>
      <c r="Z610" s="286">
        <f t="shared" si="422"/>
        <v>0.54964853345132902</v>
      </c>
      <c r="AA610" s="286">
        <f t="shared" si="454"/>
        <v>0.17335969315081967</v>
      </c>
      <c r="AB610" s="197">
        <f t="shared" si="423"/>
        <v>0.36419974881911377</v>
      </c>
      <c r="AC610" s="287">
        <f t="shared" si="424"/>
        <v>4.4451203372005044E-7</v>
      </c>
      <c r="AD610" s="197">
        <f t="shared" si="455"/>
        <v>11.693936048110356</v>
      </c>
      <c r="AE610" s="197">
        <f t="shared" si="456"/>
        <v>35.08180814433107</v>
      </c>
      <c r="AF610" s="197">
        <f t="shared" si="457"/>
        <v>8.5178571428571423E-2</v>
      </c>
      <c r="AG610" s="197">
        <f t="shared" si="458"/>
        <v>0.25553571428571431</v>
      </c>
      <c r="AH610" s="197">
        <f t="shared" si="425"/>
        <v>0.11660930017110901</v>
      </c>
      <c r="AI610" s="197">
        <f t="shared" si="459"/>
        <v>0.11660930017110901</v>
      </c>
      <c r="AJ610" s="218">
        <f t="shared" si="426"/>
        <v>390.00000000000006</v>
      </c>
      <c r="AK610" s="197">
        <f t="shared" si="460"/>
        <v>6.0930617977437734E-2</v>
      </c>
      <c r="AL610" s="197">
        <f t="shared" si="461"/>
        <v>9.6203707235237593E-2</v>
      </c>
      <c r="AM610" s="197">
        <f t="shared" si="462"/>
        <v>4.0790371867740751E-3</v>
      </c>
      <c r="AN610" s="197">
        <f t="shared" si="427"/>
        <v>24.05</v>
      </c>
      <c r="AO610" s="197">
        <f t="shared" si="428"/>
        <v>21.69</v>
      </c>
      <c r="AP610" s="197">
        <f t="shared" si="463"/>
        <v>7.4093290390420161E-2</v>
      </c>
      <c r="AQ610" s="197">
        <f t="shared" si="464"/>
        <v>0.42250439890466829</v>
      </c>
      <c r="AR610" s="197">
        <f t="shared" si="465"/>
        <v>0.30589509873355925</v>
      </c>
      <c r="AS610" s="258">
        <f t="shared" si="466"/>
        <v>0.15228632177729159</v>
      </c>
      <c r="AT610" s="197">
        <f t="shared" si="429"/>
        <v>2.5974058656511614E-4</v>
      </c>
      <c r="AU610" s="194">
        <f t="shared" si="430"/>
        <v>21.19</v>
      </c>
      <c r="AV610" s="197">
        <f t="shared" si="431"/>
        <v>2.7E-2</v>
      </c>
      <c r="AW610" s="197">
        <f t="shared" si="432"/>
        <v>3.4260000000000002E-3</v>
      </c>
      <c r="AX610" s="197">
        <f t="shared" si="467"/>
        <v>6.1668000000000001E-2</v>
      </c>
      <c r="AY610" s="197">
        <f t="shared" si="433"/>
        <v>2.8867476000000005E-3</v>
      </c>
      <c r="AZ610" s="197">
        <f t="shared" si="434"/>
        <v>0</v>
      </c>
      <c r="BA610" s="197">
        <f t="shared" si="468"/>
        <v>7.2596940000000013E-2</v>
      </c>
      <c r="BB610" s="258">
        <f t="shared" si="435"/>
        <v>0.36575210336206115</v>
      </c>
      <c r="BC610" s="197">
        <f t="shared" si="436"/>
        <v>2.2380490766334034E-2</v>
      </c>
      <c r="BD610" s="197">
        <f t="shared" si="469"/>
        <v>4.4760981532668068E-3</v>
      </c>
      <c r="BE610" s="197">
        <f t="shared" si="470"/>
        <v>2.6856588919600841E-2</v>
      </c>
      <c r="BF610" s="197">
        <f t="shared" si="437"/>
        <v>0.20773291256157633</v>
      </c>
      <c r="BG610" s="197">
        <f t="shared" si="438"/>
        <v>5.4608303342508187E-4</v>
      </c>
      <c r="BH610" s="197">
        <f t="shared" si="439"/>
        <v>3.5336687086656722E-2</v>
      </c>
      <c r="BI610" s="197">
        <f t="shared" si="471"/>
        <v>0.44730899017824427</v>
      </c>
      <c r="BJ610" s="197">
        <f t="shared" si="440"/>
        <v>6.769615024661003</v>
      </c>
      <c r="BK610" s="288">
        <f t="shared" si="441"/>
        <v>0.93392401361838984</v>
      </c>
      <c r="BL610" s="197">
        <f t="shared" si="442"/>
        <v>0.37608972359227794</v>
      </c>
      <c r="BM610" s="197">
        <f t="shared" si="443"/>
        <v>7.4353030976985271E-2</v>
      </c>
      <c r="BN610" s="197">
        <f t="shared" si="444"/>
        <v>54.461181858619113</v>
      </c>
      <c r="BO610" s="197">
        <f t="shared" si="472"/>
        <v>0.2082789955950014</v>
      </c>
      <c r="BP610" s="197">
        <f t="shared" si="445"/>
        <v>65.620924669625111</v>
      </c>
      <c r="BQ610" s="197">
        <f t="shared" si="446"/>
        <v>9.9596940000000009E-2</v>
      </c>
      <c r="BR610" s="288">
        <f t="shared" si="447"/>
        <v>0.16008975919012108</v>
      </c>
      <c r="BS610" s="197">
        <f t="shared" si="448"/>
        <v>0.11660930017110901</v>
      </c>
      <c r="BT610" s="197">
        <f t="shared" si="449"/>
        <v>0.36419974881911377</v>
      </c>
      <c r="BU610" s="197">
        <f t="shared" si="450"/>
        <v>0.1713930788771201</v>
      </c>
      <c r="BV610" s="197">
        <f t="shared" si="451"/>
        <v>0.53530306917875781</v>
      </c>
      <c r="BW610" s="194"/>
      <c r="BX610" s="194"/>
      <c r="BY610" s="194"/>
      <c r="BZ610" s="194"/>
      <c r="CA610" s="194"/>
      <c r="CB610" s="194"/>
      <c r="CC610" s="194"/>
      <c r="CD610" s="194"/>
      <c r="CE610" s="194"/>
      <c r="CF610" s="194"/>
      <c r="CG610" s="194"/>
      <c r="CH610" s="194"/>
      <c r="CI610" s="194"/>
      <c r="CJ610" s="194"/>
      <c r="CK610" s="194"/>
      <c r="CL610" s="194"/>
      <c r="CM610" s="194"/>
      <c r="CN610" s="194"/>
      <c r="CO610" s="194"/>
      <c r="CP610" s="194"/>
      <c r="CQ610" s="194"/>
      <c r="CR610" s="194"/>
      <c r="CS610" s="194"/>
      <c r="CT610" s="194"/>
      <c r="CU610" s="194"/>
      <c r="CV610" s="194"/>
      <c r="CW610" s="194"/>
      <c r="CX610" s="194"/>
      <c r="CY610" s="194"/>
      <c r="CZ610" s="194"/>
      <c r="DA610" s="194"/>
      <c r="DB610" s="194"/>
      <c r="DC610" s="194"/>
      <c r="DD610" s="194"/>
      <c r="DE610" s="194"/>
      <c r="DF610" s="194"/>
    </row>
    <row r="611" spans="2:110" s="192" customFormat="1" hidden="1" x14ac:dyDescent="0.35">
      <c r="B611" s="289"/>
      <c r="C611" s="289"/>
      <c r="Q611" s="193"/>
      <c r="R611" s="194">
        <f t="shared" si="452"/>
        <v>18</v>
      </c>
      <c r="S611" s="197">
        <f t="shared" si="418"/>
        <v>0.3888888888888889</v>
      </c>
      <c r="T611" s="194">
        <f t="shared" si="473"/>
        <v>0.69</v>
      </c>
      <c r="U611" s="194">
        <f t="shared" si="474"/>
        <v>1.4999999999999999E-4</v>
      </c>
      <c r="V611" s="197">
        <f t="shared" si="453"/>
        <v>0.3888888888888889</v>
      </c>
      <c r="W611" s="197">
        <f t="shared" si="419"/>
        <v>4.3555555555555561E-3</v>
      </c>
      <c r="X611" s="286">
        <f t="shared" si="420"/>
        <v>1</v>
      </c>
      <c r="Y611" s="286">
        <f t="shared" si="421"/>
        <v>0.17335969315081967</v>
      </c>
      <c r="Z611" s="286">
        <f t="shared" si="422"/>
        <v>0.54964853345132902</v>
      </c>
      <c r="AA611" s="286">
        <f t="shared" si="454"/>
        <v>0.17335969315081967</v>
      </c>
      <c r="AB611" s="197">
        <f t="shared" si="423"/>
        <v>0.36419974881911377</v>
      </c>
      <c r="AC611" s="287">
        <f t="shared" si="424"/>
        <v>4.4451203372005044E-7</v>
      </c>
      <c r="AD611" s="197">
        <f t="shared" si="455"/>
        <v>11.693936048110356</v>
      </c>
      <c r="AE611" s="197">
        <f t="shared" si="456"/>
        <v>35.08180814433107</v>
      </c>
      <c r="AF611" s="197">
        <f t="shared" si="457"/>
        <v>8.5178571428571423E-2</v>
      </c>
      <c r="AG611" s="197">
        <f t="shared" si="458"/>
        <v>0.25553571428571431</v>
      </c>
      <c r="AH611" s="197">
        <f t="shared" si="425"/>
        <v>0.11660930017110901</v>
      </c>
      <c r="AI611" s="197">
        <f t="shared" si="459"/>
        <v>0.11660930017110901</v>
      </c>
      <c r="AJ611" s="218">
        <f t="shared" si="426"/>
        <v>390.00000000000006</v>
      </c>
      <c r="AK611" s="197">
        <f t="shared" si="460"/>
        <v>6.0930617977437734E-2</v>
      </c>
      <c r="AL611" s="197">
        <f t="shared" si="461"/>
        <v>9.6203707235237593E-2</v>
      </c>
      <c r="AM611" s="197">
        <f t="shared" si="462"/>
        <v>4.0790371867740751E-3</v>
      </c>
      <c r="AN611" s="197">
        <f t="shared" si="427"/>
        <v>24.05</v>
      </c>
      <c r="AO611" s="197">
        <f t="shared" si="428"/>
        <v>21.69</v>
      </c>
      <c r="AP611" s="197">
        <f t="shared" si="463"/>
        <v>7.4093290390420161E-2</v>
      </c>
      <c r="AQ611" s="197">
        <f t="shared" si="464"/>
        <v>0.42250439890466829</v>
      </c>
      <c r="AR611" s="197">
        <f t="shared" si="465"/>
        <v>0.30589509873355925</v>
      </c>
      <c r="AS611" s="258">
        <f t="shared" si="466"/>
        <v>0.15228632177729159</v>
      </c>
      <c r="AT611" s="197">
        <f t="shared" si="429"/>
        <v>2.5974058656511614E-4</v>
      </c>
      <c r="AU611" s="194">
        <f t="shared" si="430"/>
        <v>21.19</v>
      </c>
      <c r="AV611" s="197">
        <f t="shared" si="431"/>
        <v>2.7E-2</v>
      </c>
      <c r="AW611" s="197">
        <f t="shared" si="432"/>
        <v>3.4260000000000002E-3</v>
      </c>
      <c r="AX611" s="197">
        <f t="shared" si="467"/>
        <v>6.1668000000000001E-2</v>
      </c>
      <c r="AY611" s="197">
        <f t="shared" si="433"/>
        <v>2.8867476000000005E-3</v>
      </c>
      <c r="AZ611" s="197">
        <f t="shared" si="434"/>
        <v>0</v>
      </c>
      <c r="BA611" s="197">
        <f t="shared" si="468"/>
        <v>7.2596940000000013E-2</v>
      </c>
      <c r="BB611" s="258">
        <f t="shared" si="435"/>
        <v>0.36575210336206115</v>
      </c>
      <c r="BC611" s="197">
        <f t="shared" si="436"/>
        <v>2.2380490766334034E-2</v>
      </c>
      <c r="BD611" s="197">
        <f t="shared" si="469"/>
        <v>4.4760981532668068E-3</v>
      </c>
      <c r="BE611" s="197">
        <f t="shared" si="470"/>
        <v>2.6856588919600841E-2</v>
      </c>
      <c r="BF611" s="197">
        <f t="shared" si="437"/>
        <v>0.20773291256157633</v>
      </c>
      <c r="BG611" s="197">
        <f t="shared" si="438"/>
        <v>5.4608303342508187E-4</v>
      </c>
      <c r="BH611" s="197">
        <f t="shared" si="439"/>
        <v>3.5336687086656722E-2</v>
      </c>
      <c r="BI611" s="197">
        <f t="shared" si="471"/>
        <v>0.44730899017824427</v>
      </c>
      <c r="BJ611" s="197">
        <f t="shared" si="440"/>
        <v>6.769615024661003</v>
      </c>
      <c r="BK611" s="288">
        <f t="shared" si="441"/>
        <v>0.93392401361838984</v>
      </c>
      <c r="BL611" s="197">
        <f t="shared" si="442"/>
        <v>0.37608972359227794</v>
      </c>
      <c r="BM611" s="197">
        <f t="shared" si="443"/>
        <v>7.4353030976985271E-2</v>
      </c>
      <c r="BN611" s="197">
        <f t="shared" si="444"/>
        <v>54.461181858619113</v>
      </c>
      <c r="BO611" s="197">
        <f t="shared" si="472"/>
        <v>0.2082789955950014</v>
      </c>
      <c r="BP611" s="197">
        <f t="shared" si="445"/>
        <v>65.620924669625111</v>
      </c>
      <c r="BQ611" s="197">
        <f t="shared" si="446"/>
        <v>9.9596940000000009E-2</v>
      </c>
      <c r="BR611" s="288">
        <f t="shared" si="447"/>
        <v>0.16008975919012108</v>
      </c>
      <c r="BS611" s="197">
        <f t="shared" si="448"/>
        <v>0.11660930017110901</v>
      </c>
      <c r="BT611" s="197">
        <f t="shared" si="449"/>
        <v>0.36419974881911377</v>
      </c>
      <c r="BU611" s="197">
        <f t="shared" si="450"/>
        <v>0.1713930788771201</v>
      </c>
      <c r="BV611" s="197">
        <f t="shared" si="451"/>
        <v>0.53530306917875781</v>
      </c>
      <c r="BW611" s="194"/>
      <c r="BX611" s="194"/>
      <c r="BY611" s="194"/>
      <c r="BZ611" s="194"/>
      <c r="CA611" s="194"/>
      <c r="CB611" s="194"/>
      <c r="CC611" s="194"/>
      <c r="CD611" s="194"/>
      <c r="CE611" s="194"/>
      <c r="CF611" s="194"/>
      <c r="CG611" s="194"/>
      <c r="CH611" s="194"/>
      <c r="CI611" s="194"/>
      <c r="CJ611" s="194"/>
      <c r="CK611" s="194"/>
      <c r="CL611" s="194"/>
      <c r="CM611" s="194"/>
      <c r="CN611" s="194"/>
      <c r="CO611" s="194"/>
      <c r="CP611" s="194"/>
      <c r="CQ611" s="194"/>
      <c r="CR611" s="194"/>
      <c r="CS611" s="194"/>
      <c r="CT611" s="194"/>
      <c r="CU611" s="194"/>
      <c r="CV611" s="194"/>
      <c r="CW611" s="194"/>
      <c r="CX611" s="194"/>
      <c r="CY611" s="194"/>
      <c r="CZ611" s="194"/>
      <c r="DA611" s="194"/>
      <c r="DB611" s="194"/>
      <c r="DC611" s="194"/>
      <c r="DD611" s="194"/>
      <c r="DE611" s="194"/>
      <c r="DF611" s="194"/>
    </row>
    <row r="612" spans="2:110" s="192" customFormat="1" hidden="1" x14ac:dyDescent="0.35">
      <c r="B612" s="289"/>
      <c r="C612" s="289"/>
      <c r="Q612" s="193"/>
      <c r="R612" s="194">
        <f t="shared" si="452"/>
        <v>18</v>
      </c>
      <c r="S612" s="197">
        <f t="shared" si="418"/>
        <v>0.3888888888888889</v>
      </c>
      <c r="T612" s="194">
        <f t="shared" si="473"/>
        <v>0.69</v>
      </c>
      <c r="U612" s="194">
        <f t="shared" si="474"/>
        <v>1.4999999999999999E-4</v>
      </c>
      <c r="V612" s="197">
        <f t="shared" si="453"/>
        <v>0.3888888888888889</v>
      </c>
      <c r="W612" s="197">
        <f t="shared" si="419"/>
        <v>4.3555555555555561E-3</v>
      </c>
      <c r="X612" s="286">
        <f t="shared" si="420"/>
        <v>1</v>
      </c>
      <c r="Y612" s="286">
        <f t="shared" si="421"/>
        <v>0.17335969315081967</v>
      </c>
      <c r="Z612" s="286">
        <f t="shared" si="422"/>
        <v>0.54964853345132902</v>
      </c>
      <c r="AA612" s="286">
        <f t="shared" si="454"/>
        <v>0.17335969315081967</v>
      </c>
      <c r="AB612" s="197">
        <f t="shared" si="423"/>
        <v>0.36419974881911377</v>
      </c>
      <c r="AC612" s="287">
        <f t="shared" si="424"/>
        <v>4.4451203372005044E-7</v>
      </c>
      <c r="AD612" s="197">
        <f t="shared" si="455"/>
        <v>11.693936048110356</v>
      </c>
      <c r="AE612" s="197">
        <f t="shared" si="456"/>
        <v>35.08180814433107</v>
      </c>
      <c r="AF612" s="197">
        <f t="shared" si="457"/>
        <v>8.5178571428571423E-2</v>
      </c>
      <c r="AG612" s="197">
        <f t="shared" si="458"/>
        <v>0.25553571428571431</v>
      </c>
      <c r="AH612" s="197">
        <f t="shared" si="425"/>
        <v>0.11660930017110901</v>
      </c>
      <c r="AI612" s="197">
        <f t="shared" si="459"/>
        <v>0.11660930017110901</v>
      </c>
      <c r="AJ612" s="218">
        <f t="shared" si="426"/>
        <v>390.00000000000006</v>
      </c>
      <c r="AK612" s="197">
        <f t="shared" si="460"/>
        <v>6.0930617977437734E-2</v>
      </c>
      <c r="AL612" s="197">
        <f t="shared" si="461"/>
        <v>9.6203707235237593E-2</v>
      </c>
      <c r="AM612" s="197">
        <f t="shared" si="462"/>
        <v>4.0790371867740751E-3</v>
      </c>
      <c r="AN612" s="197">
        <f t="shared" si="427"/>
        <v>24.05</v>
      </c>
      <c r="AO612" s="197">
        <f t="shared" si="428"/>
        <v>21.69</v>
      </c>
      <c r="AP612" s="197">
        <f t="shared" si="463"/>
        <v>7.4093290390420161E-2</v>
      </c>
      <c r="AQ612" s="197">
        <f t="shared" si="464"/>
        <v>0.42250439890466829</v>
      </c>
      <c r="AR612" s="197">
        <f t="shared" si="465"/>
        <v>0.30589509873355925</v>
      </c>
      <c r="AS612" s="258">
        <f t="shared" si="466"/>
        <v>0.15228632177729159</v>
      </c>
      <c r="AT612" s="197">
        <f t="shared" si="429"/>
        <v>2.5974058656511614E-4</v>
      </c>
      <c r="AU612" s="194">
        <f t="shared" si="430"/>
        <v>21.19</v>
      </c>
      <c r="AV612" s="197">
        <f t="shared" si="431"/>
        <v>2.7E-2</v>
      </c>
      <c r="AW612" s="197">
        <f t="shared" si="432"/>
        <v>3.4260000000000002E-3</v>
      </c>
      <c r="AX612" s="197">
        <f t="shared" si="467"/>
        <v>6.1668000000000001E-2</v>
      </c>
      <c r="AY612" s="197">
        <f t="shared" si="433"/>
        <v>2.8867476000000005E-3</v>
      </c>
      <c r="AZ612" s="197">
        <f t="shared" si="434"/>
        <v>0</v>
      </c>
      <c r="BA612" s="197">
        <f t="shared" si="468"/>
        <v>7.2596940000000013E-2</v>
      </c>
      <c r="BB612" s="258">
        <f t="shared" si="435"/>
        <v>0.36575210336206115</v>
      </c>
      <c r="BC612" s="197">
        <f t="shared" si="436"/>
        <v>2.2380490766334034E-2</v>
      </c>
      <c r="BD612" s="197">
        <f t="shared" si="469"/>
        <v>4.4760981532668068E-3</v>
      </c>
      <c r="BE612" s="197">
        <f t="shared" si="470"/>
        <v>2.6856588919600841E-2</v>
      </c>
      <c r="BF612" s="197">
        <f t="shared" si="437"/>
        <v>0.20773291256157633</v>
      </c>
      <c r="BG612" s="197">
        <f t="shared" si="438"/>
        <v>5.4608303342508187E-4</v>
      </c>
      <c r="BH612" s="197">
        <f t="shared" si="439"/>
        <v>3.5336687086656722E-2</v>
      </c>
      <c r="BI612" s="197">
        <f t="shared" si="471"/>
        <v>0.44730899017824427</v>
      </c>
      <c r="BJ612" s="197">
        <f t="shared" si="440"/>
        <v>6.769615024661003</v>
      </c>
      <c r="BK612" s="288">
        <f t="shared" si="441"/>
        <v>0.93392401361838984</v>
      </c>
      <c r="BL612" s="197">
        <f t="shared" si="442"/>
        <v>0.37608972359227794</v>
      </c>
      <c r="BM612" s="197">
        <f t="shared" si="443"/>
        <v>7.4353030976985271E-2</v>
      </c>
      <c r="BN612" s="197">
        <f t="shared" si="444"/>
        <v>54.461181858619113</v>
      </c>
      <c r="BO612" s="197">
        <f t="shared" si="472"/>
        <v>0.2082789955950014</v>
      </c>
      <c r="BP612" s="197">
        <f t="shared" si="445"/>
        <v>65.620924669625111</v>
      </c>
      <c r="BQ612" s="197">
        <f t="shared" si="446"/>
        <v>9.9596940000000009E-2</v>
      </c>
      <c r="BR612" s="288">
        <f t="shared" si="447"/>
        <v>0.16008975919012108</v>
      </c>
      <c r="BS612" s="197">
        <f t="shared" si="448"/>
        <v>0.11660930017110901</v>
      </c>
      <c r="BT612" s="197">
        <f t="shared" si="449"/>
        <v>0.36419974881911377</v>
      </c>
      <c r="BU612" s="197">
        <f t="shared" si="450"/>
        <v>0.1713930788771201</v>
      </c>
      <c r="BV612" s="197">
        <f t="shared" si="451"/>
        <v>0.53530306917875781</v>
      </c>
      <c r="BW612" s="194"/>
      <c r="BX612" s="194"/>
      <c r="BY612" s="194"/>
      <c r="BZ612" s="194"/>
      <c r="CA612" s="194"/>
      <c r="CB612" s="194"/>
      <c r="CC612" s="194"/>
      <c r="CD612" s="194"/>
      <c r="CE612" s="194"/>
      <c r="CF612" s="194"/>
      <c r="CG612" s="194"/>
      <c r="CH612" s="194"/>
      <c r="CI612" s="194"/>
      <c r="CJ612" s="194"/>
      <c r="CK612" s="194"/>
      <c r="CL612" s="194"/>
      <c r="CM612" s="194"/>
      <c r="CN612" s="194"/>
      <c r="CO612" s="194"/>
      <c r="CP612" s="194"/>
      <c r="CQ612" s="194"/>
      <c r="CR612" s="194"/>
      <c r="CS612" s="194"/>
      <c r="CT612" s="194"/>
      <c r="CU612" s="194"/>
      <c r="CV612" s="194"/>
      <c r="CW612" s="194"/>
      <c r="CX612" s="194"/>
      <c r="CY612" s="194"/>
      <c r="CZ612" s="194"/>
      <c r="DA612" s="194"/>
      <c r="DB612" s="194"/>
      <c r="DC612" s="194"/>
      <c r="DD612" s="194"/>
      <c r="DE612" s="194"/>
      <c r="DF612" s="194"/>
    </row>
    <row r="613" spans="2:110" s="192" customFormat="1" hidden="1" x14ac:dyDescent="0.35">
      <c r="B613" s="289"/>
      <c r="C613" s="289"/>
      <c r="Q613" s="193"/>
      <c r="R613" s="194">
        <f t="shared" si="452"/>
        <v>18</v>
      </c>
      <c r="S613" s="197">
        <f t="shared" si="418"/>
        <v>0.3888888888888889</v>
      </c>
      <c r="T613" s="194">
        <f t="shared" si="473"/>
        <v>0.69</v>
      </c>
      <c r="U613" s="194">
        <f t="shared" si="474"/>
        <v>1.4999999999999999E-4</v>
      </c>
      <c r="V613" s="197">
        <f t="shared" si="453"/>
        <v>0.3888888888888889</v>
      </c>
      <c r="W613" s="197">
        <f t="shared" si="419"/>
        <v>4.3555555555555561E-3</v>
      </c>
      <c r="X613" s="286">
        <f t="shared" si="420"/>
        <v>1</v>
      </c>
      <c r="Y613" s="286">
        <f t="shared" si="421"/>
        <v>0.17335969315081967</v>
      </c>
      <c r="Z613" s="286">
        <f t="shared" si="422"/>
        <v>0.54964853345132902</v>
      </c>
      <c r="AA613" s="286">
        <f t="shared" si="454"/>
        <v>0.17335969315081967</v>
      </c>
      <c r="AB613" s="197">
        <f t="shared" si="423"/>
        <v>0.36419974881911377</v>
      </c>
      <c r="AC613" s="287">
        <f t="shared" si="424"/>
        <v>4.4451203372005044E-7</v>
      </c>
      <c r="AD613" s="197">
        <f t="shared" si="455"/>
        <v>11.693936048110356</v>
      </c>
      <c r="AE613" s="197">
        <f t="shared" si="456"/>
        <v>35.08180814433107</v>
      </c>
      <c r="AF613" s="197">
        <f t="shared" si="457"/>
        <v>8.5178571428571423E-2</v>
      </c>
      <c r="AG613" s="197">
        <f t="shared" si="458"/>
        <v>0.25553571428571431</v>
      </c>
      <c r="AH613" s="197">
        <f t="shared" si="425"/>
        <v>0.11660930017110901</v>
      </c>
      <c r="AI613" s="197">
        <f t="shared" si="459"/>
        <v>0.11660930017110901</v>
      </c>
      <c r="AJ613" s="218">
        <f t="shared" si="426"/>
        <v>390.00000000000006</v>
      </c>
      <c r="AK613" s="197">
        <f t="shared" si="460"/>
        <v>6.0930617977437734E-2</v>
      </c>
      <c r="AL613" s="197">
        <f t="shared" si="461"/>
        <v>9.6203707235237593E-2</v>
      </c>
      <c r="AM613" s="197">
        <f t="shared" si="462"/>
        <v>4.0790371867740751E-3</v>
      </c>
      <c r="AN613" s="197">
        <f t="shared" si="427"/>
        <v>24.05</v>
      </c>
      <c r="AO613" s="197">
        <f t="shared" si="428"/>
        <v>21.69</v>
      </c>
      <c r="AP613" s="197">
        <f t="shared" si="463"/>
        <v>7.4093290390420161E-2</v>
      </c>
      <c r="AQ613" s="197">
        <f t="shared" si="464"/>
        <v>0.42250439890466829</v>
      </c>
      <c r="AR613" s="197">
        <f t="shared" si="465"/>
        <v>0.30589509873355925</v>
      </c>
      <c r="AS613" s="258">
        <f t="shared" si="466"/>
        <v>0.15228632177729159</v>
      </c>
      <c r="AT613" s="197">
        <f t="shared" si="429"/>
        <v>2.5974058656511614E-4</v>
      </c>
      <c r="AU613" s="194">
        <f t="shared" si="430"/>
        <v>21.19</v>
      </c>
      <c r="AV613" s="197">
        <f t="shared" si="431"/>
        <v>2.7E-2</v>
      </c>
      <c r="AW613" s="197">
        <f t="shared" si="432"/>
        <v>3.4260000000000002E-3</v>
      </c>
      <c r="AX613" s="197">
        <f t="shared" si="467"/>
        <v>6.1668000000000001E-2</v>
      </c>
      <c r="AY613" s="197">
        <f t="shared" si="433"/>
        <v>2.8867476000000005E-3</v>
      </c>
      <c r="AZ613" s="197">
        <f t="shared" si="434"/>
        <v>0</v>
      </c>
      <c r="BA613" s="197">
        <f t="shared" si="468"/>
        <v>7.2596940000000013E-2</v>
      </c>
      <c r="BB613" s="258">
        <f t="shared" si="435"/>
        <v>0.36575210336206115</v>
      </c>
      <c r="BC613" s="197">
        <f t="shared" si="436"/>
        <v>2.2380490766334034E-2</v>
      </c>
      <c r="BD613" s="197">
        <f t="shared" si="469"/>
        <v>4.4760981532668068E-3</v>
      </c>
      <c r="BE613" s="197">
        <f t="shared" si="470"/>
        <v>2.6856588919600841E-2</v>
      </c>
      <c r="BF613" s="197">
        <f t="shared" si="437"/>
        <v>0.20773291256157633</v>
      </c>
      <c r="BG613" s="197">
        <f t="shared" si="438"/>
        <v>5.4608303342508187E-4</v>
      </c>
      <c r="BH613" s="197">
        <f t="shared" si="439"/>
        <v>3.5336687086656722E-2</v>
      </c>
      <c r="BI613" s="197">
        <f t="shared" si="471"/>
        <v>0.44730899017824427</v>
      </c>
      <c r="BJ613" s="197">
        <f t="shared" si="440"/>
        <v>6.769615024661003</v>
      </c>
      <c r="BK613" s="288">
        <f t="shared" si="441"/>
        <v>0.93392401361838984</v>
      </c>
      <c r="BL613" s="197">
        <f t="shared" si="442"/>
        <v>0.37608972359227794</v>
      </c>
      <c r="BM613" s="197">
        <f t="shared" si="443"/>
        <v>7.4353030976985271E-2</v>
      </c>
      <c r="BN613" s="197">
        <f t="shared" si="444"/>
        <v>54.461181858619113</v>
      </c>
      <c r="BO613" s="197">
        <f t="shared" si="472"/>
        <v>0.2082789955950014</v>
      </c>
      <c r="BP613" s="197">
        <f t="shared" si="445"/>
        <v>65.620924669625111</v>
      </c>
      <c r="BQ613" s="197">
        <f t="shared" si="446"/>
        <v>9.9596940000000009E-2</v>
      </c>
      <c r="BR613" s="288">
        <f t="shared" si="447"/>
        <v>0.16008975919012108</v>
      </c>
      <c r="BS613" s="197">
        <f t="shared" si="448"/>
        <v>0.11660930017110901</v>
      </c>
      <c r="BT613" s="197">
        <f t="shared" si="449"/>
        <v>0.36419974881911377</v>
      </c>
      <c r="BU613" s="197">
        <f t="shared" si="450"/>
        <v>0.1713930788771201</v>
      </c>
      <c r="BV613" s="197">
        <f t="shared" si="451"/>
        <v>0.53530306917875781</v>
      </c>
      <c r="BW613" s="194"/>
      <c r="BX613" s="194"/>
      <c r="BY613" s="194"/>
      <c r="BZ613" s="194"/>
      <c r="CA613" s="194"/>
      <c r="CB613" s="194"/>
      <c r="CC613" s="194"/>
      <c r="CD613" s="194"/>
      <c r="CE613" s="194"/>
      <c r="CF613" s="194"/>
      <c r="CG613" s="194"/>
      <c r="CH613" s="194"/>
      <c r="CI613" s="194"/>
      <c r="CJ613" s="194"/>
      <c r="CK613" s="194"/>
      <c r="CL613" s="194"/>
      <c r="CM613" s="194"/>
      <c r="CN613" s="194"/>
      <c r="CO613" s="194"/>
      <c r="CP613" s="194"/>
      <c r="CQ613" s="194"/>
      <c r="CR613" s="194"/>
      <c r="CS613" s="194"/>
      <c r="CT613" s="194"/>
      <c r="CU613" s="194"/>
      <c r="CV613" s="194"/>
      <c r="CW613" s="194"/>
      <c r="CX613" s="194"/>
      <c r="CY613" s="194"/>
      <c r="CZ613" s="194"/>
      <c r="DA613" s="194"/>
      <c r="DB613" s="194"/>
      <c r="DC613" s="194"/>
      <c r="DD613" s="194"/>
      <c r="DE613" s="194"/>
      <c r="DF613" s="194"/>
    </row>
    <row r="614" spans="2:110" s="192" customFormat="1" hidden="1" x14ac:dyDescent="0.35">
      <c r="B614" s="289"/>
      <c r="C614" s="289"/>
      <c r="Q614" s="193"/>
      <c r="R614" s="194">
        <f t="shared" si="452"/>
        <v>18</v>
      </c>
      <c r="S614" s="197">
        <f t="shared" si="418"/>
        <v>0.3888888888888889</v>
      </c>
      <c r="T614" s="194">
        <f t="shared" si="473"/>
        <v>0.69</v>
      </c>
      <c r="U614" s="194">
        <f t="shared" si="474"/>
        <v>1.4999999999999999E-4</v>
      </c>
      <c r="V614" s="197">
        <f t="shared" si="453"/>
        <v>0.3888888888888889</v>
      </c>
      <c r="W614" s="197">
        <f t="shared" si="419"/>
        <v>4.3555555555555561E-3</v>
      </c>
      <c r="X614" s="286">
        <f t="shared" si="420"/>
        <v>1</v>
      </c>
      <c r="Y614" s="286">
        <f t="shared" si="421"/>
        <v>0.17335969315081967</v>
      </c>
      <c r="Z614" s="286">
        <f t="shared" si="422"/>
        <v>0.54964853345132902</v>
      </c>
      <c r="AA614" s="286">
        <f t="shared" si="454"/>
        <v>0.17335969315081967</v>
      </c>
      <c r="AB614" s="197">
        <f t="shared" si="423"/>
        <v>0.36419974881911377</v>
      </c>
      <c r="AC614" s="287">
        <f t="shared" si="424"/>
        <v>4.4451203372005044E-7</v>
      </c>
      <c r="AD614" s="197">
        <f t="shared" si="455"/>
        <v>11.693936048110356</v>
      </c>
      <c r="AE614" s="197">
        <f t="shared" si="456"/>
        <v>35.08180814433107</v>
      </c>
      <c r="AF614" s="197">
        <f t="shared" si="457"/>
        <v>8.5178571428571423E-2</v>
      </c>
      <c r="AG614" s="197">
        <f t="shared" si="458"/>
        <v>0.25553571428571431</v>
      </c>
      <c r="AH614" s="197">
        <f t="shared" si="425"/>
        <v>0.11660930017110901</v>
      </c>
      <c r="AI614" s="197">
        <f t="shared" si="459"/>
        <v>0.11660930017110901</v>
      </c>
      <c r="AJ614" s="218">
        <f t="shared" si="426"/>
        <v>390.00000000000006</v>
      </c>
      <c r="AK614" s="197">
        <f t="shared" si="460"/>
        <v>6.0930617977437734E-2</v>
      </c>
      <c r="AL614" s="197">
        <f t="shared" si="461"/>
        <v>9.6203707235237593E-2</v>
      </c>
      <c r="AM614" s="197">
        <f t="shared" si="462"/>
        <v>4.0790371867740751E-3</v>
      </c>
      <c r="AN614" s="197">
        <f t="shared" si="427"/>
        <v>24.05</v>
      </c>
      <c r="AO614" s="197">
        <f t="shared" si="428"/>
        <v>21.69</v>
      </c>
      <c r="AP614" s="197">
        <f t="shared" si="463"/>
        <v>7.4093290390420161E-2</v>
      </c>
      <c r="AQ614" s="197">
        <f t="shared" si="464"/>
        <v>0.42250439890466829</v>
      </c>
      <c r="AR614" s="197">
        <f t="shared" si="465"/>
        <v>0.30589509873355925</v>
      </c>
      <c r="AS614" s="258">
        <f t="shared" si="466"/>
        <v>0.15228632177729159</v>
      </c>
      <c r="AT614" s="197">
        <f t="shared" si="429"/>
        <v>2.5974058656511614E-4</v>
      </c>
      <c r="AU614" s="194">
        <f t="shared" si="430"/>
        <v>21.19</v>
      </c>
      <c r="AV614" s="197">
        <f t="shared" si="431"/>
        <v>2.7E-2</v>
      </c>
      <c r="AW614" s="197">
        <f t="shared" si="432"/>
        <v>3.4260000000000002E-3</v>
      </c>
      <c r="AX614" s="197">
        <f t="shared" si="467"/>
        <v>6.1668000000000001E-2</v>
      </c>
      <c r="AY614" s="197">
        <f t="shared" si="433"/>
        <v>2.8867476000000005E-3</v>
      </c>
      <c r="AZ614" s="197">
        <f t="shared" si="434"/>
        <v>0</v>
      </c>
      <c r="BA614" s="197">
        <f t="shared" si="468"/>
        <v>7.2596940000000013E-2</v>
      </c>
      <c r="BB614" s="258">
        <f t="shared" si="435"/>
        <v>0.36575210336206115</v>
      </c>
      <c r="BC614" s="197">
        <f t="shared" si="436"/>
        <v>2.2380490766334034E-2</v>
      </c>
      <c r="BD614" s="197">
        <f t="shared" si="469"/>
        <v>4.4760981532668068E-3</v>
      </c>
      <c r="BE614" s="197">
        <f t="shared" si="470"/>
        <v>2.6856588919600841E-2</v>
      </c>
      <c r="BF614" s="197">
        <f t="shared" si="437"/>
        <v>0.20773291256157633</v>
      </c>
      <c r="BG614" s="197">
        <f t="shared" si="438"/>
        <v>5.4608303342508187E-4</v>
      </c>
      <c r="BH614" s="197">
        <f t="shared" si="439"/>
        <v>3.5336687086656722E-2</v>
      </c>
      <c r="BI614" s="197">
        <f t="shared" si="471"/>
        <v>0.44730899017824427</v>
      </c>
      <c r="BJ614" s="197">
        <f t="shared" si="440"/>
        <v>6.769615024661003</v>
      </c>
      <c r="BK614" s="288">
        <f t="shared" si="441"/>
        <v>0.93392401361838984</v>
      </c>
      <c r="BL614" s="197">
        <f t="shared" si="442"/>
        <v>0.37608972359227794</v>
      </c>
      <c r="BM614" s="197">
        <f t="shared" si="443"/>
        <v>7.4353030976985271E-2</v>
      </c>
      <c r="BN614" s="197">
        <f t="shared" si="444"/>
        <v>54.461181858619113</v>
      </c>
      <c r="BO614" s="197">
        <f t="shared" si="472"/>
        <v>0.2082789955950014</v>
      </c>
      <c r="BP614" s="197">
        <f t="shared" si="445"/>
        <v>65.620924669625111</v>
      </c>
      <c r="BQ614" s="197">
        <f t="shared" si="446"/>
        <v>9.9596940000000009E-2</v>
      </c>
      <c r="BR614" s="288">
        <f t="shared" si="447"/>
        <v>0.16008975919012108</v>
      </c>
      <c r="BS614" s="197">
        <f t="shared" si="448"/>
        <v>0.11660930017110901</v>
      </c>
      <c r="BT614" s="197">
        <f t="shared" si="449"/>
        <v>0.36419974881911377</v>
      </c>
      <c r="BU614" s="197">
        <f t="shared" si="450"/>
        <v>0.1713930788771201</v>
      </c>
      <c r="BV614" s="197">
        <f t="shared" si="451"/>
        <v>0.53530306917875781</v>
      </c>
      <c r="BW614" s="194"/>
      <c r="BX614" s="194"/>
      <c r="BY614" s="194"/>
      <c r="BZ614" s="194"/>
      <c r="CA614" s="194"/>
      <c r="CB614" s="194"/>
      <c r="CC614" s="194"/>
      <c r="CD614" s="194"/>
      <c r="CE614" s="194"/>
      <c r="CF614" s="194"/>
      <c r="CG614" s="194"/>
      <c r="CH614" s="194"/>
      <c r="CI614" s="194"/>
      <c r="CJ614" s="194"/>
      <c r="CK614" s="194"/>
      <c r="CL614" s="194"/>
      <c r="CM614" s="194"/>
      <c r="CN614" s="194"/>
      <c r="CO614" s="194"/>
      <c r="CP614" s="194"/>
      <c r="CQ614" s="194"/>
      <c r="CR614" s="194"/>
      <c r="CS614" s="194"/>
      <c r="CT614" s="194"/>
      <c r="CU614" s="194"/>
      <c r="CV614" s="194"/>
      <c r="CW614" s="194"/>
      <c r="CX614" s="194"/>
      <c r="CY614" s="194"/>
      <c r="CZ614" s="194"/>
      <c r="DA614" s="194"/>
      <c r="DB614" s="194"/>
      <c r="DC614" s="194"/>
      <c r="DD614" s="194"/>
      <c r="DE614" s="194"/>
      <c r="DF614" s="194"/>
    </row>
    <row r="615" spans="2:110" s="192" customFormat="1" hidden="1" x14ac:dyDescent="0.35">
      <c r="B615" s="289"/>
      <c r="C615" s="289"/>
      <c r="Q615" s="193"/>
      <c r="R615" s="194">
        <f t="shared" si="452"/>
        <v>18</v>
      </c>
      <c r="S615" s="197">
        <f t="shared" si="418"/>
        <v>0.3888888888888889</v>
      </c>
      <c r="T615" s="194">
        <f t="shared" si="473"/>
        <v>0.69</v>
      </c>
      <c r="U615" s="194">
        <f t="shared" si="474"/>
        <v>1.4999999999999999E-4</v>
      </c>
      <c r="V615" s="197">
        <f t="shared" si="453"/>
        <v>0.3888888888888889</v>
      </c>
      <c r="W615" s="197">
        <f t="shared" si="419"/>
        <v>4.3555555555555561E-3</v>
      </c>
      <c r="X615" s="286">
        <f t="shared" si="420"/>
        <v>1</v>
      </c>
      <c r="Y615" s="286">
        <f t="shared" si="421"/>
        <v>0.17335969315081967</v>
      </c>
      <c r="Z615" s="286">
        <f t="shared" si="422"/>
        <v>0.54964853345132902</v>
      </c>
      <c r="AA615" s="286">
        <f t="shared" si="454"/>
        <v>0.17335969315081967</v>
      </c>
      <c r="AB615" s="197">
        <f t="shared" si="423"/>
        <v>0.36419974881911377</v>
      </c>
      <c r="AC615" s="287">
        <f t="shared" si="424"/>
        <v>4.4451203372005044E-7</v>
      </c>
      <c r="AD615" s="197">
        <f t="shared" si="455"/>
        <v>11.693936048110356</v>
      </c>
      <c r="AE615" s="197">
        <f t="shared" si="456"/>
        <v>35.08180814433107</v>
      </c>
      <c r="AF615" s="197">
        <f t="shared" si="457"/>
        <v>8.5178571428571423E-2</v>
      </c>
      <c r="AG615" s="197">
        <f t="shared" si="458"/>
        <v>0.25553571428571431</v>
      </c>
      <c r="AH615" s="197">
        <f t="shared" si="425"/>
        <v>0.11660930017110901</v>
      </c>
      <c r="AI615" s="197">
        <f t="shared" si="459"/>
        <v>0.11660930017110901</v>
      </c>
      <c r="AJ615" s="218">
        <f t="shared" si="426"/>
        <v>390.00000000000006</v>
      </c>
      <c r="AK615" s="197">
        <f t="shared" si="460"/>
        <v>6.0930617977437734E-2</v>
      </c>
      <c r="AL615" s="197">
        <f t="shared" si="461"/>
        <v>9.6203707235237593E-2</v>
      </c>
      <c r="AM615" s="197">
        <f t="shared" si="462"/>
        <v>4.0790371867740751E-3</v>
      </c>
      <c r="AN615" s="197">
        <f t="shared" si="427"/>
        <v>24.05</v>
      </c>
      <c r="AO615" s="197">
        <f t="shared" si="428"/>
        <v>21.69</v>
      </c>
      <c r="AP615" s="197">
        <f t="shared" si="463"/>
        <v>7.4093290390420161E-2</v>
      </c>
      <c r="AQ615" s="197">
        <f t="shared" si="464"/>
        <v>0.42250439890466829</v>
      </c>
      <c r="AR615" s="197">
        <f t="shared" si="465"/>
        <v>0.30589509873355925</v>
      </c>
      <c r="AS615" s="258">
        <f t="shared" si="466"/>
        <v>0.15228632177729159</v>
      </c>
      <c r="AT615" s="197">
        <f t="shared" si="429"/>
        <v>2.5974058656511614E-4</v>
      </c>
      <c r="AU615" s="194">
        <f t="shared" si="430"/>
        <v>21.19</v>
      </c>
      <c r="AV615" s="197">
        <f t="shared" si="431"/>
        <v>2.7E-2</v>
      </c>
      <c r="AW615" s="197">
        <f t="shared" si="432"/>
        <v>3.4260000000000002E-3</v>
      </c>
      <c r="AX615" s="197">
        <f t="shared" si="467"/>
        <v>6.1668000000000001E-2</v>
      </c>
      <c r="AY615" s="197">
        <f t="shared" si="433"/>
        <v>2.8867476000000005E-3</v>
      </c>
      <c r="AZ615" s="197">
        <f t="shared" si="434"/>
        <v>0</v>
      </c>
      <c r="BA615" s="197">
        <f t="shared" si="468"/>
        <v>7.2596940000000013E-2</v>
      </c>
      <c r="BB615" s="258">
        <f t="shared" si="435"/>
        <v>0.36575210336206115</v>
      </c>
      <c r="BC615" s="197">
        <f t="shared" si="436"/>
        <v>2.2380490766334034E-2</v>
      </c>
      <c r="BD615" s="197">
        <f t="shared" si="469"/>
        <v>4.4760981532668068E-3</v>
      </c>
      <c r="BE615" s="197">
        <f t="shared" si="470"/>
        <v>2.6856588919600841E-2</v>
      </c>
      <c r="BF615" s="197">
        <f t="shared" si="437"/>
        <v>0.20773291256157633</v>
      </c>
      <c r="BG615" s="197">
        <f t="shared" si="438"/>
        <v>5.4608303342508187E-4</v>
      </c>
      <c r="BH615" s="197">
        <f t="shared" si="439"/>
        <v>3.5336687086656722E-2</v>
      </c>
      <c r="BI615" s="197">
        <f t="shared" si="471"/>
        <v>0.44730899017824427</v>
      </c>
      <c r="BJ615" s="197">
        <f t="shared" si="440"/>
        <v>6.769615024661003</v>
      </c>
      <c r="BK615" s="288">
        <f t="shared" si="441"/>
        <v>0.93392401361838984</v>
      </c>
      <c r="BL615" s="197">
        <f t="shared" si="442"/>
        <v>0.37608972359227794</v>
      </c>
      <c r="BM615" s="197">
        <f t="shared" si="443"/>
        <v>7.4353030976985271E-2</v>
      </c>
      <c r="BN615" s="197">
        <f t="shared" si="444"/>
        <v>54.461181858619113</v>
      </c>
      <c r="BO615" s="197">
        <f t="shared" si="472"/>
        <v>0.2082789955950014</v>
      </c>
      <c r="BP615" s="197">
        <f t="shared" si="445"/>
        <v>65.620924669625111</v>
      </c>
      <c r="BQ615" s="197">
        <f t="shared" si="446"/>
        <v>9.9596940000000009E-2</v>
      </c>
      <c r="BR615" s="288">
        <f t="shared" si="447"/>
        <v>0.16008975919012108</v>
      </c>
      <c r="BS615" s="197">
        <f t="shared" si="448"/>
        <v>0.11660930017110901</v>
      </c>
      <c r="BT615" s="197">
        <f t="shared" si="449"/>
        <v>0.36419974881911377</v>
      </c>
      <c r="BU615" s="197">
        <f t="shared" si="450"/>
        <v>0.1713930788771201</v>
      </c>
      <c r="BV615" s="197">
        <f t="shared" si="451"/>
        <v>0.53530306917875781</v>
      </c>
      <c r="BW615" s="194"/>
      <c r="BX615" s="194"/>
      <c r="BY615" s="194"/>
      <c r="BZ615" s="194"/>
      <c r="CA615" s="194"/>
      <c r="CB615" s="194"/>
      <c r="CC615" s="194"/>
      <c r="CD615" s="194"/>
      <c r="CE615" s="194"/>
      <c r="CF615" s="194"/>
      <c r="CG615" s="194"/>
      <c r="CH615" s="194"/>
      <c r="CI615" s="194"/>
      <c r="CJ615" s="194"/>
      <c r="CK615" s="194"/>
      <c r="CL615" s="194"/>
      <c r="CM615" s="194"/>
      <c r="CN615" s="194"/>
      <c r="CO615" s="194"/>
      <c r="CP615" s="194"/>
      <c r="CQ615" s="194"/>
      <c r="CR615" s="194"/>
      <c r="CS615" s="194"/>
      <c r="CT615" s="194"/>
      <c r="CU615" s="194"/>
      <c r="CV615" s="194"/>
      <c r="CW615" s="194"/>
      <c r="CX615" s="194"/>
      <c r="CY615" s="194"/>
      <c r="CZ615" s="194"/>
      <c r="DA615" s="194"/>
      <c r="DB615" s="194"/>
      <c r="DC615" s="194"/>
      <c r="DD615" s="194"/>
      <c r="DE615" s="194"/>
      <c r="DF615" s="194"/>
    </row>
    <row r="616" spans="2:110" s="192" customFormat="1" hidden="1" x14ac:dyDescent="0.35">
      <c r="B616" s="289"/>
      <c r="C616" s="289"/>
      <c r="Q616" s="193"/>
      <c r="R616" s="194">
        <f t="shared" si="452"/>
        <v>18</v>
      </c>
      <c r="S616" s="197">
        <f t="shared" si="418"/>
        <v>0.3888888888888889</v>
      </c>
      <c r="T616" s="194">
        <f t="shared" si="473"/>
        <v>0.69</v>
      </c>
      <c r="U616" s="194">
        <f t="shared" si="474"/>
        <v>1.4999999999999999E-4</v>
      </c>
      <c r="V616" s="197">
        <f t="shared" si="453"/>
        <v>0.3888888888888889</v>
      </c>
      <c r="W616" s="197">
        <f t="shared" si="419"/>
        <v>4.3555555555555561E-3</v>
      </c>
      <c r="X616" s="286">
        <f t="shared" si="420"/>
        <v>1</v>
      </c>
      <c r="Y616" s="286">
        <f t="shared" si="421"/>
        <v>0.17335969315081967</v>
      </c>
      <c r="Z616" s="286">
        <f t="shared" si="422"/>
        <v>0.54964853345132902</v>
      </c>
      <c r="AA616" s="286">
        <f t="shared" si="454"/>
        <v>0.17335969315081967</v>
      </c>
      <c r="AB616" s="197">
        <f t="shared" si="423"/>
        <v>0.36419974881911377</v>
      </c>
      <c r="AC616" s="287">
        <f t="shared" si="424"/>
        <v>4.4451203372005044E-7</v>
      </c>
      <c r="AD616" s="197">
        <f t="shared" si="455"/>
        <v>11.693936048110356</v>
      </c>
      <c r="AE616" s="197">
        <f t="shared" si="456"/>
        <v>35.08180814433107</v>
      </c>
      <c r="AF616" s="197">
        <f t="shared" si="457"/>
        <v>8.5178571428571423E-2</v>
      </c>
      <c r="AG616" s="197">
        <f t="shared" si="458"/>
        <v>0.25553571428571431</v>
      </c>
      <c r="AH616" s="197">
        <f t="shared" si="425"/>
        <v>0.11660930017110901</v>
      </c>
      <c r="AI616" s="197">
        <f t="shared" si="459"/>
        <v>0.11660930017110901</v>
      </c>
      <c r="AJ616" s="218">
        <f t="shared" si="426"/>
        <v>390.00000000000006</v>
      </c>
      <c r="AK616" s="197">
        <f t="shared" si="460"/>
        <v>6.0930617977437734E-2</v>
      </c>
      <c r="AL616" s="197">
        <f t="shared" si="461"/>
        <v>9.6203707235237593E-2</v>
      </c>
      <c r="AM616" s="197">
        <f t="shared" si="462"/>
        <v>4.0790371867740751E-3</v>
      </c>
      <c r="AN616" s="197">
        <f t="shared" si="427"/>
        <v>24.05</v>
      </c>
      <c r="AO616" s="197">
        <f t="shared" si="428"/>
        <v>21.69</v>
      </c>
      <c r="AP616" s="197">
        <f t="shared" si="463"/>
        <v>7.4093290390420161E-2</v>
      </c>
      <c r="AQ616" s="197">
        <f t="shared" si="464"/>
        <v>0.42250439890466829</v>
      </c>
      <c r="AR616" s="197">
        <f t="shared" si="465"/>
        <v>0.30589509873355925</v>
      </c>
      <c r="AS616" s="258">
        <f t="shared" si="466"/>
        <v>0.15228632177729159</v>
      </c>
      <c r="AT616" s="197">
        <f t="shared" si="429"/>
        <v>2.5974058656511614E-4</v>
      </c>
      <c r="AU616" s="194">
        <f t="shared" si="430"/>
        <v>21.19</v>
      </c>
      <c r="AV616" s="197">
        <f t="shared" si="431"/>
        <v>2.7E-2</v>
      </c>
      <c r="AW616" s="197">
        <f t="shared" si="432"/>
        <v>3.4260000000000002E-3</v>
      </c>
      <c r="AX616" s="197">
        <f t="shared" si="467"/>
        <v>6.1668000000000001E-2</v>
      </c>
      <c r="AY616" s="197">
        <f t="shared" si="433"/>
        <v>2.8867476000000005E-3</v>
      </c>
      <c r="AZ616" s="197">
        <f t="shared" si="434"/>
        <v>0</v>
      </c>
      <c r="BA616" s="197">
        <f t="shared" si="468"/>
        <v>7.2596940000000013E-2</v>
      </c>
      <c r="BB616" s="258">
        <f t="shared" si="435"/>
        <v>0.36575210336206115</v>
      </c>
      <c r="BC616" s="197">
        <f t="shared" si="436"/>
        <v>2.2380490766334034E-2</v>
      </c>
      <c r="BD616" s="197">
        <f t="shared" si="469"/>
        <v>4.4760981532668068E-3</v>
      </c>
      <c r="BE616" s="197">
        <f t="shared" si="470"/>
        <v>2.6856588919600841E-2</v>
      </c>
      <c r="BF616" s="197">
        <f t="shared" si="437"/>
        <v>0.20773291256157633</v>
      </c>
      <c r="BG616" s="197">
        <f t="shared" si="438"/>
        <v>5.4608303342508187E-4</v>
      </c>
      <c r="BH616" s="197">
        <f t="shared" si="439"/>
        <v>3.5336687086656722E-2</v>
      </c>
      <c r="BI616" s="197">
        <f t="shared" si="471"/>
        <v>0.44730899017824427</v>
      </c>
      <c r="BJ616" s="197">
        <f t="shared" si="440"/>
        <v>6.769615024661003</v>
      </c>
      <c r="BK616" s="288">
        <f t="shared" si="441"/>
        <v>0.93392401361838984</v>
      </c>
      <c r="BL616" s="197">
        <f t="shared" si="442"/>
        <v>0.37608972359227794</v>
      </c>
      <c r="BM616" s="197">
        <f t="shared" si="443"/>
        <v>7.4353030976985271E-2</v>
      </c>
      <c r="BN616" s="197">
        <f t="shared" si="444"/>
        <v>54.461181858619113</v>
      </c>
      <c r="BO616" s="197">
        <f t="shared" si="472"/>
        <v>0.2082789955950014</v>
      </c>
      <c r="BP616" s="197">
        <f t="shared" si="445"/>
        <v>65.620924669625111</v>
      </c>
      <c r="BQ616" s="197">
        <f t="shared" si="446"/>
        <v>9.9596940000000009E-2</v>
      </c>
      <c r="BR616" s="288">
        <f t="shared" si="447"/>
        <v>0.16008975919012108</v>
      </c>
      <c r="BS616" s="197">
        <f t="shared" si="448"/>
        <v>0.11660930017110901</v>
      </c>
      <c r="BT616" s="197">
        <f t="shared" si="449"/>
        <v>0.36419974881911377</v>
      </c>
      <c r="BU616" s="197">
        <f t="shared" si="450"/>
        <v>0.1713930788771201</v>
      </c>
      <c r="BV616" s="197">
        <f t="shared" si="451"/>
        <v>0.53530306917875781</v>
      </c>
      <c r="BW616" s="194"/>
      <c r="BX616" s="194"/>
      <c r="BY616" s="194"/>
      <c r="BZ616" s="194"/>
      <c r="CA616" s="194"/>
      <c r="CB616" s="194"/>
      <c r="CC616" s="194"/>
      <c r="CD616" s="194"/>
      <c r="CE616" s="194"/>
      <c r="CF616" s="194"/>
      <c r="CG616" s="194"/>
      <c r="CH616" s="194"/>
      <c r="CI616" s="194"/>
      <c r="CJ616" s="194"/>
      <c r="CK616" s="194"/>
      <c r="CL616" s="194"/>
      <c r="CM616" s="194"/>
      <c r="CN616" s="194"/>
      <c r="CO616" s="194"/>
      <c r="CP616" s="194"/>
      <c r="CQ616" s="194"/>
      <c r="CR616" s="194"/>
      <c r="CS616" s="194"/>
      <c r="CT616" s="194"/>
      <c r="CU616" s="194"/>
      <c r="CV616" s="194"/>
      <c r="CW616" s="194"/>
      <c r="CX616" s="194"/>
      <c r="CY616" s="194"/>
      <c r="CZ616" s="194"/>
      <c r="DA616" s="194"/>
      <c r="DB616" s="194"/>
      <c r="DC616" s="194"/>
      <c r="DD616" s="194"/>
      <c r="DE616" s="194"/>
      <c r="DF616" s="194"/>
    </row>
    <row r="617" spans="2:110" s="192" customFormat="1" hidden="1" x14ac:dyDescent="0.35">
      <c r="B617" s="289"/>
      <c r="C617" s="289"/>
      <c r="Q617" s="193"/>
      <c r="R617" s="194">
        <f t="shared" si="452"/>
        <v>18</v>
      </c>
      <c r="S617" s="197">
        <f t="shared" si="418"/>
        <v>0.3888888888888889</v>
      </c>
      <c r="T617" s="194">
        <f t="shared" si="473"/>
        <v>0.69</v>
      </c>
      <c r="U617" s="194">
        <f t="shared" si="474"/>
        <v>1.4999999999999999E-4</v>
      </c>
      <c r="V617" s="197">
        <f t="shared" si="453"/>
        <v>0.3888888888888889</v>
      </c>
      <c r="W617" s="197">
        <f t="shared" si="419"/>
        <v>4.3555555555555561E-3</v>
      </c>
      <c r="X617" s="286">
        <f t="shared" si="420"/>
        <v>1</v>
      </c>
      <c r="Y617" s="286">
        <f t="shared" si="421"/>
        <v>0.17335969315081967</v>
      </c>
      <c r="Z617" s="286">
        <f t="shared" si="422"/>
        <v>0.54964853345132902</v>
      </c>
      <c r="AA617" s="286">
        <f t="shared" si="454"/>
        <v>0.17335969315081967</v>
      </c>
      <c r="AB617" s="197">
        <f t="shared" si="423"/>
        <v>0.36419974881911377</v>
      </c>
      <c r="AC617" s="287">
        <f t="shared" si="424"/>
        <v>4.4451203372005044E-7</v>
      </c>
      <c r="AD617" s="197">
        <f t="shared" si="455"/>
        <v>11.693936048110356</v>
      </c>
      <c r="AE617" s="197">
        <f t="shared" si="456"/>
        <v>35.08180814433107</v>
      </c>
      <c r="AF617" s="197">
        <f t="shared" si="457"/>
        <v>8.5178571428571423E-2</v>
      </c>
      <c r="AG617" s="197">
        <f t="shared" si="458"/>
        <v>0.25553571428571431</v>
      </c>
      <c r="AH617" s="197">
        <f t="shared" si="425"/>
        <v>0.11660930017110901</v>
      </c>
      <c r="AI617" s="197">
        <f t="shared" si="459"/>
        <v>0.11660930017110901</v>
      </c>
      <c r="AJ617" s="218">
        <f t="shared" si="426"/>
        <v>390.00000000000006</v>
      </c>
      <c r="AK617" s="197">
        <f t="shared" si="460"/>
        <v>6.0930617977437734E-2</v>
      </c>
      <c r="AL617" s="197">
        <f t="shared" si="461"/>
        <v>9.6203707235237593E-2</v>
      </c>
      <c r="AM617" s="197">
        <f t="shared" si="462"/>
        <v>4.0790371867740751E-3</v>
      </c>
      <c r="AN617" s="197">
        <f t="shared" si="427"/>
        <v>24.05</v>
      </c>
      <c r="AO617" s="197">
        <f t="shared" si="428"/>
        <v>21.69</v>
      </c>
      <c r="AP617" s="197">
        <f t="shared" si="463"/>
        <v>7.4093290390420161E-2</v>
      </c>
      <c r="AQ617" s="197">
        <f t="shared" si="464"/>
        <v>0.42250439890466829</v>
      </c>
      <c r="AR617" s="197">
        <f t="shared" si="465"/>
        <v>0.30589509873355925</v>
      </c>
      <c r="AS617" s="258">
        <f t="shared" si="466"/>
        <v>0.15228632177729159</v>
      </c>
      <c r="AT617" s="197">
        <f t="shared" si="429"/>
        <v>2.5974058656511614E-4</v>
      </c>
      <c r="AU617" s="194">
        <f t="shared" si="430"/>
        <v>21.19</v>
      </c>
      <c r="AV617" s="197">
        <f t="shared" si="431"/>
        <v>2.7E-2</v>
      </c>
      <c r="AW617" s="197">
        <f t="shared" si="432"/>
        <v>3.4260000000000002E-3</v>
      </c>
      <c r="AX617" s="197">
        <f t="shared" si="467"/>
        <v>6.1668000000000001E-2</v>
      </c>
      <c r="AY617" s="197">
        <f t="shared" si="433"/>
        <v>2.8867476000000005E-3</v>
      </c>
      <c r="AZ617" s="197">
        <f t="shared" si="434"/>
        <v>0</v>
      </c>
      <c r="BA617" s="197">
        <f t="shared" si="468"/>
        <v>7.2596940000000013E-2</v>
      </c>
      <c r="BB617" s="258">
        <f t="shared" si="435"/>
        <v>0.36575210336206115</v>
      </c>
      <c r="BC617" s="197">
        <f t="shared" si="436"/>
        <v>2.2380490766334034E-2</v>
      </c>
      <c r="BD617" s="197">
        <f t="shared" si="469"/>
        <v>4.4760981532668068E-3</v>
      </c>
      <c r="BE617" s="197">
        <f t="shared" si="470"/>
        <v>2.6856588919600841E-2</v>
      </c>
      <c r="BF617" s="197">
        <f t="shared" si="437"/>
        <v>0.20773291256157633</v>
      </c>
      <c r="BG617" s="197">
        <f t="shared" si="438"/>
        <v>5.4608303342508187E-4</v>
      </c>
      <c r="BH617" s="197">
        <f t="shared" si="439"/>
        <v>3.5336687086656722E-2</v>
      </c>
      <c r="BI617" s="197">
        <f t="shared" si="471"/>
        <v>0.44730899017824427</v>
      </c>
      <c r="BJ617" s="197">
        <f t="shared" si="440"/>
        <v>6.769615024661003</v>
      </c>
      <c r="BK617" s="288">
        <f t="shared" si="441"/>
        <v>0.93392401361838984</v>
      </c>
      <c r="BL617" s="197">
        <f t="shared" si="442"/>
        <v>0.37608972359227794</v>
      </c>
      <c r="BM617" s="197">
        <f t="shared" si="443"/>
        <v>7.4353030976985271E-2</v>
      </c>
      <c r="BN617" s="197">
        <f t="shared" si="444"/>
        <v>54.461181858619113</v>
      </c>
      <c r="BO617" s="197">
        <f t="shared" si="472"/>
        <v>0.2082789955950014</v>
      </c>
      <c r="BP617" s="197">
        <f t="shared" si="445"/>
        <v>65.620924669625111</v>
      </c>
      <c r="BQ617" s="197">
        <f t="shared" si="446"/>
        <v>9.9596940000000009E-2</v>
      </c>
      <c r="BR617" s="288">
        <f t="shared" si="447"/>
        <v>0.16008975919012108</v>
      </c>
      <c r="BS617" s="197">
        <f t="shared" si="448"/>
        <v>0.11660930017110901</v>
      </c>
      <c r="BT617" s="197">
        <f t="shared" si="449"/>
        <v>0.36419974881911377</v>
      </c>
      <c r="BU617" s="197">
        <f t="shared" si="450"/>
        <v>0.1713930788771201</v>
      </c>
      <c r="BV617" s="197">
        <f t="shared" si="451"/>
        <v>0.53530306917875781</v>
      </c>
      <c r="BW617" s="194"/>
      <c r="BX617" s="194"/>
      <c r="BY617" s="194"/>
      <c r="BZ617" s="194"/>
      <c r="CA617" s="194"/>
      <c r="CB617" s="194"/>
      <c r="CC617" s="194"/>
      <c r="CD617" s="194"/>
      <c r="CE617" s="194"/>
      <c r="CF617" s="194"/>
      <c r="CG617" s="194"/>
      <c r="CH617" s="194"/>
      <c r="CI617" s="194"/>
      <c r="CJ617" s="194"/>
      <c r="CK617" s="194"/>
      <c r="CL617" s="194"/>
      <c r="CM617" s="194"/>
      <c r="CN617" s="194"/>
      <c r="CO617" s="194"/>
      <c r="CP617" s="194"/>
      <c r="CQ617" s="194"/>
      <c r="CR617" s="194"/>
      <c r="CS617" s="194"/>
      <c r="CT617" s="194"/>
      <c r="CU617" s="194"/>
      <c r="CV617" s="194"/>
      <c r="CW617" s="194"/>
      <c r="CX617" s="194"/>
      <c r="CY617" s="194"/>
      <c r="CZ617" s="194"/>
      <c r="DA617" s="194"/>
      <c r="DB617" s="194"/>
      <c r="DC617" s="194"/>
      <c r="DD617" s="194"/>
      <c r="DE617" s="194"/>
      <c r="DF617" s="194"/>
    </row>
    <row r="618" spans="2:110" s="192" customFormat="1" hidden="1" x14ac:dyDescent="0.35">
      <c r="B618" s="289"/>
      <c r="C618" s="289"/>
      <c r="Q618" s="193"/>
      <c r="R618" s="194">
        <f t="shared" si="452"/>
        <v>18</v>
      </c>
      <c r="S618" s="197">
        <f t="shared" si="418"/>
        <v>0.3888888888888889</v>
      </c>
      <c r="T618" s="194">
        <f t="shared" si="473"/>
        <v>0.69</v>
      </c>
      <c r="U618" s="194">
        <f t="shared" si="474"/>
        <v>1.4999999999999999E-4</v>
      </c>
      <c r="V618" s="197">
        <f t="shared" si="453"/>
        <v>0.3888888888888889</v>
      </c>
      <c r="W618" s="197">
        <f t="shared" si="419"/>
        <v>4.3555555555555561E-3</v>
      </c>
      <c r="X618" s="286">
        <f t="shared" si="420"/>
        <v>1</v>
      </c>
      <c r="Y618" s="286">
        <f t="shared" si="421"/>
        <v>0.17335969315081967</v>
      </c>
      <c r="Z618" s="286">
        <f t="shared" si="422"/>
        <v>0.54964853345132902</v>
      </c>
      <c r="AA618" s="286">
        <f t="shared" si="454"/>
        <v>0.17335969315081967</v>
      </c>
      <c r="AB618" s="197">
        <f t="shared" si="423"/>
        <v>0.36419974881911377</v>
      </c>
      <c r="AC618" s="287">
        <f t="shared" si="424"/>
        <v>4.4451203372005044E-7</v>
      </c>
      <c r="AD618" s="197">
        <f t="shared" si="455"/>
        <v>11.693936048110356</v>
      </c>
      <c r="AE618" s="197">
        <f t="shared" si="456"/>
        <v>35.08180814433107</v>
      </c>
      <c r="AF618" s="197">
        <f t="shared" si="457"/>
        <v>8.5178571428571423E-2</v>
      </c>
      <c r="AG618" s="197">
        <f t="shared" si="458"/>
        <v>0.25553571428571431</v>
      </c>
      <c r="AH618" s="197">
        <f t="shared" si="425"/>
        <v>0.11660930017110901</v>
      </c>
      <c r="AI618" s="197">
        <f t="shared" si="459"/>
        <v>0.11660930017110901</v>
      </c>
      <c r="AJ618" s="218">
        <f t="shared" si="426"/>
        <v>390.00000000000006</v>
      </c>
      <c r="AK618" s="197">
        <f t="shared" si="460"/>
        <v>6.0930617977437734E-2</v>
      </c>
      <c r="AL618" s="197">
        <f t="shared" si="461"/>
        <v>9.6203707235237593E-2</v>
      </c>
      <c r="AM618" s="197">
        <f t="shared" si="462"/>
        <v>4.0790371867740751E-3</v>
      </c>
      <c r="AN618" s="197">
        <f t="shared" si="427"/>
        <v>24.05</v>
      </c>
      <c r="AO618" s="197">
        <f t="shared" si="428"/>
        <v>21.69</v>
      </c>
      <c r="AP618" s="197">
        <f t="shared" si="463"/>
        <v>7.4093290390420161E-2</v>
      </c>
      <c r="AQ618" s="197">
        <f t="shared" si="464"/>
        <v>0.42250439890466829</v>
      </c>
      <c r="AR618" s="197">
        <f t="shared" si="465"/>
        <v>0.30589509873355925</v>
      </c>
      <c r="AS618" s="258">
        <f t="shared" si="466"/>
        <v>0.15228632177729159</v>
      </c>
      <c r="AT618" s="197">
        <f t="shared" si="429"/>
        <v>2.5974058656511614E-4</v>
      </c>
      <c r="AU618" s="194">
        <f t="shared" si="430"/>
        <v>21.19</v>
      </c>
      <c r="AV618" s="197">
        <f t="shared" si="431"/>
        <v>2.7E-2</v>
      </c>
      <c r="AW618" s="197">
        <f t="shared" si="432"/>
        <v>3.4260000000000002E-3</v>
      </c>
      <c r="AX618" s="197">
        <f t="shared" si="467"/>
        <v>6.1668000000000001E-2</v>
      </c>
      <c r="AY618" s="197">
        <f t="shared" si="433"/>
        <v>2.8867476000000005E-3</v>
      </c>
      <c r="AZ618" s="197">
        <f t="shared" si="434"/>
        <v>0</v>
      </c>
      <c r="BA618" s="197">
        <f t="shared" si="468"/>
        <v>7.2596940000000013E-2</v>
      </c>
      <c r="BB618" s="258">
        <f t="shared" si="435"/>
        <v>0.36575210336206115</v>
      </c>
      <c r="BC618" s="197">
        <f t="shared" si="436"/>
        <v>2.2380490766334034E-2</v>
      </c>
      <c r="BD618" s="197">
        <f t="shared" si="469"/>
        <v>4.4760981532668068E-3</v>
      </c>
      <c r="BE618" s="197">
        <f t="shared" si="470"/>
        <v>2.6856588919600841E-2</v>
      </c>
      <c r="BF618" s="197">
        <f t="shared" si="437"/>
        <v>0.20773291256157633</v>
      </c>
      <c r="BG618" s="197">
        <f t="shared" si="438"/>
        <v>5.4608303342508187E-4</v>
      </c>
      <c r="BH618" s="197">
        <f t="shared" si="439"/>
        <v>3.5336687086656722E-2</v>
      </c>
      <c r="BI618" s="197">
        <f t="shared" si="471"/>
        <v>0.44730899017824427</v>
      </c>
      <c r="BJ618" s="197">
        <f t="shared" si="440"/>
        <v>6.769615024661003</v>
      </c>
      <c r="BK618" s="288">
        <f t="shared" si="441"/>
        <v>0.93392401361838984</v>
      </c>
      <c r="BL618" s="197">
        <f t="shared" si="442"/>
        <v>0.37608972359227794</v>
      </c>
      <c r="BM618" s="197">
        <f t="shared" si="443"/>
        <v>7.4353030976985271E-2</v>
      </c>
      <c r="BN618" s="197">
        <f t="shared" si="444"/>
        <v>54.461181858619113</v>
      </c>
      <c r="BO618" s="197">
        <f t="shared" si="472"/>
        <v>0.2082789955950014</v>
      </c>
      <c r="BP618" s="197">
        <f t="shared" si="445"/>
        <v>65.620924669625111</v>
      </c>
      <c r="BQ618" s="197">
        <f t="shared" si="446"/>
        <v>9.9596940000000009E-2</v>
      </c>
      <c r="BR618" s="288">
        <f t="shared" si="447"/>
        <v>0.16008975919012108</v>
      </c>
      <c r="BS618" s="197">
        <f t="shared" si="448"/>
        <v>0.11660930017110901</v>
      </c>
      <c r="BT618" s="197">
        <f t="shared" si="449"/>
        <v>0.36419974881911377</v>
      </c>
      <c r="BU618" s="197">
        <f t="shared" si="450"/>
        <v>0.1713930788771201</v>
      </c>
      <c r="BV618" s="197">
        <f t="shared" si="451"/>
        <v>0.53530306917875781</v>
      </c>
      <c r="BW618" s="194"/>
      <c r="BX618" s="194"/>
      <c r="BY618" s="194"/>
      <c r="BZ618" s="194"/>
      <c r="CA618" s="194"/>
      <c r="CB618" s="194"/>
      <c r="CC618" s="194"/>
      <c r="CD618" s="194"/>
      <c r="CE618" s="194"/>
      <c r="CF618" s="194"/>
      <c r="CG618" s="194"/>
      <c r="CH618" s="194"/>
      <c r="CI618" s="194"/>
      <c r="CJ618" s="194"/>
      <c r="CK618" s="194"/>
      <c r="CL618" s="194"/>
      <c r="CM618" s="194"/>
      <c r="CN618" s="194"/>
      <c r="CO618" s="194"/>
      <c r="CP618" s="194"/>
      <c r="CQ618" s="194"/>
      <c r="CR618" s="194"/>
      <c r="CS618" s="194"/>
      <c r="CT618" s="194"/>
      <c r="CU618" s="194"/>
      <c r="CV618" s="194"/>
      <c r="CW618" s="194"/>
      <c r="CX618" s="194"/>
      <c r="CY618" s="194"/>
      <c r="CZ618" s="194"/>
      <c r="DA618" s="194"/>
      <c r="DB618" s="194"/>
      <c r="DC618" s="194"/>
      <c r="DD618" s="194"/>
      <c r="DE618" s="194"/>
      <c r="DF618" s="194"/>
    </row>
    <row r="619" spans="2:110" s="192" customFormat="1" hidden="1" x14ac:dyDescent="0.35">
      <c r="B619" s="289"/>
      <c r="C619" s="289"/>
      <c r="Q619" s="193"/>
      <c r="R619" s="194">
        <f t="shared" si="452"/>
        <v>18</v>
      </c>
      <c r="S619" s="197">
        <f t="shared" si="418"/>
        <v>0.3888888888888889</v>
      </c>
      <c r="T619" s="194">
        <f t="shared" si="473"/>
        <v>0.69</v>
      </c>
      <c r="U619" s="194">
        <f t="shared" si="474"/>
        <v>1.4999999999999999E-4</v>
      </c>
      <c r="V619" s="197">
        <f t="shared" si="453"/>
        <v>0.3888888888888889</v>
      </c>
      <c r="W619" s="197">
        <f t="shared" si="419"/>
        <v>4.3555555555555561E-3</v>
      </c>
      <c r="X619" s="286">
        <f t="shared" si="420"/>
        <v>1</v>
      </c>
      <c r="Y619" s="286">
        <f t="shared" si="421"/>
        <v>0.17335969315081967</v>
      </c>
      <c r="Z619" s="286">
        <f t="shared" si="422"/>
        <v>0.54964853345132902</v>
      </c>
      <c r="AA619" s="286">
        <f t="shared" si="454"/>
        <v>0.17335969315081967</v>
      </c>
      <c r="AB619" s="197">
        <f t="shared" si="423"/>
        <v>0.36419974881911377</v>
      </c>
      <c r="AC619" s="287">
        <f t="shared" si="424"/>
        <v>4.4451203372005044E-7</v>
      </c>
      <c r="AD619" s="197">
        <f t="shared" si="455"/>
        <v>11.693936048110356</v>
      </c>
      <c r="AE619" s="197">
        <f t="shared" si="456"/>
        <v>35.08180814433107</v>
      </c>
      <c r="AF619" s="197">
        <f t="shared" si="457"/>
        <v>8.5178571428571423E-2</v>
      </c>
      <c r="AG619" s="197">
        <f t="shared" si="458"/>
        <v>0.25553571428571431</v>
      </c>
      <c r="AH619" s="197">
        <f t="shared" si="425"/>
        <v>0.11660930017110901</v>
      </c>
      <c r="AI619" s="197">
        <f t="shared" si="459"/>
        <v>0.11660930017110901</v>
      </c>
      <c r="AJ619" s="218">
        <f t="shared" si="426"/>
        <v>390.00000000000006</v>
      </c>
      <c r="AK619" s="197">
        <f t="shared" si="460"/>
        <v>6.0930617977437734E-2</v>
      </c>
      <c r="AL619" s="197">
        <f t="shared" si="461"/>
        <v>9.6203707235237593E-2</v>
      </c>
      <c r="AM619" s="197">
        <f t="shared" si="462"/>
        <v>4.0790371867740751E-3</v>
      </c>
      <c r="AN619" s="197">
        <f t="shared" si="427"/>
        <v>24.05</v>
      </c>
      <c r="AO619" s="197">
        <f t="shared" si="428"/>
        <v>21.69</v>
      </c>
      <c r="AP619" s="197">
        <f t="shared" si="463"/>
        <v>7.4093290390420161E-2</v>
      </c>
      <c r="AQ619" s="197">
        <f t="shared" si="464"/>
        <v>0.42250439890466829</v>
      </c>
      <c r="AR619" s="197">
        <f t="shared" si="465"/>
        <v>0.30589509873355925</v>
      </c>
      <c r="AS619" s="258">
        <f t="shared" si="466"/>
        <v>0.15228632177729159</v>
      </c>
      <c r="AT619" s="197">
        <f t="shared" si="429"/>
        <v>2.5974058656511614E-4</v>
      </c>
      <c r="AU619" s="194">
        <f t="shared" si="430"/>
        <v>21.19</v>
      </c>
      <c r="AV619" s="197">
        <f t="shared" si="431"/>
        <v>2.7E-2</v>
      </c>
      <c r="AW619" s="197">
        <f t="shared" si="432"/>
        <v>3.4260000000000002E-3</v>
      </c>
      <c r="AX619" s="197">
        <f t="shared" si="467"/>
        <v>6.1668000000000001E-2</v>
      </c>
      <c r="AY619" s="197">
        <f t="shared" si="433"/>
        <v>2.8867476000000005E-3</v>
      </c>
      <c r="AZ619" s="197">
        <f t="shared" si="434"/>
        <v>0</v>
      </c>
      <c r="BA619" s="197">
        <f t="shared" si="468"/>
        <v>7.2596940000000013E-2</v>
      </c>
      <c r="BB619" s="258">
        <f t="shared" si="435"/>
        <v>0.36575210336206115</v>
      </c>
      <c r="BC619" s="197">
        <f t="shared" si="436"/>
        <v>2.2380490766334034E-2</v>
      </c>
      <c r="BD619" s="197">
        <f t="shared" si="469"/>
        <v>4.4760981532668068E-3</v>
      </c>
      <c r="BE619" s="197">
        <f t="shared" si="470"/>
        <v>2.6856588919600841E-2</v>
      </c>
      <c r="BF619" s="197">
        <f t="shared" si="437"/>
        <v>0.20773291256157633</v>
      </c>
      <c r="BG619" s="197">
        <f t="shared" si="438"/>
        <v>5.4608303342508187E-4</v>
      </c>
      <c r="BH619" s="197">
        <f t="shared" si="439"/>
        <v>3.5336687086656722E-2</v>
      </c>
      <c r="BI619" s="197">
        <f t="shared" si="471"/>
        <v>0.44730899017824427</v>
      </c>
      <c r="BJ619" s="197">
        <f t="shared" si="440"/>
        <v>6.769615024661003</v>
      </c>
      <c r="BK619" s="288">
        <f t="shared" si="441"/>
        <v>0.93392401361838984</v>
      </c>
      <c r="BL619" s="197">
        <f t="shared" si="442"/>
        <v>0.37608972359227794</v>
      </c>
      <c r="BM619" s="197">
        <f t="shared" si="443"/>
        <v>7.4353030976985271E-2</v>
      </c>
      <c r="BN619" s="197">
        <f t="shared" si="444"/>
        <v>54.461181858619113</v>
      </c>
      <c r="BO619" s="197">
        <f t="shared" si="472"/>
        <v>0.2082789955950014</v>
      </c>
      <c r="BP619" s="197">
        <f t="shared" si="445"/>
        <v>65.620924669625111</v>
      </c>
      <c r="BQ619" s="197">
        <f t="shared" si="446"/>
        <v>9.9596940000000009E-2</v>
      </c>
      <c r="BR619" s="288">
        <f t="shared" si="447"/>
        <v>0.16008975919012108</v>
      </c>
      <c r="BS619" s="197">
        <f t="shared" si="448"/>
        <v>0.11660930017110901</v>
      </c>
      <c r="BT619" s="197">
        <f t="shared" si="449"/>
        <v>0.36419974881911377</v>
      </c>
      <c r="BU619" s="197">
        <f t="shared" si="450"/>
        <v>0.1713930788771201</v>
      </c>
      <c r="BV619" s="197">
        <f t="shared" si="451"/>
        <v>0.53530306917875781</v>
      </c>
      <c r="BW619" s="194"/>
      <c r="BX619" s="194"/>
      <c r="BY619" s="194"/>
      <c r="BZ619" s="194"/>
      <c r="CA619" s="194"/>
      <c r="CB619" s="194"/>
      <c r="CC619" s="194"/>
      <c r="CD619" s="194"/>
      <c r="CE619" s="194"/>
      <c r="CF619" s="194"/>
      <c r="CG619" s="194"/>
      <c r="CH619" s="194"/>
      <c r="CI619" s="194"/>
      <c r="CJ619" s="194"/>
      <c r="CK619" s="194"/>
      <c r="CL619" s="194"/>
      <c r="CM619" s="194"/>
      <c r="CN619" s="194"/>
      <c r="CO619" s="194"/>
      <c r="CP619" s="194"/>
      <c r="CQ619" s="194"/>
      <c r="CR619" s="194"/>
      <c r="CS619" s="194"/>
      <c r="CT619" s="194"/>
      <c r="CU619" s="194"/>
      <c r="CV619" s="194"/>
      <c r="CW619" s="194"/>
      <c r="CX619" s="194"/>
      <c r="CY619" s="194"/>
      <c r="CZ619" s="194"/>
      <c r="DA619" s="194"/>
      <c r="DB619" s="194"/>
      <c r="DC619" s="194"/>
      <c r="DD619" s="194"/>
      <c r="DE619" s="194"/>
      <c r="DF619" s="194"/>
    </row>
    <row r="620" spans="2:110" s="192" customFormat="1" hidden="1" x14ac:dyDescent="0.35">
      <c r="B620" s="289"/>
      <c r="C620" s="289"/>
      <c r="Q620" s="193"/>
      <c r="R620" s="194">
        <f t="shared" si="452"/>
        <v>18</v>
      </c>
      <c r="S620" s="197">
        <f t="shared" si="418"/>
        <v>0.3888888888888889</v>
      </c>
      <c r="T620" s="194">
        <f t="shared" si="473"/>
        <v>0.69</v>
      </c>
      <c r="U620" s="194">
        <f t="shared" si="474"/>
        <v>1.4999999999999999E-4</v>
      </c>
      <c r="V620" s="197">
        <f t="shared" si="453"/>
        <v>0.3888888888888889</v>
      </c>
      <c r="W620" s="197">
        <f t="shared" si="419"/>
        <v>4.3555555555555561E-3</v>
      </c>
      <c r="X620" s="286">
        <f t="shared" si="420"/>
        <v>1</v>
      </c>
      <c r="Y620" s="286">
        <f t="shared" si="421"/>
        <v>0.17335969315081967</v>
      </c>
      <c r="Z620" s="286">
        <f t="shared" si="422"/>
        <v>0.54964853345132902</v>
      </c>
      <c r="AA620" s="286">
        <f t="shared" si="454"/>
        <v>0.17335969315081967</v>
      </c>
      <c r="AB620" s="197">
        <f t="shared" si="423"/>
        <v>0.36419974881911377</v>
      </c>
      <c r="AC620" s="287">
        <f t="shared" si="424"/>
        <v>4.4451203372005044E-7</v>
      </c>
      <c r="AD620" s="197">
        <f t="shared" si="455"/>
        <v>11.693936048110356</v>
      </c>
      <c r="AE620" s="197">
        <f t="shared" si="456"/>
        <v>35.08180814433107</v>
      </c>
      <c r="AF620" s="197">
        <f t="shared" si="457"/>
        <v>8.5178571428571423E-2</v>
      </c>
      <c r="AG620" s="197">
        <f t="shared" si="458"/>
        <v>0.25553571428571431</v>
      </c>
      <c r="AH620" s="197">
        <f t="shared" si="425"/>
        <v>0.11660930017110901</v>
      </c>
      <c r="AI620" s="197">
        <f t="shared" si="459"/>
        <v>0.11660930017110901</v>
      </c>
      <c r="AJ620" s="218">
        <f t="shared" si="426"/>
        <v>390.00000000000006</v>
      </c>
      <c r="AK620" s="197">
        <f t="shared" si="460"/>
        <v>6.0930617977437734E-2</v>
      </c>
      <c r="AL620" s="197">
        <f t="shared" si="461"/>
        <v>9.6203707235237593E-2</v>
      </c>
      <c r="AM620" s="197">
        <f t="shared" si="462"/>
        <v>4.0790371867740751E-3</v>
      </c>
      <c r="AN620" s="197">
        <f t="shared" si="427"/>
        <v>24.05</v>
      </c>
      <c r="AO620" s="197">
        <f t="shared" si="428"/>
        <v>21.69</v>
      </c>
      <c r="AP620" s="197">
        <f t="shared" si="463"/>
        <v>7.4093290390420161E-2</v>
      </c>
      <c r="AQ620" s="197">
        <f t="shared" si="464"/>
        <v>0.42250439890466829</v>
      </c>
      <c r="AR620" s="197">
        <f t="shared" si="465"/>
        <v>0.30589509873355925</v>
      </c>
      <c r="AS620" s="258">
        <f t="shared" si="466"/>
        <v>0.15228632177729159</v>
      </c>
      <c r="AT620" s="197">
        <f t="shared" si="429"/>
        <v>2.5974058656511614E-4</v>
      </c>
      <c r="AU620" s="194">
        <f t="shared" si="430"/>
        <v>21.19</v>
      </c>
      <c r="AV620" s="197">
        <f t="shared" si="431"/>
        <v>2.7E-2</v>
      </c>
      <c r="AW620" s="197">
        <f t="shared" si="432"/>
        <v>3.4260000000000002E-3</v>
      </c>
      <c r="AX620" s="197">
        <f t="shared" si="467"/>
        <v>6.1668000000000001E-2</v>
      </c>
      <c r="AY620" s="197">
        <f t="shared" si="433"/>
        <v>2.8867476000000005E-3</v>
      </c>
      <c r="AZ620" s="197">
        <f t="shared" si="434"/>
        <v>0</v>
      </c>
      <c r="BA620" s="197">
        <f t="shared" si="468"/>
        <v>7.2596940000000013E-2</v>
      </c>
      <c r="BB620" s="258">
        <f t="shared" si="435"/>
        <v>0.36575210336206115</v>
      </c>
      <c r="BC620" s="197">
        <f t="shared" si="436"/>
        <v>2.2380490766334034E-2</v>
      </c>
      <c r="BD620" s="197">
        <f t="shared" si="469"/>
        <v>4.4760981532668068E-3</v>
      </c>
      <c r="BE620" s="197">
        <f t="shared" si="470"/>
        <v>2.6856588919600841E-2</v>
      </c>
      <c r="BF620" s="197">
        <f t="shared" si="437"/>
        <v>0.20773291256157633</v>
      </c>
      <c r="BG620" s="197">
        <f t="shared" si="438"/>
        <v>5.4608303342508187E-4</v>
      </c>
      <c r="BH620" s="197">
        <f t="shared" si="439"/>
        <v>3.5336687086656722E-2</v>
      </c>
      <c r="BI620" s="197">
        <f t="shared" si="471"/>
        <v>0.44730899017824427</v>
      </c>
      <c r="BJ620" s="197">
        <f t="shared" si="440"/>
        <v>6.769615024661003</v>
      </c>
      <c r="BK620" s="288">
        <f t="shared" si="441"/>
        <v>0.93392401361838984</v>
      </c>
      <c r="BL620" s="197">
        <f t="shared" si="442"/>
        <v>0.37608972359227794</v>
      </c>
      <c r="BM620" s="197">
        <f t="shared" si="443"/>
        <v>7.4353030976985271E-2</v>
      </c>
      <c r="BN620" s="197">
        <f t="shared" si="444"/>
        <v>54.461181858619113</v>
      </c>
      <c r="BO620" s="197">
        <f t="shared" si="472"/>
        <v>0.2082789955950014</v>
      </c>
      <c r="BP620" s="197">
        <f t="shared" si="445"/>
        <v>65.620924669625111</v>
      </c>
      <c r="BQ620" s="197">
        <f t="shared" si="446"/>
        <v>9.9596940000000009E-2</v>
      </c>
      <c r="BR620" s="288">
        <f t="shared" si="447"/>
        <v>0.16008975919012108</v>
      </c>
      <c r="BS620" s="197">
        <f t="shared" si="448"/>
        <v>0.11660930017110901</v>
      </c>
      <c r="BT620" s="197">
        <f t="shared" si="449"/>
        <v>0.36419974881911377</v>
      </c>
      <c r="BU620" s="197">
        <f t="shared" si="450"/>
        <v>0.1713930788771201</v>
      </c>
      <c r="BV620" s="197">
        <f t="shared" si="451"/>
        <v>0.53530306917875781</v>
      </c>
      <c r="BW620" s="194"/>
      <c r="BX620" s="194"/>
      <c r="BY620" s="194"/>
      <c r="BZ620" s="194"/>
      <c r="CA620" s="194"/>
      <c r="CB620" s="194"/>
      <c r="CC620" s="194"/>
      <c r="CD620" s="194"/>
      <c r="CE620" s="194"/>
      <c r="CF620" s="194"/>
      <c r="CG620" s="194"/>
      <c r="CH620" s="194"/>
      <c r="CI620" s="194"/>
      <c r="CJ620" s="194"/>
      <c r="CK620" s="194"/>
      <c r="CL620" s="194"/>
      <c r="CM620" s="194"/>
      <c r="CN620" s="194"/>
      <c r="CO620" s="194"/>
      <c r="CP620" s="194"/>
      <c r="CQ620" s="194"/>
      <c r="CR620" s="194"/>
      <c r="CS620" s="194"/>
      <c r="CT620" s="194"/>
      <c r="CU620" s="194"/>
      <c r="CV620" s="194"/>
      <c r="CW620" s="194"/>
      <c r="CX620" s="194"/>
      <c r="CY620" s="194"/>
      <c r="CZ620" s="194"/>
      <c r="DA620" s="194"/>
      <c r="DB620" s="194"/>
      <c r="DC620" s="194"/>
      <c r="DD620" s="194"/>
      <c r="DE620" s="194"/>
      <c r="DF620" s="194"/>
    </row>
    <row r="621" spans="2:110" s="192" customFormat="1" hidden="1" x14ac:dyDescent="0.35">
      <c r="B621" s="289"/>
      <c r="C621" s="289"/>
      <c r="Q621" s="193"/>
      <c r="R621" s="194">
        <f t="shared" si="452"/>
        <v>18</v>
      </c>
      <c r="S621" s="197">
        <f t="shared" si="418"/>
        <v>0.3888888888888889</v>
      </c>
      <c r="T621" s="194">
        <f t="shared" si="473"/>
        <v>0.69</v>
      </c>
      <c r="U621" s="194">
        <f t="shared" si="474"/>
        <v>1.4999999999999999E-4</v>
      </c>
      <c r="V621" s="197">
        <f t="shared" si="453"/>
        <v>0.3888888888888889</v>
      </c>
      <c r="W621" s="197">
        <f t="shared" si="419"/>
        <v>4.3555555555555561E-3</v>
      </c>
      <c r="X621" s="286">
        <f t="shared" si="420"/>
        <v>1</v>
      </c>
      <c r="Y621" s="286">
        <f t="shared" si="421"/>
        <v>0.17335969315081967</v>
      </c>
      <c r="Z621" s="286">
        <f t="shared" si="422"/>
        <v>0.54964853345132902</v>
      </c>
      <c r="AA621" s="286">
        <f t="shared" si="454"/>
        <v>0.17335969315081967</v>
      </c>
      <c r="AB621" s="197">
        <f t="shared" si="423"/>
        <v>0.36419974881911377</v>
      </c>
      <c r="AC621" s="287">
        <f t="shared" si="424"/>
        <v>4.4451203372005044E-7</v>
      </c>
      <c r="AD621" s="197">
        <f t="shared" si="455"/>
        <v>11.693936048110356</v>
      </c>
      <c r="AE621" s="197">
        <f t="shared" si="456"/>
        <v>35.08180814433107</v>
      </c>
      <c r="AF621" s="197">
        <f t="shared" si="457"/>
        <v>8.5178571428571423E-2</v>
      </c>
      <c r="AG621" s="197">
        <f t="shared" si="458"/>
        <v>0.25553571428571431</v>
      </c>
      <c r="AH621" s="197">
        <f t="shared" si="425"/>
        <v>0.11660930017110901</v>
      </c>
      <c r="AI621" s="197">
        <f t="shared" si="459"/>
        <v>0.11660930017110901</v>
      </c>
      <c r="AJ621" s="218">
        <f t="shared" si="426"/>
        <v>390.00000000000006</v>
      </c>
      <c r="AK621" s="197">
        <f t="shared" si="460"/>
        <v>6.0930617977437734E-2</v>
      </c>
      <c r="AL621" s="197">
        <f t="shared" si="461"/>
        <v>9.6203707235237593E-2</v>
      </c>
      <c r="AM621" s="197">
        <f t="shared" si="462"/>
        <v>4.0790371867740751E-3</v>
      </c>
      <c r="AN621" s="197">
        <f t="shared" si="427"/>
        <v>24.05</v>
      </c>
      <c r="AO621" s="197">
        <f t="shared" si="428"/>
        <v>21.69</v>
      </c>
      <c r="AP621" s="197">
        <f t="shared" si="463"/>
        <v>7.4093290390420161E-2</v>
      </c>
      <c r="AQ621" s="197">
        <f t="shared" si="464"/>
        <v>0.42250439890466829</v>
      </c>
      <c r="AR621" s="197">
        <f t="shared" si="465"/>
        <v>0.30589509873355925</v>
      </c>
      <c r="AS621" s="258">
        <f t="shared" si="466"/>
        <v>0.15228632177729159</v>
      </c>
      <c r="AT621" s="197">
        <f t="shared" si="429"/>
        <v>2.5974058656511614E-4</v>
      </c>
      <c r="AU621" s="194">
        <f t="shared" si="430"/>
        <v>21.19</v>
      </c>
      <c r="AV621" s="197">
        <f t="shared" si="431"/>
        <v>2.7E-2</v>
      </c>
      <c r="AW621" s="197">
        <f t="shared" si="432"/>
        <v>3.4260000000000002E-3</v>
      </c>
      <c r="AX621" s="197">
        <f t="shared" si="467"/>
        <v>6.1668000000000001E-2</v>
      </c>
      <c r="AY621" s="197">
        <f t="shared" si="433"/>
        <v>2.8867476000000005E-3</v>
      </c>
      <c r="AZ621" s="197">
        <f t="shared" si="434"/>
        <v>0</v>
      </c>
      <c r="BA621" s="197">
        <f t="shared" si="468"/>
        <v>7.2596940000000013E-2</v>
      </c>
      <c r="BB621" s="258">
        <f t="shared" si="435"/>
        <v>0.36575210336206115</v>
      </c>
      <c r="BC621" s="197">
        <f t="shared" si="436"/>
        <v>2.2380490766334034E-2</v>
      </c>
      <c r="BD621" s="197">
        <f t="shared" si="469"/>
        <v>4.4760981532668068E-3</v>
      </c>
      <c r="BE621" s="197">
        <f t="shared" si="470"/>
        <v>2.6856588919600841E-2</v>
      </c>
      <c r="BF621" s="197">
        <f t="shared" si="437"/>
        <v>0.20773291256157633</v>
      </c>
      <c r="BG621" s="197">
        <f t="shared" si="438"/>
        <v>5.4608303342508187E-4</v>
      </c>
      <c r="BH621" s="197">
        <f t="shared" si="439"/>
        <v>3.5336687086656722E-2</v>
      </c>
      <c r="BI621" s="197">
        <f t="shared" si="471"/>
        <v>0.44730899017824427</v>
      </c>
      <c r="BJ621" s="197">
        <f t="shared" si="440"/>
        <v>6.769615024661003</v>
      </c>
      <c r="BK621" s="288">
        <f t="shared" si="441"/>
        <v>0.93392401361838984</v>
      </c>
      <c r="BL621" s="197">
        <f t="shared" si="442"/>
        <v>0.37608972359227794</v>
      </c>
      <c r="BM621" s="197">
        <f t="shared" si="443"/>
        <v>7.4353030976985271E-2</v>
      </c>
      <c r="BN621" s="197">
        <f t="shared" si="444"/>
        <v>54.461181858619113</v>
      </c>
      <c r="BO621" s="197">
        <f t="shared" si="472"/>
        <v>0.2082789955950014</v>
      </c>
      <c r="BP621" s="197">
        <f t="shared" si="445"/>
        <v>65.620924669625111</v>
      </c>
      <c r="BQ621" s="197">
        <f t="shared" si="446"/>
        <v>9.9596940000000009E-2</v>
      </c>
      <c r="BR621" s="288">
        <f t="shared" si="447"/>
        <v>0.16008975919012108</v>
      </c>
      <c r="BS621" s="197">
        <f t="shared" si="448"/>
        <v>0.11660930017110901</v>
      </c>
      <c r="BT621" s="197">
        <f t="shared" si="449"/>
        <v>0.36419974881911377</v>
      </c>
      <c r="BU621" s="197">
        <f t="shared" si="450"/>
        <v>0.1713930788771201</v>
      </c>
      <c r="BV621" s="197">
        <f t="shared" si="451"/>
        <v>0.53530306917875781</v>
      </c>
      <c r="BW621" s="194"/>
      <c r="BX621" s="194"/>
      <c r="BY621" s="194"/>
      <c r="BZ621" s="194"/>
      <c r="CA621" s="194"/>
      <c r="CB621" s="194"/>
      <c r="CC621" s="194"/>
      <c r="CD621" s="194"/>
      <c r="CE621" s="194"/>
      <c r="CF621" s="194"/>
      <c r="CG621" s="194"/>
      <c r="CH621" s="194"/>
      <c r="CI621" s="194"/>
      <c r="CJ621" s="194"/>
      <c r="CK621" s="194"/>
      <c r="CL621" s="194"/>
      <c r="CM621" s="194"/>
      <c r="CN621" s="194"/>
      <c r="CO621" s="194"/>
      <c r="CP621" s="194"/>
      <c r="CQ621" s="194"/>
      <c r="CR621" s="194"/>
      <c r="CS621" s="194"/>
      <c r="CT621" s="194"/>
      <c r="CU621" s="194"/>
      <c r="CV621" s="194"/>
      <c r="CW621" s="194"/>
      <c r="CX621" s="194"/>
      <c r="CY621" s="194"/>
      <c r="CZ621" s="194"/>
      <c r="DA621" s="194"/>
      <c r="DB621" s="194"/>
      <c r="DC621" s="194"/>
      <c r="DD621" s="194"/>
      <c r="DE621" s="194"/>
      <c r="DF621" s="194"/>
    </row>
    <row r="622" spans="2:110" s="192" customFormat="1" hidden="1" x14ac:dyDescent="0.35">
      <c r="B622" s="289"/>
      <c r="C622" s="289"/>
      <c r="Q622" s="193"/>
      <c r="R622" s="194">
        <f t="shared" si="452"/>
        <v>18</v>
      </c>
      <c r="S622" s="197">
        <f t="shared" si="418"/>
        <v>0.3888888888888889</v>
      </c>
      <c r="T622" s="194">
        <f t="shared" si="473"/>
        <v>0.69</v>
      </c>
      <c r="U622" s="194">
        <f t="shared" si="474"/>
        <v>1.4999999999999999E-4</v>
      </c>
      <c r="V622" s="197">
        <f t="shared" si="453"/>
        <v>0.3888888888888889</v>
      </c>
      <c r="W622" s="197">
        <f t="shared" si="419"/>
        <v>4.3555555555555561E-3</v>
      </c>
      <c r="X622" s="286">
        <f t="shared" si="420"/>
        <v>1</v>
      </c>
      <c r="Y622" s="286">
        <f t="shared" si="421"/>
        <v>0.17335969315081967</v>
      </c>
      <c r="Z622" s="286">
        <f t="shared" si="422"/>
        <v>0.54964853345132902</v>
      </c>
      <c r="AA622" s="286">
        <f t="shared" si="454"/>
        <v>0.17335969315081967</v>
      </c>
      <c r="AB622" s="197">
        <f t="shared" si="423"/>
        <v>0.36419974881911377</v>
      </c>
      <c r="AC622" s="287">
        <f t="shared" si="424"/>
        <v>4.4451203372005044E-7</v>
      </c>
      <c r="AD622" s="197">
        <f t="shared" si="455"/>
        <v>11.693936048110356</v>
      </c>
      <c r="AE622" s="197">
        <f t="shared" si="456"/>
        <v>35.08180814433107</v>
      </c>
      <c r="AF622" s="197">
        <f t="shared" si="457"/>
        <v>8.5178571428571423E-2</v>
      </c>
      <c r="AG622" s="197">
        <f t="shared" si="458"/>
        <v>0.25553571428571431</v>
      </c>
      <c r="AH622" s="197">
        <f t="shared" si="425"/>
        <v>0.11660930017110901</v>
      </c>
      <c r="AI622" s="197">
        <f t="shared" si="459"/>
        <v>0.11660930017110901</v>
      </c>
      <c r="AJ622" s="218">
        <f t="shared" si="426"/>
        <v>390.00000000000006</v>
      </c>
      <c r="AK622" s="197">
        <f t="shared" si="460"/>
        <v>6.0930617977437734E-2</v>
      </c>
      <c r="AL622" s="197">
        <f t="shared" si="461"/>
        <v>9.6203707235237593E-2</v>
      </c>
      <c r="AM622" s="197">
        <f t="shared" si="462"/>
        <v>4.0790371867740751E-3</v>
      </c>
      <c r="AN622" s="197">
        <f t="shared" si="427"/>
        <v>24.05</v>
      </c>
      <c r="AO622" s="197">
        <f t="shared" si="428"/>
        <v>21.69</v>
      </c>
      <c r="AP622" s="197">
        <f t="shared" si="463"/>
        <v>7.4093290390420161E-2</v>
      </c>
      <c r="AQ622" s="197">
        <f t="shared" si="464"/>
        <v>0.42250439890466829</v>
      </c>
      <c r="AR622" s="197">
        <f t="shared" si="465"/>
        <v>0.30589509873355925</v>
      </c>
      <c r="AS622" s="258">
        <f t="shared" si="466"/>
        <v>0.15228632177729159</v>
      </c>
      <c r="AT622" s="197">
        <f t="shared" si="429"/>
        <v>2.5974058656511614E-4</v>
      </c>
      <c r="AU622" s="194">
        <f t="shared" si="430"/>
        <v>21.19</v>
      </c>
      <c r="AV622" s="197">
        <f t="shared" si="431"/>
        <v>2.7E-2</v>
      </c>
      <c r="AW622" s="197">
        <f t="shared" si="432"/>
        <v>3.4260000000000002E-3</v>
      </c>
      <c r="AX622" s="197">
        <f t="shared" si="467"/>
        <v>6.1668000000000001E-2</v>
      </c>
      <c r="AY622" s="197">
        <f t="shared" si="433"/>
        <v>2.8867476000000005E-3</v>
      </c>
      <c r="AZ622" s="197">
        <f t="shared" si="434"/>
        <v>0</v>
      </c>
      <c r="BA622" s="197">
        <f t="shared" si="468"/>
        <v>7.2596940000000013E-2</v>
      </c>
      <c r="BB622" s="258">
        <f t="shared" si="435"/>
        <v>0.36575210336206115</v>
      </c>
      <c r="BC622" s="197">
        <f t="shared" si="436"/>
        <v>2.2380490766334034E-2</v>
      </c>
      <c r="BD622" s="197">
        <f t="shared" si="469"/>
        <v>4.4760981532668068E-3</v>
      </c>
      <c r="BE622" s="197">
        <f t="shared" si="470"/>
        <v>2.6856588919600841E-2</v>
      </c>
      <c r="BF622" s="197">
        <f t="shared" si="437"/>
        <v>0.20773291256157633</v>
      </c>
      <c r="BG622" s="197">
        <f t="shared" si="438"/>
        <v>5.4608303342508187E-4</v>
      </c>
      <c r="BH622" s="197">
        <f t="shared" si="439"/>
        <v>3.5336687086656722E-2</v>
      </c>
      <c r="BI622" s="197">
        <f t="shared" si="471"/>
        <v>0.44730899017824427</v>
      </c>
      <c r="BJ622" s="197">
        <f t="shared" si="440"/>
        <v>6.769615024661003</v>
      </c>
      <c r="BK622" s="288">
        <f t="shared" si="441"/>
        <v>0.93392401361838984</v>
      </c>
      <c r="BL622" s="197">
        <f t="shared" si="442"/>
        <v>0.37608972359227794</v>
      </c>
      <c r="BM622" s="197">
        <f t="shared" si="443"/>
        <v>7.4353030976985271E-2</v>
      </c>
      <c r="BN622" s="197">
        <f t="shared" si="444"/>
        <v>54.461181858619113</v>
      </c>
      <c r="BO622" s="197">
        <f t="shared" si="472"/>
        <v>0.2082789955950014</v>
      </c>
      <c r="BP622" s="197">
        <f t="shared" si="445"/>
        <v>65.620924669625111</v>
      </c>
      <c r="BQ622" s="197">
        <f t="shared" si="446"/>
        <v>9.9596940000000009E-2</v>
      </c>
      <c r="BR622" s="288">
        <f t="shared" si="447"/>
        <v>0.16008975919012108</v>
      </c>
      <c r="BS622" s="197">
        <f t="shared" si="448"/>
        <v>0.11660930017110901</v>
      </c>
      <c r="BT622" s="197">
        <f t="shared" si="449"/>
        <v>0.36419974881911377</v>
      </c>
      <c r="BU622" s="197">
        <f t="shared" si="450"/>
        <v>0.1713930788771201</v>
      </c>
      <c r="BV622" s="197">
        <f t="shared" si="451"/>
        <v>0.53530306917875781</v>
      </c>
      <c r="BW622" s="194"/>
      <c r="BX622" s="194"/>
      <c r="BY622" s="194"/>
      <c r="BZ622" s="194"/>
      <c r="CA622" s="194"/>
      <c r="CB622" s="194"/>
      <c r="CC622" s="194"/>
      <c r="CD622" s="194"/>
      <c r="CE622" s="194"/>
      <c r="CF622" s="194"/>
      <c r="CG622" s="194"/>
      <c r="CH622" s="194"/>
      <c r="CI622" s="194"/>
      <c r="CJ622" s="194"/>
      <c r="CK622" s="194"/>
      <c r="CL622" s="194"/>
      <c r="CM622" s="194"/>
      <c r="CN622" s="194"/>
      <c r="CO622" s="194"/>
      <c r="CP622" s="194"/>
      <c r="CQ622" s="194"/>
      <c r="CR622" s="194"/>
      <c r="CS622" s="194"/>
      <c r="CT622" s="194"/>
      <c r="CU622" s="194"/>
      <c r="CV622" s="194"/>
      <c r="CW622" s="194"/>
      <c r="CX622" s="194"/>
      <c r="CY622" s="194"/>
      <c r="CZ622" s="194"/>
      <c r="DA622" s="194"/>
      <c r="DB622" s="194"/>
      <c r="DC622" s="194"/>
      <c r="DD622" s="194"/>
      <c r="DE622" s="194"/>
      <c r="DF622" s="194"/>
    </row>
    <row r="623" spans="2:110" s="192" customFormat="1" hidden="1" x14ac:dyDescent="0.35">
      <c r="B623" s="289"/>
      <c r="C623" s="289"/>
      <c r="Q623" s="193"/>
      <c r="R623" s="194">
        <f t="shared" si="452"/>
        <v>18</v>
      </c>
      <c r="S623" s="197">
        <f t="shared" si="418"/>
        <v>0.3888888888888889</v>
      </c>
      <c r="T623" s="194">
        <f t="shared" si="473"/>
        <v>0.69</v>
      </c>
      <c r="U623" s="194">
        <f t="shared" si="474"/>
        <v>1.4999999999999999E-4</v>
      </c>
      <c r="V623" s="197">
        <f t="shared" si="453"/>
        <v>0.3888888888888889</v>
      </c>
      <c r="W623" s="197">
        <f t="shared" si="419"/>
        <v>4.3555555555555561E-3</v>
      </c>
      <c r="X623" s="286">
        <f t="shared" si="420"/>
        <v>1</v>
      </c>
      <c r="Y623" s="286">
        <f t="shared" si="421"/>
        <v>0.17335969315081967</v>
      </c>
      <c r="Z623" s="286">
        <f t="shared" si="422"/>
        <v>0.54964853345132902</v>
      </c>
      <c r="AA623" s="286">
        <f t="shared" si="454"/>
        <v>0.17335969315081967</v>
      </c>
      <c r="AB623" s="197">
        <f t="shared" si="423"/>
        <v>0.36419974881911377</v>
      </c>
      <c r="AC623" s="287">
        <f t="shared" si="424"/>
        <v>4.4451203372005044E-7</v>
      </c>
      <c r="AD623" s="197">
        <f t="shared" si="455"/>
        <v>11.693936048110356</v>
      </c>
      <c r="AE623" s="197">
        <f t="shared" si="456"/>
        <v>35.08180814433107</v>
      </c>
      <c r="AF623" s="197">
        <f t="shared" si="457"/>
        <v>8.5178571428571423E-2</v>
      </c>
      <c r="AG623" s="197">
        <f t="shared" si="458"/>
        <v>0.25553571428571431</v>
      </c>
      <c r="AH623" s="197">
        <f t="shared" si="425"/>
        <v>0.11660930017110901</v>
      </c>
      <c r="AI623" s="197">
        <f t="shared" si="459"/>
        <v>0.11660930017110901</v>
      </c>
      <c r="AJ623" s="218">
        <f t="shared" si="426"/>
        <v>390.00000000000006</v>
      </c>
      <c r="AK623" s="197">
        <f t="shared" si="460"/>
        <v>6.0930617977437734E-2</v>
      </c>
      <c r="AL623" s="197">
        <f t="shared" si="461"/>
        <v>9.6203707235237593E-2</v>
      </c>
      <c r="AM623" s="197">
        <f t="shared" si="462"/>
        <v>4.0790371867740751E-3</v>
      </c>
      <c r="AN623" s="197">
        <f t="shared" si="427"/>
        <v>24.05</v>
      </c>
      <c r="AO623" s="197">
        <f t="shared" si="428"/>
        <v>21.69</v>
      </c>
      <c r="AP623" s="197">
        <f t="shared" si="463"/>
        <v>7.4093290390420161E-2</v>
      </c>
      <c r="AQ623" s="197">
        <f t="shared" si="464"/>
        <v>0.42250439890466829</v>
      </c>
      <c r="AR623" s="197">
        <f t="shared" si="465"/>
        <v>0.30589509873355925</v>
      </c>
      <c r="AS623" s="258">
        <f t="shared" si="466"/>
        <v>0.15228632177729159</v>
      </c>
      <c r="AT623" s="197">
        <f t="shared" si="429"/>
        <v>2.5974058656511614E-4</v>
      </c>
      <c r="AU623" s="194">
        <f t="shared" si="430"/>
        <v>21.19</v>
      </c>
      <c r="AV623" s="197">
        <f t="shared" si="431"/>
        <v>2.7E-2</v>
      </c>
      <c r="AW623" s="197">
        <f t="shared" si="432"/>
        <v>3.4260000000000002E-3</v>
      </c>
      <c r="AX623" s="197">
        <f t="shared" si="467"/>
        <v>6.1668000000000001E-2</v>
      </c>
      <c r="AY623" s="197">
        <f t="shared" si="433"/>
        <v>2.8867476000000005E-3</v>
      </c>
      <c r="AZ623" s="197">
        <f t="shared" si="434"/>
        <v>0</v>
      </c>
      <c r="BA623" s="197">
        <f t="shared" si="468"/>
        <v>7.2596940000000013E-2</v>
      </c>
      <c r="BB623" s="258">
        <f t="shared" si="435"/>
        <v>0.36575210336206115</v>
      </c>
      <c r="BC623" s="197">
        <f t="shared" si="436"/>
        <v>2.2380490766334034E-2</v>
      </c>
      <c r="BD623" s="197">
        <f t="shared" si="469"/>
        <v>4.4760981532668068E-3</v>
      </c>
      <c r="BE623" s="197">
        <f t="shared" si="470"/>
        <v>2.6856588919600841E-2</v>
      </c>
      <c r="BF623" s="197">
        <f t="shared" si="437"/>
        <v>0.20773291256157633</v>
      </c>
      <c r="BG623" s="197">
        <f t="shared" si="438"/>
        <v>5.4608303342508187E-4</v>
      </c>
      <c r="BH623" s="197">
        <f t="shared" si="439"/>
        <v>3.5336687086656722E-2</v>
      </c>
      <c r="BI623" s="197">
        <f t="shared" si="471"/>
        <v>0.44730899017824427</v>
      </c>
      <c r="BJ623" s="197">
        <f t="shared" si="440"/>
        <v>6.769615024661003</v>
      </c>
      <c r="BK623" s="288">
        <f t="shared" si="441"/>
        <v>0.93392401361838984</v>
      </c>
      <c r="BL623" s="197">
        <f t="shared" si="442"/>
        <v>0.37608972359227794</v>
      </c>
      <c r="BM623" s="197">
        <f t="shared" si="443"/>
        <v>7.4353030976985271E-2</v>
      </c>
      <c r="BN623" s="197">
        <f t="shared" si="444"/>
        <v>54.461181858619113</v>
      </c>
      <c r="BO623" s="197">
        <f t="shared" si="472"/>
        <v>0.2082789955950014</v>
      </c>
      <c r="BP623" s="197">
        <f t="shared" si="445"/>
        <v>65.620924669625111</v>
      </c>
      <c r="BQ623" s="197">
        <f t="shared" si="446"/>
        <v>9.9596940000000009E-2</v>
      </c>
      <c r="BR623" s="288">
        <f t="shared" si="447"/>
        <v>0.16008975919012108</v>
      </c>
      <c r="BS623" s="197">
        <f t="shared" si="448"/>
        <v>0.11660930017110901</v>
      </c>
      <c r="BT623" s="197">
        <f t="shared" si="449"/>
        <v>0.36419974881911377</v>
      </c>
      <c r="BU623" s="197">
        <f t="shared" si="450"/>
        <v>0.1713930788771201</v>
      </c>
      <c r="BV623" s="197">
        <f t="shared" si="451"/>
        <v>0.53530306917875781</v>
      </c>
      <c r="BW623" s="194"/>
      <c r="BX623" s="194"/>
      <c r="BY623" s="194"/>
      <c r="BZ623" s="194"/>
      <c r="CA623" s="194"/>
      <c r="CB623" s="194"/>
      <c r="CC623" s="194"/>
      <c r="CD623" s="194"/>
      <c r="CE623" s="194"/>
      <c r="CF623" s="194"/>
      <c r="CG623" s="194"/>
      <c r="CH623" s="194"/>
      <c r="CI623" s="194"/>
      <c r="CJ623" s="194"/>
      <c r="CK623" s="194"/>
      <c r="CL623" s="194"/>
      <c r="CM623" s="194"/>
      <c r="CN623" s="194"/>
      <c r="CO623" s="194"/>
      <c r="CP623" s="194"/>
      <c r="CQ623" s="194"/>
      <c r="CR623" s="194"/>
      <c r="CS623" s="194"/>
      <c r="CT623" s="194"/>
      <c r="CU623" s="194"/>
      <c r="CV623" s="194"/>
      <c r="CW623" s="194"/>
      <c r="CX623" s="194"/>
      <c r="CY623" s="194"/>
      <c r="CZ623" s="194"/>
      <c r="DA623" s="194"/>
      <c r="DB623" s="194"/>
      <c r="DC623" s="194"/>
      <c r="DD623" s="194"/>
      <c r="DE623" s="194"/>
      <c r="DF623" s="194"/>
    </row>
    <row r="624" spans="2:110" s="192" customFormat="1" hidden="1" x14ac:dyDescent="0.35">
      <c r="B624" s="289"/>
      <c r="C624" s="289"/>
      <c r="Q624" s="193"/>
      <c r="R624" s="194">
        <f t="shared" si="452"/>
        <v>18</v>
      </c>
      <c r="S624" s="197">
        <f t="shared" si="418"/>
        <v>0.3888888888888889</v>
      </c>
      <c r="T624" s="194">
        <f t="shared" si="473"/>
        <v>0.69</v>
      </c>
      <c r="U624" s="194">
        <f t="shared" si="474"/>
        <v>1.4999999999999999E-4</v>
      </c>
      <c r="V624" s="197">
        <f t="shared" si="453"/>
        <v>0.3888888888888889</v>
      </c>
      <c r="W624" s="197">
        <f t="shared" si="419"/>
        <v>4.3555555555555561E-3</v>
      </c>
      <c r="X624" s="286">
        <f t="shared" si="420"/>
        <v>1</v>
      </c>
      <c r="Y624" s="286">
        <f t="shared" si="421"/>
        <v>0.17335969315081967</v>
      </c>
      <c r="Z624" s="286">
        <f t="shared" si="422"/>
        <v>0.54964853345132902</v>
      </c>
      <c r="AA624" s="286">
        <f t="shared" si="454"/>
        <v>0.17335969315081967</v>
      </c>
      <c r="AB624" s="197">
        <f t="shared" si="423"/>
        <v>0.36419974881911377</v>
      </c>
      <c r="AC624" s="287">
        <f t="shared" si="424"/>
        <v>4.4451203372005044E-7</v>
      </c>
      <c r="AD624" s="197">
        <f t="shared" si="455"/>
        <v>11.693936048110356</v>
      </c>
      <c r="AE624" s="197">
        <f t="shared" si="456"/>
        <v>35.08180814433107</v>
      </c>
      <c r="AF624" s="197">
        <f t="shared" si="457"/>
        <v>8.5178571428571423E-2</v>
      </c>
      <c r="AG624" s="197">
        <f t="shared" si="458"/>
        <v>0.25553571428571431</v>
      </c>
      <c r="AH624" s="197">
        <f t="shared" si="425"/>
        <v>0.11660930017110901</v>
      </c>
      <c r="AI624" s="197">
        <f t="shared" si="459"/>
        <v>0.11660930017110901</v>
      </c>
      <c r="AJ624" s="218">
        <f t="shared" si="426"/>
        <v>390.00000000000006</v>
      </c>
      <c r="AK624" s="197">
        <f t="shared" si="460"/>
        <v>6.0930617977437734E-2</v>
      </c>
      <c r="AL624" s="197">
        <f t="shared" si="461"/>
        <v>9.6203707235237593E-2</v>
      </c>
      <c r="AM624" s="197">
        <f t="shared" si="462"/>
        <v>4.0790371867740751E-3</v>
      </c>
      <c r="AN624" s="197">
        <f t="shared" si="427"/>
        <v>24.05</v>
      </c>
      <c r="AO624" s="197">
        <f t="shared" si="428"/>
        <v>21.69</v>
      </c>
      <c r="AP624" s="197">
        <f t="shared" si="463"/>
        <v>7.4093290390420161E-2</v>
      </c>
      <c r="AQ624" s="197">
        <f t="shared" si="464"/>
        <v>0.42250439890466829</v>
      </c>
      <c r="AR624" s="197">
        <f t="shared" si="465"/>
        <v>0.30589509873355925</v>
      </c>
      <c r="AS624" s="258">
        <f t="shared" si="466"/>
        <v>0.15228632177729159</v>
      </c>
      <c r="AT624" s="197">
        <f t="shared" si="429"/>
        <v>2.5974058656511614E-4</v>
      </c>
      <c r="AU624" s="194">
        <f t="shared" si="430"/>
        <v>21.19</v>
      </c>
      <c r="AV624" s="197">
        <f t="shared" si="431"/>
        <v>2.7E-2</v>
      </c>
      <c r="AW624" s="197">
        <f t="shared" si="432"/>
        <v>3.4260000000000002E-3</v>
      </c>
      <c r="AX624" s="197">
        <f t="shared" si="467"/>
        <v>6.1668000000000001E-2</v>
      </c>
      <c r="AY624" s="197">
        <f t="shared" si="433"/>
        <v>2.8867476000000005E-3</v>
      </c>
      <c r="AZ624" s="197">
        <f t="shared" si="434"/>
        <v>0</v>
      </c>
      <c r="BA624" s="197">
        <f t="shared" si="468"/>
        <v>7.2596940000000013E-2</v>
      </c>
      <c r="BB624" s="258">
        <f t="shared" si="435"/>
        <v>0.36575210336206115</v>
      </c>
      <c r="BC624" s="197">
        <f t="shared" si="436"/>
        <v>2.2380490766334034E-2</v>
      </c>
      <c r="BD624" s="197">
        <f t="shared" si="469"/>
        <v>4.4760981532668068E-3</v>
      </c>
      <c r="BE624" s="197">
        <f t="shared" si="470"/>
        <v>2.6856588919600841E-2</v>
      </c>
      <c r="BF624" s="197">
        <f t="shared" si="437"/>
        <v>0.20773291256157633</v>
      </c>
      <c r="BG624" s="197">
        <f t="shared" si="438"/>
        <v>5.4608303342508187E-4</v>
      </c>
      <c r="BH624" s="197">
        <f t="shared" si="439"/>
        <v>3.5336687086656722E-2</v>
      </c>
      <c r="BI624" s="197">
        <f t="shared" si="471"/>
        <v>0.44730899017824427</v>
      </c>
      <c r="BJ624" s="197">
        <f t="shared" si="440"/>
        <v>6.769615024661003</v>
      </c>
      <c r="BK624" s="288">
        <f t="shared" si="441"/>
        <v>0.93392401361838984</v>
      </c>
      <c r="BL624" s="197">
        <f t="shared" si="442"/>
        <v>0.37608972359227794</v>
      </c>
      <c r="BM624" s="197">
        <f t="shared" si="443"/>
        <v>7.4353030976985271E-2</v>
      </c>
      <c r="BN624" s="197">
        <f t="shared" si="444"/>
        <v>54.461181858619113</v>
      </c>
      <c r="BO624" s="197">
        <f t="shared" si="472"/>
        <v>0.2082789955950014</v>
      </c>
      <c r="BP624" s="197">
        <f t="shared" si="445"/>
        <v>65.620924669625111</v>
      </c>
      <c r="BQ624" s="197">
        <f t="shared" si="446"/>
        <v>9.9596940000000009E-2</v>
      </c>
      <c r="BR624" s="288">
        <f t="shared" si="447"/>
        <v>0.16008975919012108</v>
      </c>
      <c r="BS624" s="197">
        <f t="shared" si="448"/>
        <v>0.11660930017110901</v>
      </c>
      <c r="BT624" s="197">
        <f t="shared" si="449"/>
        <v>0.36419974881911377</v>
      </c>
      <c r="BU624" s="197">
        <f t="shared" si="450"/>
        <v>0.1713930788771201</v>
      </c>
      <c r="BV624" s="197">
        <f t="shared" si="451"/>
        <v>0.53530306917875781</v>
      </c>
      <c r="BW624" s="194"/>
      <c r="BX624" s="194"/>
      <c r="BY624" s="194"/>
      <c r="BZ624" s="194"/>
      <c r="CA624" s="194"/>
      <c r="CB624" s="194"/>
      <c r="CC624" s="194"/>
      <c r="CD624" s="194"/>
      <c r="CE624" s="194"/>
      <c r="CF624" s="194"/>
      <c r="CG624" s="194"/>
      <c r="CH624" s="194"/>
      <c r="CI624" s="194"/>
      <c r="CJ624" s="194"/>
      <c r="CK624" s="194"/>
      <c r="CL624" s="194"/>
      <c r="CM624" s="194"/>
      <c r="CN624" s="194"/>
      <c r="CO624" s="194"/>
      <c r="CP624" s="194"/>
      <c r="CQ624" s="194"/>
      <c r="CR624" s="194"/>
      <c r="CS624" s="194"/>
      <c r="CT624" s="194"/>
      <c r="CU624" s="194"/>
      <c r="CV624" s="194"/>
      <c r="CW624" s="194"/>
      <c r="CX624" s="194"/>
      <c r="CY624" s="194"/>
      <c r="CZ624" s="194"/>
      <c r="DA624" s="194"/>
      <c r="DB624" s="194"/>
      <c r="DC624" s="194"/>
      <c r="DD624" s="194"/>
      <c r="DE624" s="194"/>
      <c r="DF624" s="194"/>
    </row>
    <row r="625" spans="2:110" s="192" customFormat="1" hidden="1" x14ac:dyDescent="0.35">
      <c r="B625" s="289"/>
      <c r="C625" s="289"/>
      <c r="Q625" s="193"/>
      <c r="R625" s="194">
        <f t="shared" si="452"/>
        <v>18</v>
      </c>
      <c r="S625" s="197">
        <f t="shared" si="418"/>
        <v>0.3888888888888889</v>
      </c>
      <c r="T625" s="194">
        <f t="shared" si="473"/>
        <v>0.69</v>
      </c>
      <c r="U625" s="194">
        <f t="shared" si="474"/>
        <v>1.4999999999999999E-4</v>
      </c>
      <c r="V625" s="197">
        <f t="shared" si="453"/>
        <v>0.3888888888888889</v>
      </c>
      <c r="W625" s="197">
        <f t="shared" si="419"/>
        <v>4.3555555555555561E-3</v>
      </c>
      <c r="X625" s="286">
        <f t="shared" si="420"/>
        <v>1</v>
      </c>
      <c r="Y625" s="286">
        <f t="shared" si="421"/>
        <v>0.17335969315081967</v>
      </c>
      <c r="Z625" s="286">
        <f t="shared" si="422"/>
        <v>0.54964853345132902</v>
      </c>
      <c r="AA625" s="286">
        <f t="shared" si="454"/>
        <v>0.17335969315081967</v>
      </c>
      <c r="AB625" s="197">
        <f t="shared" si="423"/>
        <v>0.36419974881911377</v>
      </c>
      <c r="AC625" s="287">
        <f t="shared" si="424"/>
        <v>4.4451203372005044E-7</v>
      </c>
      <c r="AD625" s="197">
        <f t="shared" si="455"/>
        <v>11.693936048110356</v>
      </c>
      <c r="AE625" s="197">
        <f t="shared" si="456"/>
        <v>35.08180814433107</v>
      </c>
      <c r="AF625" s="197">
        <f t="shared" si="457"/>
        <v>8.5178571428571423E-2</v>
      </c>
      <c r="AG625" s="197">
        <f t="shared" si="458"/>
        <v>0.25553571428571431</v>
      </c>
      <c r="AH625" s="197">
        <f t="shared" si="425"/>
        <v>0.11660930017110901</v>
      </c>
      <c r="AI625" s="197">
        <f t="shared" si="459"/>
        <v>0.11660930017110901</v>
      </c>
      <c r="AJ625" s="218">
        <f t="shared" si="426"/>
        <v>390.00000000000006</v>
      </c>
      <c r="AK625" s="197">
        <f t="shared" si="460"/>
        <v>6.0930617977437734E-2</v>
      </c>
      <c r="AL625" s="197">
        <f t="shared" si="461"/>
        <v>9.6203707235237593E-2</v>
      </c>
      <c r="AM625" s="197">
        <f t="shared" si="462"/>
        <v>4.0790371867740751E-3</v>
      </c>
      <c r="AN625" s="197">
        <f t="shared" si="427"/>
        <v>24.05</v>
      </c>
      <c r="AO625" s="197">
        <f t="shared" si="428"/>
        <v>21.69</v>
      </c>
      <c r="AP625" s="197">
        <f t="shared" si="463"/>
        <v>7.4093290390420161E-2</v>
      </c>
      <c r="AQ625" s="197">
        <f t="shared" si="464"/>
        <v>0.42250439890466829</v>
      </c>
      <c r="AR625" s="197">
        <f t="shared" si="465"/>
        <v>0.30589509873355925</v>
      </c>
      <c r="AS625" s="258">
        <f t="shared" si="466"/>
        <v>0.15228632177729159</v>
      </c>
      <c r="AT625" s="197">
        <f t="shared" si="429"/>
        <v>2.5974058656511614E-4</v>
      </c>
      <c r="AU625" s="194">
        <f t="shared" si="430"/>
        <v>21.19</v>
      </c>
      <c r="AV625" s="197">
        <f t="shared" si="431"/>
        <v>2.7E-2</v>
      </c>
      <c r="AW625" s="197">
        <f t="shared" si="432"/>
        <v>3.4260000000000002E-3</v>
      </c>
      <c r="AX625" s="197">
        <f t="shared" si="467"/>
        <v>6.1668000000000001E-2</v>
      </c>
      <c r="AY625" s="197">
        <f t="shared" si="433"/>
        <v>2.8867476000000005E-3</v>
      </c>
      <c r="AZ625" s="197">
        <f t="shared" si="434"/>
        <v>0</v>
      </c>
      <c r="BA625" s="197">
        <f t="shared" si="468"/>
        <v>7.2596940000000013E-2</v>
      </c>
      <c r="BB625" s="258">
        <f t="shared" si="435"/>
        <v>0.36575210336206115</v>
      </c>
      <c r="BC625" s="197">
        <f t="shared" si="436"/>
        <v>2.2380490766334034E-2</v>
      </c>
      <c r="BD625" s="197">
        <f t="shared" si="469"/>
        <v>4.4760981532668068E-3</v>
      </c>
      <c r="BE625" s="197">
        <f t="shared" si="470"/>
        <v>2.6856588919600841E-2</v>
      </c>
      <c r="BF625" s="197">
        <f t="shared" si="437"/>
        <v>0.20773291256157633</v>
      </c>
      <c r="BG625" s="197">
        <f t="shared" si="438"/>
        <v>5.4608303342508187E-4</v>
      </c>
      <c r="BH625" s="197">
        <f t="shared" si="439"/>
        <v>3.5336687086656722E-2</v>
      </c>
      <c r="BI625" s="197">
        <f t="shared" si="471"/>
        <v>0.44730899017824427</v>
      </c>
      <c r="BJ625" s="197">
        <f t="shared" si="440"/>
        <v>6.769615024661003</v>
      </c>
      <c r="BK625" s="288">
        <f t="shared" si="441"/>
        <v>0.93392401361838984</v>
      </c>
      <c r="BL625" s="197">
        <f t="shared" si="442"/>
        <v>0.37608972359227794</v>
      </c>
      <c r="BM625" s="197">
        <f t="shared" si="443"/>
        <v>7.4353030976985271E-2</v>
      </c>
      <c r="BN625" s="197">
        <f t="shared" si="444"/>
        <v>54.461181858619113</v>
      </c>
      <c r="BO625" s="197">
        <f t="shared" si="472"/>
        <v>0.2082789955950014</v>
      </c>
      <c r="BP625" s="197">
        <f t="shared" si="445"/>
        <v>65.620924669625111</v>
      </c>
      <c r="BQ625" s="197">
        <f t="shared" si="446"/>
        <v>9.9596940000000009E-2</v>
      </c>
      <c r="BR625" s="288">
        <f t="shared" si="447"/>
        <v>0.16008975919012108</v>
      </c>
      <c r="BS625" s="197">
        <f t="shared" si="448"/>
        <v>0.11660930017110901</v>
      </c>
      <c r="BT625" s="197">
        <f t="shared" si="449"/>
        <v>0.36419974881911377</v>
      </c>
      <c r="BU625" s="197">
        <f t="shared" si="450"/>
        <v>0.1713930788771201</v>
      </c>
      <c r="BV625" s="197">
        <f t="shared" si="451"/>
        <v>0.53530306917875781</v>
      </c>
      <c r="BW625" s="194"/>
      <c r="BX625" s="194"/>
      <c r="BY625" s="194"/>
      <c r="BZ625" s="194"/>
      <c r="CA625" s="194"/>
      <c r="CB625" s="194"/>
      <c r="CC625" s="194"/>
      <c r="CD625" s="194"/>
      <c r="CE625" s="194"/>
      <c r="CF625" s="194"/>
      <c r="CG625" s="194"/>
      <c r="CH625" s="194"/>
      <c r="CI625" s="194"/>
      <c r="CJ625" s="194"/>
      <c r="CK625" s="194"/>
      <c r="CL625" s="194"/>
      <c r="CM625" s="194"/>
      <c r="CN625" s="194"/>
      <c r="CO625" s="194"/>
      <c r="CP625" s="194"/>
      <c r="CQ625" s="194"/>
      <c r="CR625" s="194"/>
      <c r="CS625" s="194"/>
      <c r="CT625" s="194"/>
      <c r="CU625" s="194"/>
      <c r="CV625" s="194"/>
      <c r="CW625" s="194"/>
      <c r="CX625" s="194"/>
      <c r="CY625" s="194"/>
      <c r="CZ625" s="194"/>
      <c r="DA625" s="194"/>
      <c r="DB625" s="194"/>
      <c r="DC625" s="194"/>
      <c r="DD625" s="194"/>
      <c r="DE625" s="194"/>
      <c r="DF625" s="194"/>
    </row>
    <row r="626" spans="2:110" s="192" customFormat="1" hidden="1" x14ac:dyDescent="0.35">
      <c r="B626" s="289"/>
      <c r="C626" s="289"/>
      <c r="Q626" s="193"/>
      <c r="R626" s="194">
        <f t="shared" si="452"/>
        <v>18</v>
      </c>
      <c r="S626" s="197">
        <f t="shared" si="418"/>
        <v>0.3888888888888889</v>
      </c>
      <c r="T626" s="194">
        <f t="shared" si="473"/>
        <v>0.69</v>
      </c>
      <c r="U626" s="194">
        <f t="shared" si="474"/>
        <v>1.4999999999999999E-4</v>
      </c>
      <c r="V626" s="197">
        <f t="shared" si="453"/>
        <v>0.3888888888888889</v>
      </c>
      <c r="W626" s="197">
        <f t="shared" si="419"/>
        <v>4.3555555555555561E-3</v>
      </c>
      <c r="X626" s="286">
        <f t="shared" si="420"/>
        <v>1</v>
      </c>
      <c r="Y626" s="286">
        <f t="shared" si="421"/>
        <v>0.17335969315081967</v>
      </c>
      <c r="Z626" s="286">
        <f t="shared" si="422"/>
        <v>0.54964853345132902</v>
      </c>
      <c r="AA626" s="286">
        <f t="shared" si="454"/>
        <v>0.17335969315081967</v>
      </c>
      <c r="AB626" s="197">
        <f t="shared" si="423"/>
        <v>0.36419974881911377</v>
      </c>
      <c r="AC626" s="287">
        <f t="shared" si="424"/>
        <v>4.4451203372005044E-7</v>
      </c>
      <c r="AD626" s="197">
        <f t="shared" si="455"/>
        <v>11.693936048110356</v>
      </c>
      <c r="AE626" s="197">
        <f t="shared" si="456"/>
        <v>35.08180814433107</v>
      </c>
      <c r="AF626" s="197">
        <f t="shared" si="457"/>
        <v>8.5178571428571423E-2</v>
      </c>
      <c r="AG626" s="197">
        <f t="shared" si="458"/>
        <v>0.25553571428571431</v>
      </c>
      <c r="AH626" s="197">
        <f t="shared" si="425"/>
        <v>0.11660930017110901</v>
      </c>
      <c r="AI626" s="197">
        <f t="shared" si="459"/>
        <v>0.11660930017110901</v>
      </c>
      <c r="AJ626" s="218">
        <f t="shared" si="426"/>
        <v>390.00000000000006</v>
      </c>
      <c r="AK626" s="197">
        <f t="shared" si="460"/>
        <v>6.0930617977437734E-2</v>
      </c>
      <c r="AL626" s="197">
        <f t="shared" si="461"/>
        <v>9.6203707235237593E-2</v>
      </c>
      <c r="AM626" s="197">
        <f t="shared" si="462"/>
        <v>4.0790371867740751E-3</v>
      </c>
      <c r="AN626" s="197">
        <f t="shared" si="427"/>
        <v>24.05</v>
      </c>
      <c r="AO626" s="197">
        <f t="shared" si="428"/>
        <v>21.69</v>
      </c>
      <c r="AP626" s="197">
        <f t="shared" si="463"/>
        <v>7.4093290390420161E-2</v>
      </c>
      <c r="AQ626" s="197">
        <f t="shared" si="464"/>
        <v>0.42250439890466829</v>
      </c>
      <c r="AR626" s="197">
        <f t="shared" si="465"/>
        <v>0.30589509873355925</v>
      </c>
      <c r="AS626" s="258">
        <f t="shared" si="466"/>
        <v>0.15228632177729159</v>
      </c>
      <c r="AT626" s="197">
        <f t="shared" si="429"/>
        <v>2.5974058656511614E-4</v>
      </c>
      <c r="AU626" s="194">
        <f t="shared" si="430"/>
        <v>21.19</v>
      </c>
      <c r="AV626" s="197">
        <f t="shared" si="431"/>
        <v>2.7E-2</v>
      </c>
      <c r="AW626" s="197">
        <f t="shared" si="432"/>
        <v>3.4260000000000002E-3</v>
      </c>
      <c r="AX626" s="197">
        <f t="shared" si="467"/>
        <v>6.1668000000000001E-2</v>
      </c>
      <c r="AY626" s="197">
        <f t="shared" si="433"/>
        <v>2.8867476000000005E-3</v>
      </c>
      <c r="AZ626" s="197">
        <f t="shared" si="434"/>
        <v>0</v>
      </c>
      <c r="BA626" s="197">
        <f t="shared" si="468"/>
        <v>7.2596940000000013E-2</v>
      </c>
      <c r="BB626" s="258">
        <f t="shared" si="435"/>
        <v>0.36575210336206115</v>
      </c>
      <c r="BC626" s="197">
        <f t="shared" si="436"/>
        <v>2.2380490766334034E-2</v>
      </c>
      <c r="BD626" s="197">
        <f t="shared" si="469"/>
        <v>4.4760981532668068E-3</v>
      </c>
      <c r="BE626" s="197">
        <f t="shared" si="470"/>
        <v>2.6856588919600841E-2</v>
      </c>
      <c r="BF626" s="197">
        <f t="shared" si="437"/>
        <v>0.20773291256157633</v>
      </c>
      <c r="BG626" s="197">
        <f t="shared" si="438"/>
        <v>5.4608303342508187E-4</v>
      </c>
      <c r="BH626" s="197">
        <f t="shared" si="439"/>
        <v>3.5336687086656722E-2</v>
      </c>
      <c r="BI626" s="197">
        <f t="shared" si="471"/>
        <v>0.44730899017824427</v>
      </c>
      <c r="BJ626" s="197">
        <f t="shared" si="440"/>
        <v>6.769615024661003</v>
      </c>
      <c r="BK626" s="288">
        <f t="shared" si="441"/>
        <v>0.93392401361838984</v>
      </c>
      <c r="BL626" s="197">
        <f t="shared" si="442"/>
        <v>0.37608972359227794</v>
      </c>
      <c r="BM626" s="197">
        <f t="shared" si="443"/>
        <v>7.4353030976985271E-2</v>
      </c>
      <c r="BN626" s="197">
        <f t="shared" si="444"/>
        <v>54.461181858619113</v>
      </c>
      <c r="BO626" s="197">
        <f t="shared" si="472"/>
        <v>0.2082789955950014</v>
      </c>
      <c r="BP626" s="197">
        <f t="shared" si="445"/>
        <v>65.620924669625111</v>
      </c>
      <c r="BQ626" s="197">
        <f t="shared" si="446"/>
        <v>9.9596940000000009E-2</v>
      </c>
      <c r="BR626" s="288">
        <f t="shared" si="447"/>
        <v>0.16008975919012108</v>
      </c>
      <c r="BS626" s="197">
        <f t="shared" si="448"/>
        <v>0.11660930017110901</v>
      </c>
      <c r="BT626" s="197">
        <f t="shared" si="449"/>
        <v>0.36419974881911377</v>
      </c>
      <c r="BU626" s="197">
        <f t="shared" si="450"/>
        <v>0.1713930788771201</v>
      </c>
      <c r="BV626" s="197">
        <f t="shared" si="451"/>
        <v>0.53530306917875781</v>
      </c>
      <c r="BW626" s="194"/>
      <c r="BX626" s="194"/>
      <c r="BY626" s="194"/>
      <c r="BZ626" s="194"/>
      <c r="CA626" s="194"/>
      <c r="CB626" s="194"/>
      <c r="CC626" s="194"/>
      <c r="CD626" s="194"/>
      <c r="CE626" s="194"/>
      <c r="CF626" s="194"/>
      <c r="CG626" s="194"/>
      <c r="CH626" s="194"/>
      <c r="CI626" s="194"/>
      <c r="CJ626" s="194"/>
      <c r="CK626" s="194"/>
      <c r="CL626" s="194"/>
      <c r="CM626" s="194"/>
      <c r="CN626" s="194"/>
      <c r="CO626" s="194"/>
      <c r="CP626" s="194"/>
      <c r="CQ626" s="194"/>
      <c r="CR626" s="194"/>
      <c r="CS626" s="194"/>
      <c r="CT626" s="194"/>
      <c r="CU626" s="194"/>
      <c r="CV626" s="194"/>
      <c r="CW626" s="194"/>
      <c r="CX626" s="194"/>
      <c r="CY626" s="194"/>
      <c r="CZ626" s="194"/>
      <c r="DA626" s="194"/>
      <c r="DB626" s="194"/>
      <c r="DC626" s="194"/>
      <c r="DD626" s="194"/>
      <c r="DE626" s="194"/>
      <c r="DF626" s="194"/>
    </row>
    <row r="627" spans="2:110" s="192" customFormat="1" hidden="1" x14ac:dyDescent="0.35">
      <c r="B627" s="289"/>
      <c r="C627" s="289"/>
      <c r="Q627" s="193"/>
      <c r="R627" s="194">
        <f t="shared" si="452"/>
        <v>18</v>
      </c>
      <c r="S627" s="197">
        <f t="shared" si="418"/>
        <v>0.3888888888888889</v>
      </c>
      <c r="T627" s="194">
        <f t="shared" si="473"/>
        <v>0.69</v>
      </c>
      <c r="U627" s="194">
        <f t="shared" si="474"/>
        <v>1.4999999999999999E-4</v>
      </c>
      <c r="V627" s="197">
        <f t="shared" si="453"/>
        <v>0.3888888888888889</v>
      </c>
      <c r="W627" s="197">
        <f t="shared" si="419"/>
        <v>4.3555555555555561E-3</v>
      </c>
      <c r="X627" s="286">
        <f t="shared" si="420"/>
        <v>1</v>
      </c>
      <c r="Y627" s="286">
        <f t="shared" si="421"/>
        <v>0.17335969315081967</v>
      </c>
      <c r="Z627" s="286">
        <f t="shared" si="422"/>
        <v>0.54964853345132902</v>
      </c>
      <c r="AA627" s="286">
        <f t="shared" si="454"/>
        <v>0.17335969315081967</v>
      </c>
      <c r="AB627" s="197">
        <f t="shared" si="423"/>
        <v>0.36419974881911377</v>
      </c>
      <c r="AC627" s="287">
        <f t="shared" si="424"/>
        <v>4.4451203372005044E-7</v>
      </c>
      <c r="AD627" s="197">
        <f t="shared" si="455"/>
        <v>11.693936048110356</v>
      </c>
      <c r="AE627" s="197">
        <f t="shared" si="456"/>
        <v>35.08180814433107</v>
      </c>
      <c r="AF627" s="197">
        <f t="shared" si="457"/>
        <v>8.5178571428571423E-2</v>
      </c>
      <c r="AG627" s="197">
        <f t="shared" si="458"/>
        <v>0.25553571428571431</v>
      </c>
      <c r="AH627" s="197">
        <f t="shared" si="425"/>
        <v>0.11660930017110901</v>
      </c>
      <c r="AI627" s="197">
        <f t="shared" si="459"/>
        <v>0.11660930017110901</v>
      </c>
      <c r="AJ627" s="218">
        <f t="shared" si="426"/>
        <v>390.00000000000006</v>
      </c>
      <c r="AK627" s="197">
        <f t="shared" si="460"/>
        <v>6.0930617977437734E-2</v>
      </c>
      <c r="AL627" s="197">
        <f t="shared" si="461"/>
        <v>9.6203707235237593E-2</v>
      </c>
      <c r="AM627" s="197">
        <f t="shared" si="462"/>
        <v>4.0790371867740751E-3</v>
      </c>
      <c r="AN627" s="197">
        <f t="shared" si="427"/>
        <v>24.05</v>
      </c>
      <c r="AO627" s="197">
        <f t="shared" si="428"/>
        <v>21.69</v>
      </c>
      <c r="AP627" s="197">
        <f t="shared" si="463"/>
        <v>7.4093290390420161E-2</v>
      </c>
      <c r="AQ627" s="197">
        <f t="shared" si="464"/>
        <v>0.42250439890466829</v>
      </c>
      <c r="AR627" s="197">
        <f t="shared" si="465"/>
        <v>0.30589509873355925</v>
      </c>
      <c r="AS627" s="258">
        <f t="shared" si="466"/>
        <v>0.15228632177729159</v>
      </c>
      <c r="AT627" s="197">
        <f t="shared" si="429"/>
        <v>2.5974058656511614E-4</v>
      </c>
      <c r="AU627" s="194">
        <f t="shared" si="430"/>
        <v>21.19</v>
      </c>
      <c r="AV627" s="197">
        <f t="shared" si="431"/>
        <v>2.7E-2</v>
      </c>
      <c r="AW627" s="197">
        <f t="shared" si="432"/>
        <v>3.4260000000000002E-3</v>
      </c>
      <c r="AX627" s="197">
        <f t="shared" si="467"/>
        <v>6.1668000000000001E-2</v>
      </c>
      <c r="AY627" s="197">
        <f t="shared" si="433"/>
        <v>2.8867476000000005E-3</v>
      </c>
      <c r="AZ627" s="197">
        <f t="shared" si="434"/>
        <v>0</v>
      </c>
      <c r="BA627" s="197">
        <f t="shared" si="468"/>
        <v>7.2596940000000013E-2</v>
      </c>
      <c r="BB627" s="258">
        <f t="shared" si="435"/>
        <v>0.36575210336206115</v>
      </c>
      <c r="BC627" s="197">
        <f t="shared" si="436"/>
        <v>2.2380490766334034E-2</v>
      </c>
      <c r="BD627" s="197">
        <f t="shared" si="469"/>
        <v>4.4760981532668068E-3</v>
      </c>
      <c r="BE627" s="197">
        <f t="shared" si="470"/>
        <v>2.6856588919600841E-2</v>
      </c>
      <c r="BF627" s="197">
        <f t="shared" si="437"/>
        <v>0.20773291256157633</v>
      </c>
      <c r="BG627" s="197">
        <f t="shared" si="438"/>
        <v>5.4608303342508187E-4</v>
      </c>
      <c r="BH627" s="197">
        <f t="shared" si="439"/>
        <v>3.5336687086656722E-2</v>
      </c>
      <c r="BI627" s="197">
        <f t="shared" si="471"/>
        <v>0.44730899017824427</v>
      </c>
      <c r="BJ627" s="197">
        <f t="shared" si="440"/>
        <v>6.769615024661003</v>
      </c>
      <c r="BK627" s="288">
        <f t="shared" si="441"/>
        <v>0.93392401361838984</v>
      </c>
      <c r="BL627" s="197">
        <f t="shared" si="442"/>
        <v>0.37608972359227794</v>
      </c>
      <c r="BM627" s="197">
        <f t="shared" si="443"/>
        <v>7.4353030976985271E-2</v>
      </c>
      <c r="BN627" s="197">
        <f t="shared" si="444"/>
        <v>54.461181858619113</v>
      </c>
      <c r="BO627" s="197">
        <f t="shared" si="472"/>
        <v>0.2082789955950014</v>
      </c>
      <c r="BP627" s="197">
        <f t="shared" si="445"/>
        <v>65.620924669625111</v>
      </c>
      <c r="BQ627" s="197">
        <f t="shared" si="446"/>
        <v>9.9596940000000009E-2</v>
      </c>
      <c r="BR627" s="288">
        <f t="shared" si="447"/>
        <v>0.16008975919012108</v>
      </c>
      <c r="BS627" s="197">
        <f t="shared" si="448"/>
        <v>0.11660930017110901</v>
      </c>
      <c r="BT627" s="197">
        <f t="shared" si="449"/>
        <v>0.36419974881911377</v>
      </c>
      <c r="BU627" s="197">
        <f t="shared" si="450"/>
        <v>0.1713930788771201</v>
      </c>
      <c r="BV627" s="197">
        <f t="shared" si="451"/>
        <v>0.53530306917875781</v>
      </c>
      <c r="BW627" s="194"/>
      <c r="BX627" s="194"/>
      <c r="BY627" s="194"/>
      <c r="BZ627" s="194"/>
      <c r="CA627" s="194"/>
      <c r="CB627" s="194"/>
      <c r="CC627" s="194"/>
      <c r="CD627" s="194"/>
      <c r="CE627" s="194"/>
      <c r="CF627" s="194"/>
      <c r="CG627" s="194"/>
      <c r="CH627" s="194"/>
      <c r="CI627" s="194"/>
      <c r="CJ627" s="194"/>
      <c r="CK627" s="194"/>
      <c r="CL627" s="194"/>
      <c r="CM627" s="194"/>
      <c r="CN627" s="194"/>
      <c r="CO627" s="194"/>
      <c r="CP627" s="194"/>
      <c r="CQ627" s="194"/>
      <c r="CR627" s="194"/>
      <c r="CS627" s="194"/>
      <c r="CT627" s="194"/>
      <c r="CU627" s="194"/>
      <c r="CV627" s="194"/>
      <c r="CW627" s="194"/>
      <c r="CX627" s="194"/>
      <c r="CY627" s="194"/>
      <c r="CZ627" s="194"/>
      <c r="DA627" s="194"/>
      <c r="DB627" s="194"/>
      <c r="DC627" s="194"/>
      <c r="DD627" s="194"/>
      <c r="DE627" s="194"/>
      <c r="DF627" s="194"/>
    </row>
    <row r="628" spans="2:110" s="192" customFormat="1" hidden="1" x14ac:dyDescent="0.35">
      <c r="B628" s="289"/>
      <c r="C628" s="289"/>
      <c r="Q628" s="193"/>
      <c r="R628" s="194">
        <f t="shared" si="452"/>
        <v>18</v>
      </c>
      <c r="S628" s="197">
        <f t="shared" si="418"/>
        <v>0.3888888888888889</v>
      </c>
      <c r="T628" s="194">
        <f t="shared" si="473"/>
        <v>0.69</v>
      </c>
      <c r="U628" s="194">
        <f t="shared" si="474"/>
        <v>1.4999999999999999E-4</v>
      </c>
      <c r="V628" s="197">
        <f t="shared" si="453"/>
        <v>0.3888888888888889</v>
      </c>
      <c r="W628" s="197">
        <f t="shared" si="419"/>
        <v>4.3555555555555561E-3</v>
      </c>
      <c r="X628" s="286">
        <f t="shared" si="420"/>
        <v>1</v>
      </c>
      <c r="Y628" s="286">
        <f t="shared" si="421"/>
        <v>0.17335969315081967</v>
      </c>
      <c r="Z628" s="286">
        <f t="shared" si="422"/>
        <v>0.54964853345132902</v>
      </c>
      <c r="AA628" s="286">
        <f t="shared" si="454"/>
        <v>0.17335969315081967</v>
      </c>
      <c r="AB628" s="197">
        <f t="shared" si="423"/>
        <v>0.36419974881911377</v>
      </c>
      <c r="AC628" s="287">
        <f t="shared" si="424"/>
        <v>4.4451203372005044E-7</v>
      </c>
      <c r="AD628" s="197">
        <f t="shared" si="455"/>
        <v>11.693936048110356</v>
      </c>
      <c r="AE628" s="197">
        <f t="shared" si="456"/>
        <v>35.08180814433107</v>
      </c>
      <c r="AF628" s="197">
        <f t="shared" si="457"/>
        <v>8.5178571428571423E-2</v>
      </c>
      <c r="AG628" s="197">
        <f t="shared" si="458"/>
        <v>0.25553571428571431</v>
      </c>
      <c r="AH628" s="197">
        <f t="shared" si="425"/>
        <v>0.11660930017110901</v>
      </c>
      <c r="AI628" s="197">
        <f t="shared" si="459"/>
        <v>0.11660930017110901</v>
      </c>
      <c r="AJ628" s="218">
        <f t="shared" si="426"/>
        <v>390.00000000000006</v>
      </c>
      <c r="AK628" s="197">
        <f t="shared" si="460"/>
        <v>6.0930617977437734E-2</v>
      </c>
      <c r="AL628" s="197">
        <f t="shared" si="461"/>
        <v>9.6203707235237593E-2</v>
      </c>
      <c r="AM628" s="197">
        <f t="shared" si="462"/>
        <v>4.0790371867740751E-3</v>
      </c>
      <c r="AN628" s="197">
        <f t="shared" si="427"/>
        <v>24.05</v>
      </c>
      <c r="AO628" s="197">
        <f t="shared" si="428"/>
        <v>21.69</v>
      </c>
      <c r="AP628" s="197">
        <f t="shared" si="463"/>
        <v>7.4093290390420161E-2</v>
      </c>
      <c r="AQ628" s="197">
        <f t="shared" si="464"/>
        <v>0.42250439890466829</v>
      </c>
      <c r="AR628" s="197">
        <f t="shared" si="465"/>
        <v>0.30589509873355925</v>
      </c>
      <c r="AS628" s="258">
        <f t="shared" si="466"/>
        <v>0.15228632177729159</v>
      </c>
      <c r="AT628" s="197">
        <f t="shared" si="429"/>
        <v>2.5974058656511614E-4</v>
      </c>
      <c r="AU628" s="194">
        <f t="shared" si="430"/>
        <v>21.19</v>
      </c>
      <c r="AV628" s="197">
        <f t="shared" si="431"/>
        <v>2.7E-2</v>
      </c>
      <c r="AW628" s="197">
        <f t="shared" si="432"/>
        <v>3.4260000000000002E-3</v>
      </c>
      <c r="AX628" s="197">
        <f t="shared" si="467"/>
        <v>6.1668000000000001E-2</v>
      </c>
      <c r="AY628" s="197">
        <f t="shared" si="433"/>
        <v>2.8867476000000005E-3</v>
      </c>
      <c r="AZ628" s="197">
        <f t="shared" si="434"/>
        <v>0</v>
      </c>
      <c r="BA628" s="197">
        <f t="shared" si="468"/>
        <v>7.2596940000000013E-2</v>
      </c>
      <c r="BB628" s="258">
        <f t="shared" si="435"/>
        <v>0.36575210336206115</v>
      </c>
      <c r="BC628" s="197">
        <f t="shared" si="436"/>
        <v>2.2380490766334034E-2</v>
      </c>
      <c r="BD628" s="197">
        <f t="shared" si="469"/>
        <v>4.4760981532668068E-3</v>
      </c>
      <c r="BE628" s="197">
        <f t="shared" si="470"/>
        <v>2.6856588919600841E-2</v>
      </c>
      <c r="BF628" s="197">
        <f t="shared" si="437"/>
        <v>0.20773291256157633</v>
      </c>
      <c r="BG628" s="197">
        <f t="shared" si="438"/>
        <v>5.4608303342508187E-4</v>
      </c>
      <c r="BH628" s="197">
        <f t="shared" si="439"/>
        <v>3.5336687086656722E-2</v>
      </c>
      <c r="BI628" s="197">
        <f t="shared" si="471"/>
        <v>0.44730899017824427</v>
      </c>
      <c r="BJ628" s="197">
        <f t="shared" si="440"/>
        <v>6.769615024661003</v>
      </c>
      <c r="BK628" s="288">
        <f t="shared" si="441"/>
        <v>0.93392401361838984</v>
      </c>
      <c r="BL628" s="197">
        <f t="shared" si="442"/>
        <v>0.37608972359227794</v>
      </c>
      <c r="BM628" s="197">
        <f t="shared" si="443"/>
        <v>7.4353030976985271E-2</v>
      </c>
      <c r="BN628" s="197">
        <f t="shared" si="444"/>
        <v>54.461181858619113</v>
      </c>
      <c r="BO628" s="197">
        <f t="shared" si="472"/>
        <v>0.2082789955950014</v>
      </c>
      <c r="BP628" s="197">
        <f t="shared" si="445"/>
        <v>65.620924669625111</v>
      </c>
      <c r="BQ628" s="197">
        <f t="shared" si="446"/>
        <v>9.9596940000000009E-2</v>
      </c>
      <c r="BR628" s="288">
        <f t="shared" si="447"/>
        <v>0.16008975919012108</v>
      </c>
      <c r="BS628" s="197">
        <f t="shared" si="448"/>
        <v>0.11660930017110901</v>
      </c>
      <c r="BT628" s="197">
        <f t="shared" si="449"/>
        <v>0.36419974881911377</v>
      </c>
      <c r="BU628" s="197">
        <f t="shared" si="450"/>
        <v>0.1713930788771201</v>
      </c>
      <c r="BV628" s="197">
        <f t="shared" si="451"/>
        <v>0.53530306917875781</v>
      </c>
      <c r="BW628" s="194"/>
      <c r="BX628" s="194"/>
      <c r="BY628" s="194"/>
      <c r="BZ628" s="194"/>
      <c r="CA628" s="194"/>
      <c r="CB628" s="194"/>
      <c r="CC628" s="194"/>
      <c r="CD628" s="194"/>
      <c r="CE628" s="194"/>
      <c r="CF628" s="194"/>
      <c r="CG628" s="194"/>
      <c r="CH628" s="194"/>
      <c r="CI628" s="194"/>
      <c r="CJ628" s="194"/>
      <c r="CK628" s="194"/>
      <c r="CL628" s="194"/>
      <c r="CM628" s="194"/>
      <c r="CN628" s="194"/>
      <c r="CO628" s="194"/>
      <c r="CP628" s="194"/>
      <c r="CQ628" s="194"/>
      <c r="CR628" s="194"/>
      <c r="CS628" s="194"/>
      <c r="CT628" s="194"/>
      <c r="CU628" s="194"/>
      <c r="CV628" s="194"/>
      <c r="CW628" s="194"/>
      <c r="CX628" s="194"/>
      <c r="CY628" s="194"/>
      <c r="CZ628" s="194"/>
      <c r="DA628" s="194"/>
      <c r="DB628" s="194"/>
      <c r="DC628" s="194"/>
      <c r="DD628" s="194"/>
      <c r="DE628" s="194"/>
      <c r="DF628" s="194"/>
    </row>
    <row r="629" spans="2:110" s="192" customFormat="1" hidden="1" x14ac:dyDescent="0.35">
      <c r="B629" s="289"/>
      <c r="C629" s="289"/>
      <c r="Q629" s="193"/>
      <c r="R629" s="194">
        <f t="shared" si="452"/>
        <v>18</v>
      </c>
      <c r="S629" s="197">
        <f t="shared" si="418"/>
        <v>0.3888888888888889</v>
      </c>
      <c r="T629" s="194">
        <f t="shared" si="473"/>
        <v>0.69</v>
      </c>
      <c r="U629" s="194">
        <f t="shared" si="474"/>
        <v>1.4999999999999999E-4</v>
      </c>
      <c r="V629" s="197">
        <f t="shared" si="453"/>
        <v>0.3888888888888889</v>
      </c>
      <c r="W629" s="197">
        <f t="shared" si="419"/>
        <v>4.3555555555555561E-3</v>
      </c>
      <c r="X629" s="286">
        <f t="shared" si="420"/>
        <v>1</v>
      </c>
      <c r="Y629" s="286">
        <f t="shared" si="421"/>
        <v>0.17335969315081967</v>
      </c>
      <c r="Z629" s="286">
        <f t="shared" si="422"/>
        <v>0.54964853345132902</v>
      </c>
      <c r="AA629" s="286">
        <f t="shared" si="454"/>
        <v>0.17335969315081967</v>
      </c>
      <c r="AB629" s="197">
        <f t="shared" si="423"/>
        <v>0.36419974881911377</v>
      </c>
      <c r="AC629" s="287">
        <f t="shared" si="424"/>
        <v>4.4451203372005044E-7</v>
      </c>
      <c r="AD629" s="197">
        <f t="shared" si="455"/>
        <v>11.693936048110356</v>
      </c>
      <c r="AE629" s="197">
        <f t="shared" si="456"/>
        <v>35.08180814433107</v>
      </c>
      <c r="AF629" s="197">
        <f t="shared" si="457"/>
        <v>8.5178571428571423E-2</v>
      </c>
      <c r="AG629" s="197">
        <f t="shared" si="458"/>
        <v>0.25553571428571431</v>
      </c>
      <c r="AH629" s="197">
        <f t="shared" si="425"/>
        <v>0.11660930017110901</v>
      </c>
      <c r="AI629" s="197">
        <f t="shared" si="459"/>
        <v>0.11660930017110901</v>
      </c>
      <c r="AJ629" s="218">
        <f t="shared" si="426"/>
        <v>390.00000000000006</v>
      </c>
      <c r="AK629" s="197">
        <f t="shared" si="460"/>
        <v>6.0930617977437734E-2</v>
      </c>
      <c r="AL629" s="197">
        <f t="shared" si="461"/>
        <v>9.6203707235237593E-2</v>
      </c>
      <c r="AM629" s="197">
        <f t="shared" si="462"/>
        <v>4.0790371867740751E-3</v>
      </c>
      <c r="AN629" s="197">
        <f t="shared" si="427"/>
        <v>24.05</v>
      </c>
      <c r="AO629" s="197">
        <f t="shared" si="428"/>
        <v>21.69</v>
      </c>
      <c r="AP629" s="197">
        <f t="shared" si="463"/>
        <v>7.4093290390420161E-2</v>
      </c>
      <c r="AQ629" s="197">
        <f t="shared" si="464"/>
        <v>0.42250439890466829</v>
      </c>
      <c r="AR629" s="197">
        <f t="shared" si="465"/>
        <v>0.30589509873355925</v>
      </c>
      <c r="AS629" s="258">
        <f t="shared" si="466"/>
        <v>0.15228632177729159</v>
      </c>
      <c r="AT629" s="197">
        <f t="shared" si="429"/>
        <v>2.5974058656511614E-4</v>
      </c>
      <c r="AU629" s="194">
        <f t="shared" si="430"/>
        <v>21.19</v>
      </c>
      <c r="AV629" s="197">
        <f t="shared" si="431"/>
        <v>2.7E-2</v>
      </c>
      <c r="AW629" s="197">
        <f t="shared" si="432"/>
        <v>3.4260000000000002E-3</v>
      </c>
      <c r="AX629" s="197">
        <f t="shared" si="467"/>
        <v>6.1668000000000001E-2</v>
      </c>
      <c r="AY629" s="197">
        <f t="shared" si="433"/>
        <v>2.8867476000000005E-3</v>
      </c>
      <c r="AZ629" s="197">
        <f t="shared" si="434"/>
        <v>0</v>
      </c>
      <c r="BA629" s="197">
        <f t="shared" si="468"/>
        <v>7.2596940000000013E-2</v>
      </c>
      <c r="BB629" s="258">
        <f t="shared" si="435"/>
        <v>0.36575210336206115</v>
      </c>
      <c r="BC629" s="197">
        <f t="shared" si="436"/>
        <v>2.2380490766334034E-2</v>
      </c>
      <c r="BD629" s="197">
        <f t="shared" si="469"/>
        <v>4.4760981532668068E-3</v>
      </c>
      <c r="BE629" s="197">
        <f t="shared" si="470"/>
        <v>2.6856588919600841E-2</v>
      </c>
      <c r="BF629" s="197">
        <f t="shared" si="437"/>
        <v>0.20773291256157633</v>
      </c>
      <c r="BG629" s="197">
        <f t="shared" si="438"/>
        <v>5.4608303342508187E-4</v>
      </c>
      <c r="BH629" s="197">
        <f t="shared" si="439"/>
        <v>3.5336687086656722E-2</v>
      </c>
      <c r="BI629" s="197">
        <f t="shared" si="471"/>
        <v>0.44730899017824427</v>
      </c>
      <c r="BJ629" s="197">
        <f t="shared" si="440"/>
        <v>6.769615024661003</v>
      </c>
      <c r="BK629" s="288">
        <f t="shared" si="441"/>
        <v>0.93392401361838984</v>
      </c>
      <c r="BL629" s="197">
        <f t="shared" si="442"/>
        <v>0.37608972359227794</v>
      </c>
      <c r="BM629" s="197">
        <f t="shared" si="443"/>
        <v>7.4353030976985271E-2</v>
      </c>
      <c r="BN629" s="197">
        <f t="shared" si="444"/>
        <v>54.461181858619113</v>
      </c>
      <c r="BO629" s="197">
        <f t="shared" si="472"/>
        <v>0.2082789955950014</v>
      </c>
      <c r="BP629" s="197">
        <f t="shared" si="445"/>
        <v>65.620924669625111</v>
      </c>
      <c r="BQ629" s="197">
        <f t="shared" si="446"/>
        <v>9.9596940000000009E-2</v>
      </c>
      <c r="BR629" s="288">
        <f t="shared" si="447"/>
        <v>0.16008975919012108</v>
      </c>
      <c r="BS629" s="197">
        <f t="shared" si="448"/>
        <v>0.11660930017110901</v>
      </c>
      <c r="BT629" s="197">
        <f t="shared" si="449"/>
        <v>0.36419974881911377</v>
      </c>
      <c r="BU629" s="197">
        <f t="shared" si="450"/>
        <v>0.1713930788771201</v>
      </c>
      <c r="BV629" s="197">
        <f t="shared" si="451"/>
        <v>0.53530306917875781</v>
      </c>
      <c r="BW629" s="194"/>
      <c r="BX629" s="194"/>
      <c r="BY629" s="194"/>
      <c r="BZ629" s="194"/>
      <c r="CA629" s="194"/>
      <c r="CB629" s="194"/>
      <c r="CC629" s="194"/>
      <c r="CD629" s="194"/>
      <c r="CE629" s="194"/>
      <c r="CF629" s="194"/>
      <c r="CG629" s="194"/>
      <c r="CH629" s="194"/>
      <c r="CI629" s="194"/>
      <c r="CJ629" s="194"/>
      <c r="CK629" s="194"/>
      <c r="CL629" s="194"/>
      <c r="CM629" s="194"/>
      <c r="CN629" s="194"/>
      <c r="CO629" s="194"/>
      <c r="CP629" s="194"/>
      <c r="CQ629" s="194"/>
      <c r="CR629" s="194"/>
      <c r="CS629" s="194"/>
      <c r="CT629" s="194"/>
      <c r="CU629" s="194"/>
      <c r="CV629" s="194"/>
      <c r="CW629" s="194"/>
      <c r="CX629" s="194"/>
      <c r="CY629" s="194"/>
      <c r="CZ629" s="194"/>
      <c r="DA629" s="194"/>
      <c r="DB629" s="194"/>
      <c r="DC629" s="194"/>
      <c r="DD629" s="194"/>
      <c r="DE629" s="194"/>
      <c r="DF629" s="194"/>
    </row>
    <row r="630" spans="2:110" s="192" customFormat="1" hidden="1" x14ac:dyDescent="0.35">
      <c r="B630" s="289"/>
      <c r="C630" s="289"/>
      <c r="Q630" s="193"/>
      <c r="R630" s="194">
        <f t="shared" si="452"/>
        <v>18</v>
      </c>
      <c r="S630" s="197">
        <f t="shared" si="418"/>
        <v>0.3888888888888889</v>
      </c>
      <c r="T630" s="194">
        <f t="shared" si="473"/>
        <v>0.69</v>
      </c>
      <c r="U630" s="194">
        <f t="shared" si="474"/>
        <v>1.4999999999999999E-4</v>
      </c>
      <c r="V630" s="197">
        <f t="shared" si="453"/>
        <v>0.3888888888888889</v>
      </c>
      <c r="W630" s="197">
        <f t="shared" si="419"/>
        <v>4.3555555555555561E-3</v>
      </c>
      <c r="X630" s="286">
        <f t="shared" si="420"/>
        <v>1</v>
      </c>
      <c r="Y630" s="286">
        <f t="shared" si="421"/>
        <v>0.17335969315081967</v>
      </c>
      <c r="Z630" s="286">
        <f t="shared" si="422"/>
        <v>0.54964853345132902</v>
      </c>
      <c r="AA630" s="286">
        <f t="shared" si="454"/>
        <v>0.17335969315081967</v>
      </c>
      <c r="AB630" s="197">
        <f t="shared" si="423"/>
        <v>0.36419974881911377</v>
      </c>
      <c r="AC630" s="287">
        <f t="shared" si="424"/>
        <v>4.4451203372005044E-7</v>
      </c>
      <c r="AD630" s="197">
        <f t="shared" si="455"/>
        <v>11.693936048110356</v>
      </c>
      <c r="AE630" s="197">
        <f t="shared" si="456"/>
        <v>35.08180814433107</v>
      </c>
      <c r="AF630" s="197">
        <f t="shared" si="457"/>
        <v>8.5178571428571423E-2</v>
      </c>
      <c r="AG630" s="197">
        <f t="shared" si="458"/>
        <v>0.25553571428571431</v>
      </c>
      <c r="AH630" s="197">
        <f t="shared" si="425"/>
        <v>0.11660930017110901</v>
      </c>
      <c r="AI630" s="197">
        <f t="shared" si="459"/>
        <v>0.11660930017110901</v>
      </c>
      <c r="AJ630" s="218">
        <f t="shared" si="426"/>
        <v>390.00000000000006</v>
      </c>
      <c r="AK630" s="197">
        <f t="shared" si="460"/>
        <v>6.0930617977437734E-2</v>
      </c>
      <c r="AL630" s="197">
        <f t="shared" si="461"/>
        <v>9.6203707235237593E-2</v>
      </c>
      <c r="AM630" s="197">
        <f t="shared" si="462"/>
        <v>4.0790371867740751E-3</v>
      </c>
      <c r="AN630" s="197">
        <f t="shared" si="427"/>
        <v>24.05</v>
      </c>
      <c r="AO630" s="197">
        <f t="shared" si="428"/>
        <v>21.69</v>
      </c>
      <c r="AP630" s="197">
        <f t="shared" si="463"/>
        <v>7.4093290390420161E-2</v>
      </c>
      <c r="AQ630" s="197">
        <f t="shared" si="464"/>
        <v>0.42250439890466829</v>
      </c>
      <c r="AR630" s="197">
        <f t="shared" si="465"/>
        <v>0.30589509873355925</v>
      </c>
      <c r="AS630" s="258">
        <f t="shared" si="466"/>
        <v>0.15228632177729159</v>
      </c>
      <c r="AT630" s="197">
        <f t="shared" si="429"/>
        <v>2.5974058656511614E-4</v>
      </c>
      <c r="AU630" s="194">
        <f t="shared" si="430"/>
        <v>21.19</v>
      </c>
      <c r="AV630" s="197">
        <f t="shared" si="431"/>
        <v>2.7E-2</v>
      </c>
      <c r="AW630" s="197">
        <f t="shared" si="432"/>
        <v>3.4260000000000002E-3</v>
      </c>
      <c r="AX630" s="197">
        <f t="shared" si="467"/>
        <v>6.1668000000000001E-2</v>
      </c>
      <c r="AY630" s="197">
        <f t="shared" si="433"/>
        <v>2.8867476000000005E-3</v>
      </c>
      <c r="AZ630" s="197">
        <f t="shared" si="434"/>
        <v>0</v>
      </c>
      <c r="BA630" s="197">
        <f t="shared" si="468"/>
        <v>7.2596940000000013E-2</v>
      </c>
      <c r="BB630" s="258">
        <f t="shared" si="435"/>
        <v>0.36575210336206115</v>
      </c>
      <c r="BC630" s="197">
        <f t="shared" si="436"/>
        <v>2.2380490766334034E-2</v>
      </c>
      <c r="BD630" s="197">
        <f t="shared" si="469"/>
        <v>4.4760981532668068E-3</v>
      </c>
      <c r="BE630" s="197">
        <f t="shared" si="470"/>
        <v>2.6856588919600841E-2</v>
      </c>
      <c r="BF630" s="197">
        <f t="shared" si="437"/>
        <v>0.20773291256157633</v>
      </c>
      <c r="BG630" s="197">
        <f t="shared" si="438"/>
        <v>5.4608303342508187E-4</v>
      </c>
      <c r="BH630" s="197">
        <f t="shared" si="439"/>
        <v>3.5336687086656722E-2</v>
      </c>
      <c r="BI630" s="197">
        <f t="shared" si="471"/>
        <v>0.44730899017824427</v>
      </c>
      <c r="BJ630" s="197">
        <f t="shared" si="440"/>
        <v>6.769615024661003</v>
      </c>
      <c r="BK630" s="288">
        <f t="shared" si="441"/>
        <v>0.93392401361838984</v>
      </c>
      <c r="BL630" s="197">
        <f t="shared" si="442"/>
        <v>0.37608972359227794</v>
      </c>
      <c r="BM630" s="197">
        <f t="shared" si="443"/>
        <v>7.4353030976985271E-2</v>
      </c>
      <c r="BN630" s="197">
        <f t="shared" si="444"/>
        <v>54.461181858619113</v>
      </c>
      <c r="BO630" s="197">
        <f t="shared" si="472"/>
        <v>0.2082789955950014</v>
      </c>
      <c r="BP630" s="197">
        <f t="shared" si="445"/>
        <v>65.620924669625111</v>
      </c>
      <c r="BQ630" s="197">
        <f t="shared" si="446"/>
        <v>9.9596940000000009E-2</v>
      </c>
      <c r="BR630" s="288">
        <f t="shared" si="447"/>
        <v>0.16008975919012108</v>
      </c>
      <c r="BS630" s="197">
        <f t="shared" si="448"/>
        <v>0.11660930017110901</v>
      </c>
      <c r="BT630" s="197">
        <f t="shared" si="449"/>
        <v>0.36419974881911377</v>
      </c>
      <c r="BU630" s="197">
        <f t="shared" si="450"/>
        <v>0.1713930788771201</v>
      </c>
      <c r="BV630" s="197">
        <f t="shared" si="451"/>
        <v>0.53530306917875781</v>
      </c>
      <c r="BW630" s="194"/>
      <c r="BX630" s="194"/>
      <c r="BY630" s="194"/>
      <c r="BZ630" s="194"/>
      <c r="CA630" s="194"/>
      <c r="CB630" s="194"/>
      <c r="CC630" s="194"/>
      <c r="CD630" s="194"/>
      <c r="CE630" s="194"/>
      <c r="CF630" s="194"/>
      <c r="CG630" s="194"/>
      <c r="CH630" s="194"/>
      <c r="CI630" s="194"/>
      <c r="CJ630" s="194"/>
      <c r="CK630" s="194"/>
      <c r="CL630" s="194"/>
      <c r="CM630" s="194"/>
      <c r="CN630" s="194"/>
      <c r="CO630" s="194"/>
      <c r="CP630" s="194"/>
      <c r="CQ630" s="194"/>
      <c r="CR630" s="194"/>
      <c r="CS630" s="194"/>
      <c r="CT630" s="194"/>
      <c r="CU630" s="194"/>
      <c r="CV630" s="194"/>
      <c r="CW630" s="194"/>
      <c r="CX630" s="194"/>
      <c r="CY630" s="194"/>
      <c r="CZ630" s="194"/>
      <c r="DA630" s="194"/>
      <c r="DB630" s="194"/>
      <c r="DC630" s="194"/>
      <c r="DD630" s="194"/>
      <c r="DE630" s="194"/>
      <c r="DF630" s="194"/>
    </row>
    <row r="631" spans="2:110" s="192" customFormat="1" hidden="1" x14ac:dyDescent="0.35">
      <c r="B631" s="289"/>
      <c r="C631" s="289"/>
      <c r="Q631" s="193"/>
      <c r="R631" s="194">
        <f t="shared" si="452"/>
        <v>18</v>
      </c>
      <c r="S631" s="197">
        <f t="shared" si="418"/>
        <v>0.3888888888888889</v>
      </c>
      <c r="T631" s="194">
        <f t="shared" si="473"/>
        <v>0.69</v>
      </c>
      <c r="U631" s="194">
        <f t="shared" si="474"/>
        <v>1.4999999999999999E-4</v>
      </c>
      <c r="V631" s="197">
        <f t="shared" si="453"/>
        <v>0.3888888888888889</v>
      </c>
      <c r="W631" s="197">
        <f t="shared" si="419"/>
        <v>4.3555555555555561E-3</v>
      </c>
      <c r="X631" s="286">
        <f t="shared" si="420"/>
        <v>1</v>
      </c>
      <c r="Y631" s="286">
        <f t="shared" si="421"/>
        <v>0.17335969315081967</v>
      </c>
      <c r="Z631" s="286">
        <f t="shared" si="422"/>
        <v>0.54964853345132902</v>
      </c>
      <c r="AA631" s="286">
        <f t="shared" si="454"/>
        <v>0.17335969315081967</v>
      </c>
      <c r="AB631" s="197">
        <f t="shared" si="423"/>
        <v>0.36419974881911377</v>
      </c>
      <c r="AC631" s="287">
        <f t="shared" si="424"/>
        <v>4.4451203372005044E-7</v>
      </c>
      <c r="AD631" s="197">
        <f t="shared" si="455"/>
        <v>11.693936048110356</v>
      </c>
      <c r="AE631" s="197">
        <f t="shared" si="456"/>
        <v>35.08180814433107</v>
      </c>
      <c r="AF631" s="197">
        <f t="shared" si="457"/>
        <v>8.5178571428571423E-2</v>
      </c>
      <c r="AG631" s="197">
        <f t="shared" si="458"/>
        <v>0.25553571428571431</v>
      </c>
      <c r="AH631" s="197">
        <f t="shared" si="425"/>
        <v>0.11660930017110901</v>
      </c>
      <c r="AI631" s="197">
        <f t="shared" si="459"/>
        <v>0.11660930017110901</v>
      </c>
      <c r="AJ631" s="218">
        <f t="shared" si="426"/>
        <v>390.00000000000006</v>
      </c>
      <c r="AK631" s="197">
        <f t="shared" si="460"/>
        <v>6.0930617977437734E-2</v>
      </c>
      <c r="AL631" s="197">
        <f t="shared" si="461"/>
        <v>9.6203707235237593E-2</v>
      </c>
      <c r="AM631" s="197">
        <f t="shared" si="462"/>
        <v>4.0790371867740751E-3</v>
      </c>
      <c r="AN631" s="197">
        <f t="shared" si="427"/>
        <v>24.05</v>
      </c>
      <c r="AO631" s="197">
        <f t="shared" si="428"/>
        <v>21.69</v>
      </c>
      <c r="AP631" s="197">
        <f t="shared" si="463"/>
        <v>7.4093290390420161E-2</v>
      </c>
      <c r="AQ631" s="197">
        <f t="shared" si="464"/>
        <v>0.42250439890466829</v>
      </c>
      <c r="AR631" s="197">
        <f t="shared" si="465"/>
        <v>0.30589509873355925</v>
      </c>
      <c r="AS631" s="258">
        <f t="shared" si="466"/>
        <v>0.15228632177729159</v>
      </c>
      <c r="AT631" s="197">
        <f t="shared" si="429"/>
        <v>2.5974058656511614E-4</v>
      </c>
      <c r="AU631" s="194">
        <f t="shared" si="430"/>
        <v>21.19</v>
      </c>
      <c r="AV631" s="197">
        <f t="shared" si="431"/>
        <v>2.7E-2</v>
      </c>
      <c r="AW631" s="197">
        <f t="shared" si="432"/>
        <v>3.4260000000000002E-3</v>
      </c>
      <c r="AX631" s="197">
        <f t="shared" si="467"/>
        <v>6.1668000000000001E-2</v>
      </c>
      <c r="AY631" s="197">
        <f t="shared" si="433"/>
        <v>2.8867476000000005E-3</v>
      </c>
      <c r="AZ631" s="197">
        <f t="shared" si="434"/>
        <v>0</v>
      </c>
      <c r="BA631" s="197">
        <f t="shared" si="468"/>
        <v>7.2596940000000013E-2</v>
      </c>
      <c r="BB631" s="258">
        <f t="shared" si="435"/>
        <v>0.36575210336206115</v>
      </c>
      <c r="BC631" s="197">
        <f t="shared" si="436"/>
        <v>2.2380490766334034E-2</v>
      </c>
      <c r="BD631" s="197">
        <f t="shared" si="469"/>
        <v>4.4760981532668068E-3</v>
      </c>
      <c r="BE631" s="197">
        <f t="shared" si="470"/>
        <v>2.6856588919600841E-2</v>
      </c>
      <c r="BF631" s="197">
        <f t="shared" si="437"/>
        <v>0.20773291256157633</v>
      </c>
      <c r="BG631" s="197">
        <f t="shared" si="438"/>
        <v>5.4608303342508187E-4</v>
      </c>
      <c r="BH631" s="197">
        <f t="shared" si="439"/>
        <v>3.5336687086656722E-2</v>
      </c>
      <c r="BI631" s="197">
        <f t="shared" si="471"/>
        <v>0.44730899017824427</v>
      </c>
      <c r="BJ631" s="197">
        <f t="shared" si="440"/>
        <v>6.769615024661003</v>
      </c>
      <c r="BK631" s="288">
        <f t="shared" si="441"/>
        <v>0.93392401361838984</v>
      </c>
      <c r="BL631" s="197">
        <f t="shared" si="442"/>
        <v>0.37608972359227794</v>
      </c>
      <c r="BM631" s="197">
        <f t="shared" si="443"/>
        <v>7.4353030976985271E-2</v>
      </c>
      <c r="BN631" s="197">
        <f t="shared" si="444"/>
        <v>54.461181858619113</v>
      </c>
      <c r="BO631" s="197">
        <f t="shared" si="472"/>
        <v>0.2082789955950014</v>
      </c>
      <c r="BP631" s="197">
        <f t="shared" si="445"/>
        <v>65.620924669625111</v>
      </c>
      <c r="BQ631" s="197">
        <f t="shared" si="446"/>
        <v>9.9596940000000009E-2</v>
      </c>
      <c r="BR631" s="288">
        <f t="shared" si="447"/>
        <v>0.16008975919012108</v>
      </c>
      <c r="BS631" s="197">
        <f t="shared" si="448"/>
        <v>0.11660930017110901</v>
      </c>
      <c r="BT631" s="197">
        <f t="shared" si="449"/>
        <v>0.36419974881911377</v>
      </c>
      <c r="BU631" s="197">
        <f t="shared" si="450"/>
        <v>0.1713930788771201</v>
      </c>
      <c r="BV631" s="197">
        <f t="shared" si="451"/>
        <v>0.53530306917875781</v>
      </c>
      <c r="BW631" s="194"/>
      <c r="BX631" s="194"/>
      <c r="BY631" s="194"/>
      <c r="BZ631" s="194"/>
      <c r="CA631" s="194"/>
      <c r="CB631" s="194"/>
      <c r="CC631" s="194"/>
      <c r="CD631" s="194"/>
      <c r="CE631" s="194"/>
      <c r="CF631" s="194"/>
      <c r="CG631" s="194"/>
      <c r="CH631" s="194"/>
      <c r="CI631" s="194"/>
      <c r="CJ631" s="194"/>
      <c r="CK631" s="194"/>
      <c r="CL631" s="194"/>
      <c r="CM631" s="194"/>
      <c r="CN631" s="194"/>
      <c r="CO631" s="194"/>
      <c r="CP631" s="194"/>
      <c r="CQ631" s="194"/>
      <c r="CR631" s="194"/>
      <c r="CS631" s="194"/>
      <c r="CT631" s="194"/>
      <c r="CU631" s="194"/>
      <c r="CV631" s="194"/>
      <c r="CW631" s="194"/>
      <c r="CX631" s="194"/>
      <c r="CY631" s="194"/>
      <c r="CZ631" s="194"/>
      <c r="DA631" s="194"/>
      <c r="DB631" s="194"/>
      <c r="DC631" s="194"/>
      <c r="DD631" s="194"/>
      <c r="DE631" s="194"/>
      <c r="DF631" s="194"/>
    </row>
    <row r="632" spans="2:110" s="192" customFormat="1" hidden="1" x14ac:dyDescent="0.35">
      <c r="B632" s="289"/>
      <c r="C632" s="289"/>
      <c r="Q632" s="193"/>
      <c r="R632" s="194">
        <f t="shared" si="452"/>
        <v>18</v>
      </c>
      <c r="S632" s="197">
        <f t="shared" ref="S632:S660" si="475">(VLEDS/R632)*ILED/0.9</f>
        <v>0.3888888888888889</v>
      </c>
      <c r="T632" s="194">
        <f t="shared" si="473"/>
        <v>0.69</v>
      </c>
      <c r="U632" s="194">
        <f t="shared" si="474"/>
        <v>1.4999999999999999E-4</v>
      </c>
      <c r="V632" s="197">
        <f t="shared" si="453"/>
        <v>0.3888888888888889</v>
      </c>
      <c r="W632" s="197">
        <f t="shared" ref="W632:W660" si="476">V632*RON</f>
        <v>4.3555555555555561E-3</v>
      </c>
      <c r="X632" s="286">
        <f t="shared" ref="X632:X660" si="477">IF((VLEDS+T632+ILEDF*(RON+RCOIL))/(R632+T632-W632)&gt;1,1,(VLEDS+T632+ILEDF*(RON+RCOIL))/(R632+T632-W632))</f>
        <v>1</v>
      </c>
      <c r="Y632" s="286">
        <f t="shared" ref="Y632:Y660" si="478">IF((VLEDS-R632+T632+S632*(RON+RCOIL))/(VLEDS+T632-W632)&lt;0,0,(VLEDS-R632+T632+S632*(RON+RCOIL))/(VLEDS+T632-W632))</f>
        <v>0.17335969315081967</v>
      </c>
      <c r="Z632" s="286">
        <f t="shared" ref="Z632:Z660" si="479">(VLEDS+T632+(S632+ILEDF)*(RON+RCOIL))/(VLEDS+R632+T632-W632)</f>
        <v>0.54964853345132902</v>
      </c>
      <c r="AA632" s="286">
        <f t="shared" si="454"/>
        <v>0.17335969315081967</v>
      </c>
      <c r="AB632" s="197">
        <f t="shared" ref="AB632:AB660" si="480">IF(CONFIG="BUCK",ILEDF,ILEDF/(1-AA632))</f>
        <v>0.36419974881911377</v>
      </c>
      <c r="AC632" s="287">
        <f t="shared" ref="AC632:AC660" si="481">AA632/(FINIT*1000)</f>
        <v>4.4451203372005044E-7</v>
      </c>
      <c r="AD632" s="197">
        <f t="shared" si="455"/>
        <v>11.693936048110356</v>
      </c>
      <c r="AE632" s="197">
        <f t="shared" si="456"/>
        <v>35.08180814433107</v>
      </c>
      <c r="AF632" s="197">
        <f t="shared" si="457"/>
        <v>8.5178571428571423E-2</v>
      </c>
      <c r="AG632" s="197">
        <f t="shared" si="458"/>
        <v>0.25553571428571431</v>
      </c>
      <c r="AH632" s="197">
        <f t="shared" ref="AH632:AH660" si="482">IF(CONFIG="BUCK",R632-VLEDS-AB632*(RS+RCOIL)-W632,R632-AB632*(RS+RCOIL)-W632)*AC632/(L*0.000001)</f>
        <v>0.11660930017110901</v>
      </c>
      <c r="AI632" s="197">
        <f t="shared" si="459"/>
        <v>0.11660930017110901</v>
      </c>
      <c r="AJ632" s="218">
        <f t="shared" ref="AJ632:AJ660" si="483">0.001*AA632*AH632/(AI632*AC632)</f>
        <v>390.00000000000006</v>
      </c>
      <c r="AK632" s="197">
        <f t="shared" si="460"/>
        <v>6.0930617977437734E-2</v>
      </c>
      <c r="AL632" s="197">
        <f t="shared" si="461"/>
        <v>9.6203707235237593E-2</v>
      </c>
      <c r="AM632" s="197">
        <f t="shared" si="462"/>
        <v>4.0790371867740751E-3</v>
      </c>
      <c r="AN632" s="197">
        <f t="shared" ref="AN632:AN660" si="484">(QGSW/IGATE)+($D$37+$D$38)/2</f>
        <v>24.05</v>
      </c>
      <c r="AO632" s="197">
        <f t="shared" ref="AO632:AO660" si="485">IF(CONFIG="BUCK",R632+T632,IF(CONFIG="BOOST",VLEDS+T632,R632+VLEDS+T632))</f>
        <v>21.69</v>
      </c>
      <c r="AP632" s="197">
        <f t="shared" si="463"/>
        <v>7.4093290390420161E-2</v>
      </c>
      <c r="AQ632" s="197">
        <f t="shared" si="464"/>
        <v>0.42250439890466829</v>
      </c>
      <c r="AR632" s="197">
        <f t="shared" si="465"/>
        <v>0.30589509873355925</v>
      </c>
      <c r="AS632" s="258">
        <f t="shared" si="466"/>
        <v>0.15228632177729159</v>
      </c>
      <c r="AT632" s="197">
        <f t="shared" ref="AT632:AT660" si="486">(AS632^2)*RON</f>
        <v>2.5974058656511614E-4</v>
      </c>
      <c r="AU632" s="194">
        <f t="shared" ref="AU632:AU660" si="487">IF(LOWV,AO632-0.5,IF(DISSLIM,IF(R632&lt;_VZD3,R632,_VZD3),R632))</f>
        <v>21.19</v>
      </c>
      <c r="AV632" s="197">
        <f t="shared" ref="AV632:AV660" si="488">R632*IQ</f>
        <v>2.7E-2</v>
      </c>
      <c r="AW632" s="197">
        <f t="shared" ref="AW632:AW660" si="489">IQAUX+QGTOT*AJ632*0.000001</f>
        <v>3.4260000000000002E-3</v>
      </c>
      <c r="AX632" s="197">
        <f t="shared" si="467"/>
        <v>6.1668000000000001E-2</v>
      </c>
      <c r="AY632" s="197">
        <f t="shared" ref="AY632:AY660" si="490">IF(LOWV,((AW632^2)*100)+0.5*AW632,0)</f>
        <v>2.8867476000000005E-3</v>
      </c>
      <c r="AZ632" s="197">
        <f t="shared" ref="AZ632:AZ660" si="491">IF(DISSLIM,((R632-AU632)^2/5000)+AU632*(((R632-AU632)/5000)-AW632),0)</f>
        <v>0</v>
      </c>
      <c r="BA632" s="197">
        <f t="shared" si="468"/>
        <v>7.2596940000000013E-2</v>
      </c>
      <c r="BB632" s="258">
        <f t="shared" ref="BB632:BB660" si="492">SQRT((1/3)*(AQ632^2+AQ632*AR632+AR632^2))</f>
        <v>0.36575210336206115</v>
      </c>
      <c r="BC632" s="197">
        <f t="shared" ref="BC632:BC660" si="493">BB632^2*RCOIL</f>
        <v>2.2380490766334034E-2</v>
      </c>
      <c r="BD632" s="197">
        <f t="shared" si="469"/>
        <v>4.4760981532668068E-3</v>
      </c>
      <c r="BE632" s="197">
        <f t="shared" si="470"/>
        <v>2.6856588919600841E-2</v>
      </c>
      <c r="BF632" s="197">
        <f t="shared" ref="BF632:BF660" si="494">T632*AB632*(1-AA632)</f>
        <v>0.20773291256157633</v>
      </c>
      <c r="BG632" s="197">
        <f t="shared" ref="BG632:BG660" si="495">U632*AA632*IF(CONFIG="BUCK",R632,IF(CONFIG="BOOST",VLEDS,R632+VLEDS))</f>
        <v>5.4608303342508187E-4</v>
      </c>
      <c r="BH632" s="197">
        <f t="shared" ref="BH632:BH660" si="496">BB632^2*RS</f>
        <v>3.5336687086656722E-2</v>
      </c>
      <c r="BI632" s="197">
        <f t="shared" si="471"/>
        <v>0.44730899017824427</v>
      </c>
      <c r="BJ632" s="197">
        <f t="shared" ref="BJ632:BJ660" si="497">PLEDS+BI632</f>
        <v>6.769615024661003</v>
      </c>
      <c r="BK632" s="288">
        <f t="shared" ref="BK632:BK660" si="498">PLEDS/BJ632</f>
        <v>0.93392401361838984</v>
      </c>
      <c r="BL632" s="197">
        <f t="shared" ref="BL632:BL660" si="499">BJ632/R632</f>
        <v>0.37608972359227794</v>
      </c>
      <c r="BM632" s="197">
        <f t="shared" ref="BM632:BM660" si="500">AP632+AT632</f>
        <v>7.4353030976985271E-2</v>
      </c>
      <c r="BN632" s="197">
        <f t="shared" ref="BN632:BN660" si="501">TAMB+BM632*RTHMOS</f>
        <v>54.461181858619113</v>
      </c>
      <c r="BO632" s="197">
        <f t="shared" si="472"/>
        <v>0.2082789955950014</v>
      </c>
      <c r="BP632" s="197">
        <f t="shared" ref="BP632:BP660" si="502">TAMB+BO632*RTHFW</f>
        <v>65.620924669625111</v>
      </c>
      <c r="BQ632" s="197">
        <f t="shared" ref="BQ632:BQ660" si="503">AV632+BA632</f>
        <v>9.9596940000000009E-2</v>
      </c>
      <c r="BR632" s="288">
        <f t="shared" ref="BR632:BR660" si="504">0.5*AI632/AB632</f>
        <v>0.16008975919012108</v>
      </c>
      <c r="BS632" s="197">
        <f t="shared" ref="BS632:BS660" si="505">IF(CONFIG="BOOST",AI632,AB632)</f>
        <v>0.11660930017110901</v>
      </c>
      <c r="BT632" s="197">
        <f t="shared" ref="BT632:BT660" si="506">IF(CONFIG="BUCK",AI632,AB632)</f>
        <v>0.36419974881911377</v>
      </c>
      <c r="BU632" s="197">
        <f t="shared" ref="BU632:BU660" si="507">1000*BS632*(1-AA632)*AA632/(AJ632*VRIPIN)</f>
        <v>0.1713930788771201</v>
      </c>
      <c r="BV632" s="197">
        <f t="shared" ref="BV632:BV660" si="508">1000*BT632*(1-AA632)*AA632/(AJ632*VRIPOUT)</f>
        <v>0.53530306917875781</v>
      </c>
      <c r="BW632" s="194"/>
      <c r="BX632" s="194"/>
      <c r="BY632" s="194"/>
      <c r="BZ632" s="194"/>
      <c r="CA632" s="194"/>
      <c r="CB632" s="194"/>
      <c r="CC632" s="194"/>
      <c r="CD632" s="194"/>
      <c r="CE632" s="194"/>
      <c r="CF632" s="194"/>
      <c r="CG632" s="194"/>
      <c r="CH632" s="194"/>
      <c r="CI632" s="194"/>
      <c r="CJ632" s="194"/>
      <c r="CK632" s="194"/>
      <c r="CL632" s="194"/>
      <c r="CM632" s="194"/>
      <c r="CN632" s="194"/>
      <c r="CO632" s="194"/>
      <c r="CP632" s="194"/>
      <c r="CQ632" s="194"/>
      <c r="CR632" s="194"/>
      <c r="CS632" s="194"/>
      <c r="CT632" s="194"/>
      <c r="CU632" s="194"/>
      <c r="CV632" s="194"/>
      <c r="CW632" s="194"/>
      <c r="CX632" s="194"/>
      <c r="CY632" s="194"/>
      <c r="CZ632" s="194"/>
      <c r="DA632" s="194"/>
      <c r="DB632" s="194"/>
      <c r="DC632" s="194"/>
      <c r="DD632" s="194"/>
      <c r="DE632" s="194"/>
      <c r="DF632" s="194"/>
    </row>
    <row r="633" spans="2:110" s="192" customFormat="1" hidden="1" x14ac:dyDescent="0.35">
      <c r="B633" s="289"/>
      <c r="C633" s="289"/>
      <c r="Q633" s="193"/>
      <c r="R633" s="194">
        <f t="shared" ref="R633:R660" si="509">MIN(R632+0.1,VINMAX)</f>
        <v>18</v>
      </c>
      <c r="S633" s="197">
        <f t="shared" si="475"/>
        <v>0.3888888888888889</v>
      </c>
      <c r="T633" s="194">
        <f t="shared" si="473"/>
        <v>0.69</v>
      </c>
      <c r="U633" s="194">
        <f t="shared" si="474"/>
        <v>1.4999999999999999E-4</v>
      </c>
      <c r="V633" s="197">
        <f t="shared" ref="V633:V660" si="510">IF(CONFIG="BUCK",ILED,IF(CONFIG="BOOST",S633,ILED+S633))</f>
        <v>0.3888888888888889</v>
      </c>
      <c r="W633" s="197">
        <f t="shared" si="476"/>
        <v>4.3555555555555561E-3</v>
      </c>
      <c r="X633" s="286">
        <f t="shared" si="477"/>
        <v>1</v>
      </c>
      <c r="Y633" s="286">
        <f t="shared" si="478"/>
        <v>0.17335969315081967</v>
      </c>
      <c r="Z633" s="286">
        <f t="shared" si="479"/>
        <v>0.54964853345132902</v>
      </c>
      <c r="AA633" s="286">
        <f t="shared" ref="AA633:AA660" si="511">IF(CONFIG="BUCK",X633,IF(CONFIG="BOOST",Y633,Z633))</f>
        <v>0.17335969315081967</v>
      </c>
      <c r="AB633" s="197">
        <f t="shared" si="480"/>
        <v>0.36419974881911377</v>
      </c>
      <c r="AC633" s="287">
        <f t="shared" si="481"/>
        <v>4.4451203372005044E-7</v>
      </c>
      <c r="AD633" s="197">
        <f t="shared" ref="AD633:AD660" si="512">IF(CONFIG="BUCK",RIPLOW,RIPLOW*(1-AA633)/GI_ADJ)</f>
        <v>11.693936048110356</v>
      </c>
      <c r="AE633" s="197">
        <f t="shared" ref="AE633:AE660" si="513">IF(CONFIG="BUCK",RIPHIGH,RIPHIGH*(1-AA633)/GI_ADJ)</f>
        <v>35.08180814433107</v>
      </c>
      <c r="AF633" s="197">
        <f t="shared" ref="AF633:AF660" si="514">(AD633*2/100)*AB633</f>
        <v>8.5178571428571423E-2</v>
      </c>
      <c r="AG633" s="197">
        <f t="shared" ref="AG633:AG660" si="515">(AE633*2/100)*AB633</f>
        <v>0.25553571428571431</v>
      </c>
      <c r="AH633" s="197">
        <f t="shared" si="482"/>
        <v>0.11660930017110901</v>
      </c>
      <c r="AI633" s="197">
        <f t="shared" ref="AI633:AI660" si="516">IF(AH633&lt;AF633,AF633,IF(AH633&gt;AG633,AG633,AH633))</f>
        <v>0.11660930017110901</v>
      </c>
      <c r="AJ633" s="218">
        <f t="shared" si="483"/>
        <v>390.00000000000006</v>
      </c>
      <c r="AK633" s="197">
        <f t="shared" ref="AK633:AK660" si="517">AB633*RCOIL</f>
        <v>6.0930617977437734E-2</v>
      </c>
      <c r="AL633" s="197">
        <f t="shared" ref="AL633:AL660" si="518">AB633*RS</f>
        <v>9.6203707235237593E-2</v>
      </c>
      <c r="AM633" s="197">
        <f t="shared" ref="AM633:AM660" si="519">AB633*RON</f>
        <v>4.0790371867740751E-3</v>
      </c>
      <c r="AN633" s="197">
        <f t="shared" si="484"/>
        <v>24.05</v>
      </c>
      <c r="AO633" s="197">
        <f t="shared" si="485"/>
        <v>21.69</v>
      </c>
      <c r="AP633" s="197">
        <f t="shared" ref="AP633:AP660" si="520">AB633*AO633*AN633*AJ633*0.000001</f>
        <v>7.4093290390420161E-2</v>
      </c>
      <c r="AQ633" s="197">
        <f t="shared" ref="AQ633:AQ660" si="521">AB633+AI633/2</f>
        <v>0.42250439890466829</v>
      </c>
      <c r="AR633" s="197">
        <f t="shared" ref="AR633:AR660" si="522">AB633-AI633/2</f>
        <v>0.30589509873355925</v>
      </c>
      <c r="AS633" s="258">
        <f t="shared" ref="AS633:AS660" si="523">SQRT((AA633/3)*(AQ633^2+AQ633*AR633+AR633^2))</f>
        <v>0.15228632177729159</v>
      </c>
      <c r="AT633" s="197">
        <f t="shared" si="486"/>
        <v>2.5974058656511614E-4</v>
      </c>
      <c r="AU633" s="194">
        <f t="shared" si="487"/>
        <v>21.19</v>
      </c>
      <c r="AV633" s="197">
        <f t="shared" si="488"/>
        <v>2.7E-2</v>
      </c>
      <c r="AW633" s="197">
        <f t="shared" si="489"/>
        <v>3.4260000000000002E-3</v>
      </c>
      <c r="AX633" s="197">
        <f t="shared" ref="AX633:AX660" si="524">R633*(IQAUX+QGTOT*AJ633*0.000001)</f>
        <v>6.1668000000000001E-2</v>
      </c>
      <c r="AY633" s="197">
        <f t="shared" si="490"/>
        <v>2.8867476000000005E-3</v>
      </c>
      <c r="AZ633" s="197">
        <f t="shared" si="491"/>
        <v>0</v>
      </c>
      <c r="BA633" s="197">
        <f t="shared" ref="BA633:BA660" si="525">AU633*AW633</f>
        <v>7.2596940000000013E-2</v>
      </c>
      <c r="BB633" s="258">
        <f t="shared" si="492"/>
        <v>0.36575210336206115</v>
      </c>
      <c r="BC633" s="197">
        <f t="shared" si="493"/>
        <v>2.2380490766334034E-2</v>
      </c>
      <c r="BD633" s="197">
        <f t="shared" ref="BD633:BD660" si="526">BC633*0.2</f>
        <v>4.4760981532668068E-3</v>
      </c>
      <c r="BE633" s="197">
        <f t="shared" ref="BE633:BE660" si="527">BC633+BD633</f>
        <v>2.6856588919600841E-2</v>
      </c>
      <c r="BF633" s="197">
        <f t="shared" si="494"/>
        <v>0.20773291256157633</v>
      </c>
      <c r="BG633" s="197">
        <f t="shared" si="495"/>
        <v>5.4608303342508187E-4</v>
      </c>
      <c r="BH633" s="197">
        <f t="shared" si="496"/>
        <v>3.5336687086656722E-2</v>
      </c>
      <c r="BI633" s="197">
        <f t="shared" ref="BI633:BI660" si="528">AP633+AT633+AV633+AY633+BA633+BE633+BF633+BG633+BH633</f>
        <v>0.44730899017824427</v>
      </c>
      <c r="BJ633" s="197">
        <f t="shared" si="497"/>
        <v>6.769615024661003</v>
      </c>
      <c r="BK633" s="288">
        <f t="shared" si="498"/>
        <v>0.93392401361838984</v>
      </c>
      <c r="BL633" s="197">
        <f t="shared" si="499"/>
        <v>0.37608972359227794</v>
      </c>
      <c r="BM633" s="197">
        <f t="shared" si="500"/>
        <v>7.4353030976985271E-2</v>
      </c>
      <c r="BN633" s="197">
        <f t="shared" si="501"/>
        <v>54.461181858619113</v>
      </c>
      <c r="BO633" s="197">
        <f t="shared" ref="BO633:BO660" si="529">BF633+BG633</f>
        <v>0.2082789955950014</v>
      </c>
      <c r="BP633" s="197">
        <f t="shared" si="502"/>
        <v>65.620924669625111</v>
      </c>
      <c r="BQ633" s="197">
        <f t="shared" si="503"/>
        <v>9.9596940000000009E-2</v>
      </c>
      <c r="BR633" s="288">
        <f t="shared" si="504"/>
        <v>0.16008975919012108</v>
      </c>
      <c r="BS633" s="197">
        <f t="shared" si="505"/>
        <v>0.11660930017110901</v>
      </c>
      <c r="BT633" s="197">
        <f t="shared" si="506"/>
        <v>0.36419974881911377</v>
      </c>
      <c r="BU633" s="197">
        <f t="shared" si="507"/>
        <v>0.1713930788771201</v>
      </c>
      <c r="BV633" s="197">
        <f t="shared" si="508"/>
        <v>0.53530306917875781</v>
      </c>
      <c r="BW633" s="194"/>
      <c r="BX633" s="194"/>
      <c r="BY633" s="194"/>
      <c r="BZ633" s="194"/>
      <c r="CA633" s="194"/>
      <c r="CB633" s="194"/>
      <c r="CC633" s="194"/>
      <c r="CD633" s="194"/>
      <c r="CE633" s="194"/>
      <c r="CF633" s="194"/>
      <c r="CG633" s="194"/>
      <c r="CH633" s="194"/>
      <c r="CI633" s="194"/>
      <c r="CJ633" s="194"/>
      <c r="CK633" s="194"/>
      <c r="CL633" s="194"/>
      <c r="CM633" s="194"/>
      <c r="CN633" s="194"/>
      <c r="CO633" s="194"/>
      <c r="CP633" s="194"/>
      <c r="CQ633" s="194"/>
      <c r="CR633" s="194"/>
      <c r="CS633" s="194"/>
      <c r="CT633" s="194"/>
      <c r="CU633" s="194"/>
      <c r="CV633" s="194"/>
      <c r="CW633" s="194"/>
      <c r="CX633" s="194"/>
      <c r="CY633" s="194"/>
      <c r="CZ633" s="194"/>
      <c r="DA633" s="194"/>
      <c r="DB633" s="194"/>
      <c r="DC633" s="194"/>
      <c r="DD633" s="194"/>
      <c r="DE633" s="194"/>
      <c r="DF633" s="194"/>
    </row>
    <row r="634" spans="2:110" s="192" customFormat="1" hidden="1" x14ac:dyDescent="0.35">
      <c r="B634" s="289"/>
      <c r="C634" s="289"/>
      <c r="Q634" s="193"/>
      <c r="R634" s="194">
        <f t="shared" si="509"/>
        <v>18</v>
      </c>
      <c r="S634" s="197">
        <f t="shared" si="475"/>
        <v>0.3888888888888889</v>
      </c>
      <c r="T634" s="194">
        <f t="shared" ref="T634:T660" si="530">$D$45</f>
        <v>0.69</v>
      </c>
      <c r="U634" s="194">
        <f t="shared" ref="U634:U660" si="531">$D$48*0.001</f>
        <v>1.4999999999999999E-4</v>
      </c>
      <c r="V634" s="197">
        <f t="shared" si="510"/>
        <v>0.3888888888888889</v>
      </c>
      <c r="W634" s="197">
        <f t="shared" si="476"/>
        <v>4.3555555555555561E-3</v>
      </c>
      <c r="X634" s="286">
        <f t="shared" si="477"/>
        <v>1</v>
      </c>
      <c r="Y634" s="286">
        <f t="shared" si="478"/>
        <v>0.17335969315081967</v>
      </c>
      <c r="Z634" s="286">
        <f t="shared" si="479"/>
        <v>0.54964853345132902</v>
      </c>
      <c r="AA634" s="286">
        <f t="shared" si="511"/>
        <v>0.17335969315081967</v>
      </c>
      <c r="AB634" s="197">
        <f t="shared" si="480"/>
        <v>0.36419974881911377</v>
      </c>
      <c r="AC634" s="287">
        <f t="shared" si="481"/>
        <v>4.4451203372005044E-7</v>
      </c>
      <c r="AD634" s="197">
        <f t="shared" si="512"/>
        <v>11.693936048110356</v>
      </c>
      <c r="AE634" s="197">
        <f t="shared" si="513"/>
        <v>35.08180814433107</v>
      </c>
      <c r="AF634" s="197">
        <f t="shared" si="514"/>
        <v>8.5178571428571423E-2</v>
      </c>
      <c r="AG634" s="197">
        <f t="shared" si="515"/>
        <v>0.25553571428571431</v>
      </c>
      <c r="AH634" s="197">
        <f t="shared" si="482"/>
        <v>0.11660930017110901</v>
      </c>
      <c r="AI634" s="197">
        <f t="shared" si="516"/>
        <v>0.11660930017110901</v>
      </c>
      <c r="AJ634" s="218">
        <f t="shared" si="483"/>
        <v>390.00000000000006</v>
      </c>
      <c r="AK634" s="197">
        <f t="shared" si="517"/>
        <v>6.0930617977437734E-2</v>
      </c>
      <c r="AL634" s="197">
        <f t="shared" si="518"/>
        <v>9.6203707235237593E-2</v>
      </c>
      <c r="AM634" s="197">
        <f t="shared" si="519"/>
        <v>4.0790371867740751E-3</v>
      </c>
      <c r="AN634" s="197">
        <f t="shared" si="484"/>
        <v>24.05</v>
      </c>
      <c r="AO634" s="197">
        <f t="shared" si="485"/>
        <v>21.69</v>
      </c>
      <c r="AP634" s="197">
        <f t="shared" si="520"/>
        <v>7.4093290390420161E-2</v>
      </c>
      <c r="AQ634" s="197">
        <f t="shared" si="521"/>
        <v>0.42250439890466829</v>
      </c>
      <c r="AR634" s="197">
        <f t="shared" si="522"/>
        <v>0.30589509873355925</v>
      </c>
      <c r="AS634" s="258">
        <f t="shared" si="523"/>
        <v>0.15228632177729159</v>
      </c>
      <c r="AT634" s="197">
        <f t="shared" si="486"/>
        <v>2.5974058656511614E-4</v>
      </c>
      <c r="AU634" s="194">
        <f t="shared" si="487"/>
        <v>21.19</v>
      </c>
      <c r="AV634" s="197">
        <f t="shared" si="488"/>
        <v>2.7E-2</v>
      </c>
      <c r="AW634" s="197">
        <f t="shared" si="489"/>
        <v>3.4260000000000002E-3</v>
      </c>
      <c r="AX634" s="197">
        <f t="shared" si="524"/>
        <v>6.1668000000000001E-2</v>
      </c>
      <c r="AY634" s="197">
        <f t="shared" si="490"/>
        <v>2.8867476000000005E-3</v>
      </c>
      <c r="AZ634" s="197">
        <f t="shared" si="491"/>
        <v>0</v>
      </c>
      <c r="BA634" s="197">
        <f t="shared" si="525"/>
        <v>7.2596940000000013E-2</v>
      </c>
      <c r="BB634" s="258">
        <f t="shared" si="492"/>
        <v>0.36575210336206115</v>
      </c>
      <c r="BC634" s="197">
        <f t="shared" si="493"/>
        <v>2.2380490766334034E-2</v>
      </c>
      <c r="BD634" s="197">
        <f t="shared" si="526"/>
        <v>4.4760981532668068E-3</v>
      </c>
      <c r="BE634" s="197">
        <f t="shared" si="527"/>
        <v>2.6856588919600841E-2</v>
      </c>
      <c r="BF634" s="197">
        <f t="shared" si="494"/>
        <v>0.20773291256157633</v>
      </c>
      <c r="BG634" s="197">
        <f t="shared" si="495"/>
        <v>5.4608303342508187E-4</v>
      </c>
      <c r="BH634" s="197">
        <f t="shared" si="496"/>
        <v>3.5336687086656722E-2</v>
      </c>
      <c r="BI634" s="197">
        <f t="shared" si="528"/>
        <v>0.44730899017824427</v>
      </c>
      <c r="BJ634" s="197">
        <f t="shared" si="497"/>
        <v>6.769615024661003</v>
      </c>
      <c r="BK634" s="288">
        <f t="shared" si="498"/>
        <v>0.93392401361838984</v>
      </c>
      <c r="BL634" s="197">
        <f t="shared" si="499"/>
        <v>0.37608972359227794</v>
      </c>
      <c r="BM634" s="197">
        <f t="shared" si="500"/>
        <v>7.4353030976985271E-2</v>
      </c>
      <c r="BN634" s="197">
        <f t="shared" si="501"/>
        <v>54.461181858619113</v>
      </c>
      <c r="BO634" s="197">
        <f t="shared" si="529"/>
        <v>0.2082789955950014</v>
      </c>
      <c r="BP634" s="197">
        <f t="shared" si="502"/>
        <v>65.620924669625111</v>
      </c>
      <c r="BQ634" s="197">
        <f t="shared" si="503"/>
        <v>9.9596940000000009E-2</v>
      </c>
      <c r="BR634" s="288">
        <f t="shared" si="504"/>
        <v>0.16008975919012108</v>
      </c>
      <c r="BS634" s="197">
        <f t="shared" si="505"/>
        <v>0.11660930017110901</v>
      </c>
      <c r="BT634" s="197">
        <f t="shared" si="506"/>
        <v>0.36419974881911377</v>
      </c>
      <c r="BU634" s="197">
        <f t="shared" si="507"/>
        <v>0.1713930788771201</v>
      </c>
      <c r="BV634" s="197">
        <f t="shared" si="508"/>
        <v>0.53530306917875781</v>
      </c>
      <c r="BW634" s="194"/>
      <c r="BX634" s="194"/>
      <c r="BY634" s="194"/>
      <c r="BZ634" s="194"/>
      <c r="CA634" s="194"/>
      <c r="CB634" s="194"/>
      <c r="CC634" s="194"/>
      <c r="CD634" s="194"/>
      <c r="CE634" s="194"/>
      <c r="CF634" s="194"/>
      <c r="CG634" s="194"/>
      <c r="CH634" s="194"/>
      <c r="CI634" s="194"/>
      <c r="CJ634" s="194"/>
      <c r="CK634" s="194"/>
      <c r="CL634" s="194"/>
      <c r="CM634" s="194"/>
      <c r="CN634" s="194"/>
      <c r="CO634" s="194"/>
      <c r="CP634" s="194"/>
      <c r="CQ634" s="194"/>
      <c r="CR634" s="194"/>
      <c r="CS634" s="194"/>
      <c r="CT634" s="194"/>
      <c r="CU634" s="194"/>
      <c r="CV634" s="194"/>
      <c r="CW634" s="194"/>
      <c r="CX634" s="194"/>
      <c r="CY634" s="194"/>
      <c r="CZ634" s="194"/>
      <c r="DA634" s="194"/>
      <c r="DB634" s="194"/>
      <c r="DC634" s="194"/>
      <c r="DD634" s="194"/>
      <c r="DE634" s="194"/>
      <c r="DF634" s="194"/>
    </row>
    <row r="635" spans="2:110" s="192" customFormat="1" hidden="1" x14ac:dyDescent="0.35">
      <c r="B635" s="289"/>
      <c r="C635" s="289"/>
      <c r="Q635" s="193"/>
      <c r="R635" s="194">
        <f t="shared" si="509"/>
        <v>18</v>
      </c>
      <c r="S635" s="197">
        <f t="shared" si="475"/>
        <v>0.3888888888888889</v>
      </c>
      <c r="T635" s="194">
        <f t="shared" si="530"/>
        <v>0.69</v>
      </c>
      <c r="U635" s="194">
        <f t="shared" si="531"/>
        <v>1.4999999999999999E-4</v>
      </c>
      <c r="V635" s="197">
        <f t="shared" si="510"/>
        <v>0.3888888888888889</v>
      </c>
      <c r="W635" s="197">
        <f t="shared" si="476"/>
        <v>4.3555555555555561E-3</v>
      </c>
      <c r="X635" s="286">
        <f t="shared" si="477"/>
        <v>1</v>
      </c>
      <c r="Y635" s="286">
        <f t="shared" si="478"/>
        <v>0.17335969315081967</v>
      </c>
      <c r="Z635" s="286">
        <f t="shared" si="479"/>
        <v>0.54964853345132902</v>
      </c>
      <c r="AA635" s="286">
        <f t="shared" si="511"/>
        <v>0.17335969315081967</v>
      </c>
      <c r="AB635" s="197">
        <f t="shared" si="480"/>
        <v>0.36419974881911377</v>
      </c>
      <c r="AC635" s="287">
        <f t="shared" si="481"/>
        <v>4.4451203372005044E-7</v>
      </c>
      <c r="AD635" s="197">
        <f t="shared" si="512"/>
        <v>11.693936048110356</v>
      </c>
      <c r="AE635" s="197">
        <f t="shared" si="513"/>
        <v>35.08180814433107</v>
      </c>
      <c r="AF635" s="197">
        <f t="shared" si="514"/>
        <v>8.5178571428571423E-2</v>
      </c>
      <c r="AG635" s="197">
        <f t="shared" si="515"/>
        <v>0.25553571428571431</v>
      </c>
      <c r="AH635" s="197">
        <f t="shared" si="482"/>
        <v>0.11660930017110901</v>
      </c>
      <c r="AI635" s="197">
        <f t="shared" si="516"/>
        <v>0.11660930017110901</v>
      </c>
      <c r="AJ635" s="218">
        <f t="shared" si="483"/>
        <v>390.00000000000006</v>
      </c>
      <c r="AK635" s="197">
        <f t="shared" si="517"/>
        <v>6.0930617977437734E-2</v>
      </c>
      <c r="AL635" s="197">
        <f t="shared" si="518"/>
        <v>9.6203707235237593E-2</v>
      </c>
      <c r="AM635" s="197">
        <f t="shared" si="519"/>
        <v>4.0790371867740751E-3</v>
      </c>
      <c r="AN635" s="197">
        <f t="shared" si="484"/>
        <v>24.05</v>
      </c>
      <c r="AO635" s="197">
        <f t="shared" si="485"/>
        <v>21.69</v>
      </c>
      <c r="AP635" s="197">
        <f t="shared" si="520"/>
        <v>7.4093290390420161E-2</v>
      </c>
      <c r="AQ635" s="197">
        <f t="shared" si="521"/>
        <v>0.42250439890466829</v>
      </c>
      <c r="AR635" s="197">
        <f t="shared" si="522"/>
        <v>0.30589509873355925</v>
      </c>
      <c r="AS635" s="258">
        <f t="shared" si="523"/>
        <v>0.15228632177729159</v>
      </c>
      <c r="AT635" s="197">
        <f t="shared" si="486"/>
        <v>2.5974058656511614E-4</v>
      </c>
      <c r="AU635" s="194">
        <f t="shared" si="487"/>
        <v>21.19</v>
      </c>
      <c r="AV635" s="197">
        <f t="shared" si="488"/>
        <v>2.7E-2</v>
      </c>
      <c r="AW635" s="197">
        <f t="shared" si="489"/>
        <v>3.4260000000000002E-3</v>
      </c>
      <c r="AX635" s="197">
        <f t="shared" si="524"/>
        <v>6.1668000000000001E-2</v>
      </c>
      <c r="AY635" s="197">
        <f t="shared" si="490"/>
        <v>2.8867476000000005E-3</v>
      </c>
      <c r="AZ635" s="197">
        <f t="shared" si="491"/>
        <v>0</v>
      </c>
      <c r="BA635" s="197">
        <f t="shared" si="525"/>
        <v>7.2596940000000013E-2</v>
      </c>
      <c r="BB635" s="258">
        <f t="shared" si="492"/>
        <v>0.36575210336206115</v>
      </c>
      <c r="BC635" s="197">
        <f t="shared" si="493"/>
        <v>2.2380490766334034E-2</v>
      </c>
      <c r="BD635" s="197">
        <f t="shared" si="526"/>
        <v>4.4760981532668068E-3</v>
      </c>
      <c r="BE635" s="197">
        <f t="shared" si="527"/>
        <v>2.6856588919600841E-2</v>
      </c>
      <c r="BF635" s="197">
        <f t="shared" si="494"/>
        <v>0.20773291256157633</v>
      </c>
      <c r="BG635" s="197">
        <f t="shared" si="495"/>
        <v>5.4608303342508187E-4</v>
      </c>
      <c r="BH635" s="197">
        <f t="shared" si="496"/>
        <v>3.5336687086656722E-2</v>
      </c>
      <c r="BI635" s="197">
        <f t="shared" si="528"/>
        <v>0.44730899017824427</v>
      </c>
      <c r="BJ635" s="197">
        <f t="shared" si="497"/>
        <v>6.769615024661003</v>
      </c>
      <c r="BK635" s="288">
        <f t="shared" si="498"/>
        <v>0.93392401361838984</v>
      </c>
      <c r="BL635" s="197">
        <f t="shared" si="499"/>
        <v>0.37608972359227794</v>
      </c>
      <c r="BM635" s="197">
        <f t="shared" si="500"/>
        <v>7.4353030976985271E-2</v>
      </c>
      <c r="BN635" s="197">
        <f t="shared" si="501"/>
        <v>54.461181858619113</v>
      </c>
      <c r="BO635" s="197">
        <f t="shared" si="529"/>
        <v>0.2082789955950014</v>
      </c>
      <c r="BP635" s="197">
        <f t="shared" si="502"/>
        <v>65.620924669625111</v>
      </c>
      <c r="BQ635" s="197">
        <f t="shared" si="503"/>
        <v>9.9596940000000009E-2</v>
      </c>
      <c r="BR635" s="288">
        <f t="shared" si="504"/>
        <v>0.16008975919012108</v>
      </c>
      <c r="BS635" s="197">
        <f t="shared" si="505"/>
        <v>0.11660930017110901</v>
      </c>
      <c r="BT635" s="197">
        <f t="shared" si="506"/>
        <v>0.36419974881911377</v>
      </c>
      <c r="BU635" s="197">
        <f t="shared" si="507"/>
        <v>0.1713930788771201</v>
      </c>
      <c r="BV635" s="197">
        <f t="shared" si="508"/>
        <v>0.53530306917875781</v>
      </c>
      <c r="BW635" s="194"/>
      <c r="BX635" s="194"/>
      <c r="BY635" s="194"/>
      <c r="BZ635" s="194"/>
      <c r="CA635" s="194"/>
      <c r="CB635" s="194"/>
      <c r="CC635" s="194"/>
      <c r="CD635" s="194"/>
      <c r="CE635" s="194"/>
      <c r="CF635" s="194"/>
      <c r="CG635" s="194"/>
      <c r="CH635" s="194"/>
      <c r="CI635" s="194"/>
      <c r="CJ635" s="194"/>
      <c r="CK635" s="194"/>
      <c r="CL635" s="194"/>
      <c r="CM635" s="194"/>
      <c r="CN635" s="194"/>
      <c r="CO635" s="194"/>
      <c r="CP635" s="194"/>
      <c r="CQ635" s="194"/>
      <c r="CR635" s="194"/>
      <c r="CS635" s="194"/>
      <c r="CT635" s="194"/>
      <c r="CU635" s="194"/>
      <c r="CV635" s="194"/>
      <c r="CW635" s="194"/>
      <c r="CX635" s="194"/>
      <c r="CY635" s="194"/>
      <c r="CZ635" s="194"/>
      <c r="DA635" s="194"/>
      <c r="DB635" s="194"/>
      <c r="DC635" s="194"/>
      <c r="DD635" s="194"/>
      <c r="DE635" s="194"/>
      <c r="DF635" s="194"/>
    </row>
    <row r="636" spans="2:110" s="192" customFormat="1" hidden="1" x14ac:dyDescent="0.35">
      <c r="B636" s="289"/>
      <c r="C636" s="289"/>
      <c r="Q636" s="193"/>
      <c r="R636" s="194">
        <f t="shared" si="509"/>
        <v>18</v>
      </c>
      <c r="S636" s="197">
        <f t="shared" si="475"/>
        <v>0.3888888888888889</v>
      </c>
      <c r="T636" s="194">
        <f t="shared" si="530"/>
        <v>0.69</v>
      </c>
      <c r="U636" s="194">
        <f t="shared" si="531"/>
        <v>1.4999999999999999E-4</v>
      </c>
      <c r="V636" s="197">
        <f t="shared" si="510"/>
        <v>0.3888888888888889</v>
      </c>
      <c r="W636" s="197">
        <f t="shared" si="476"/>
        <v>4.3555555555555561E-3</v>
      </c>
      <c r="X636" s="286">
        <f t="shared" si="477"/>
        <v>1</v>
      </c>
      <c r="Y636" s="286">
        <f t="shared" si="478"/>
        <v>0.17335969315081967</v>
      </c>
      <c r="Z636" s="286">
        <f t="shared" si="479"/>
        <v>0.54964853345132902</v>
      </c>
      <c r="AA636" s="286">
        <f t="shared" si="511"/>
        <v>0.17335969315081967</v>
      </c>
      <c r="AB636" s="197">
        <f t="shared" si="480"/>
        <v>0.36419974881911377</v>
      </c>
      <c r="AC636" s="287">
        <f t="shared" si="481"/>
        <v>4.4451203372005044E-7</v>
      </c>
      <c r="AD636" s="197">
        <f t="shared" si="512"/>
        <v>11.693936048110356</v>
      </c>
      <c r="AE636" s="197">
        <f t="shared" si="513"/>
        <v>35.08180814433107</v>
      </c>
      <c r="AF636" s="197">
        <f t="shared" si="514"/>
        <v>8.5178571428571423E-2</v>
      </c>
      <c r="AG636" s="197">
        <f t="shared" si="515"/>
        <v>0.25553571428571431</v>
      </c>
      <c r="AH636" s="197">
        <f t="shared" si="482"/>
        <v>0.11660930017110901</v>
      </c>
      <c r="AI636" s="197">
        <f t="shared" si="516"/>
        <v>0.11660930017110901</v>
      </c>
      <c r="AJ636" s="218">
        <f t="shared" si="483"/>
        <v>390.00000000000006</v>
      </c>
      <c r="AK636" s="197">
        <f t="shared" si="517"/>
        <v>6.0930617977437734E-2</v>
      </c>
      <c r="AL636" s="197">
        <f t="shared" si="518"/>
        <v>9.6203707235237593E-2</v>
      </c>
      <c r="AM636" s="197">
        <f t="shared" si="519"/>
        <v>4.0790371867740751E-3</v>
      </c>
      <c r="AN636" s="197">
        <f t="shared" si="484"/>
        <v>24.05</v>
      </c>
      <c r="AO636" s="197">
        <f t="shared" si="485"/>
        <v>21.69</v>
      </c>
      <c r="AP636" s="197">
        <f t="shared" si="520"/>
        <v>7.4093290390420161E-2</v>
      </c>
      <c r="AQ636" s="197">
        <f t="shared" si="521"/>
        <v>0.42250439890466829</v>
      </c>
      <c r="AR636" s="197">
        <f t="shared" si="522"/>
        <v>0.30589509873355925</v>
      </c>
      <c r="AS636" s="258">
        <f t="shared" si="523"/>
        <v>0.15228632177729159</v>
      </c>
      <c r="AT636" s="197">
        <f t="shared" si="486"/>
        <v>2.5974058656511614E-4</v>
      </c>
      <c r="AU636" s="194">
        <f t="shared" si="487"/>
        <v>21.19</v>
      </c>
      <c r="AV636" s="197">
        <f t="shared" si="488"/>
        <v>2.7E-2</v>
      </c>
      <c r="AW636" s="197">
        <f t="shared" si="489"/>
        <v>3.4260000000000002E-3</v>
      </c>
      <c r="AX636" s="197">
        <f t="shared" si="524"/>
        <v>6.1668000000000001E-2</v>
      </c>
      <c r="AY636" s="197">
        <f t="shared" si="490"/>
        <v>2.8867476000000005E-3</v>
      </c>
      <c r="AZ636" s="197">
        <f t="shared" si="491"/>
        <v>0</v>
      </c>
      <c r="BA636" s="197">
        <f t="shared" si="525"/>
        <v>7.2596940000000013E-2</v>
      </c>
      <c r="BB636" s="258">
        <f t="shared" si="492"/>
        <v>0.36575210336206115</v>
      </c>
      <c r="BC636" s="197">
        <f t="shared" si="493"/>
        <v>2.2380490766334034E-2</v>
      </c>
      <c r="BD636" s="197">
        <f t="shared" si="526"/>
        <v>4.4760981532668068E-3</v>
      </c>
      <c r="BE636" s="197">
        <f t="shared" si="527"/>
        <v>2.6856588919600841E-2</v>
      </c>
      <c r="BF636" s="197">
        <f t="shared" si="494"/>
        <v>0.20773291256157633</v>
      </c>
      <c r="BG636" s="197">
        <f t="shared" si="495"/>
        <v>5.4608303342508187E-4</v>
      </c>
      <c r="BH636" s="197">
        <f t="shared" si="496"/>
        <v>3.5336687086656722E-2</v>
      </c>
      <c r="BI636" s="197">
        <f t="shared" si="528"/>
        <v>0.44730899017824427</v>
      </c>
      <c r="BJ636" s="197">
        <f t="shared" si="497"/>
        <v>6.769615024661003</v>
      </c>
      <c r="BK636" s="288">
        <f t="shared" si="498"/>
        <v>0.93392401361838984</v>
      </c>
      <c r="BL636" s="197">
        <f t="shared" si="499"/>
        <v>0.37608972359227794</v>
      </c>
      <c r="BM636" s="197">
        <f t="shared" si="500"/>
        <v>7.4353030976985271E-2</v>
      </c>
      <c r="BN636" s="197">
        <f t="shared" si="501"/>
        <v>54.461181858619113</v>
      </c>
      <c r="BO636" s="197">
        <f t="shared" si="529"/>
        <v>0.2082789955950014</v>
      </c>
      <c r="BP636" s="197">
        <f t="shared" si="502"/>
        <v>65.620924669625111</v>
      </c>
      <c r="BQ636" s="197">
        <f t="shared" si="503"/>
        <v>9.9596940000000009E-2</v>
      </c>
      <c r="BR636" s="288">
        <f t="shared" si="504"/>
        <v>0.16008975919012108</v>
      </c>
      <c r="BS636" s="197">
        <f t="shared" si="505"/>
        <v>0.11660930017110901</v>
      </c>
      <c r="BT636" s="197">
        <f t="shared" si="506"/>
        <v>0.36419974881911377</v>
      </c>
      <c r="BU636" s="197">
        <f t="shared" si="507"/>
        <v>0.1713930788771201</v>
      </c>
      <c r="BV636" s="197">
        <f t="shared" si="508"/>
        <v>0.53530306917875781</v>
      </c>
      <c r="BW636" s="194"/>
      <c r="BX636" s="194"/>
      <c r="BY636" s="194"/>
      <c r="BZ636" s="194"/>
      <c r="CA636" s="194"/>
      <c r="CB636" s="194"/>
      <c r="CC636" s="194"/>
      <c r="CD636" s="194"/>
      <c r="CE636" s="194"/>
      <c r="CF636" s="194"/>
      <c r="CG636" s="194"/>
      <c r="CH636" s="194"/>
      <c r="CI636" s="194"/>
      <c r="CJ636" s="194"/>
      <c r="CK636" s="194"/>
      <c r="CL636" s="194"/>
      <c r="CM636" s="194"/>
      <c r="CN636" s="194"/>
      <c r="CO636" s="194"/>
      <c r="CP636" s="194"/>
      <c r="CQ636" s="194"/>
      <c r="CR636" s="194"/>
      <c r="CS636" s="194"/>
      <c r="CT636" s="194"/>
      <c r="CU636" s="194"/>
      <c r="CV636" s="194"/>
      <c r="CW636" s="194"/>
      <c r="CX636" s="194"/>
      <c r="CY636" s="194"/>
      <c r="CZ636" s="194"/>
      <c r="DA636" s="194"/>
      <c r="DB636" s="194"/>
      <c r="DC636" s="194"/>
      <c r="DD636" s="194"/>
      <c r="DE636" s="194"/>
      <c r="DF636" s="194"/>
    </row>
    <row r="637" spans="2:110" s="192" customFormat="1" hidden="1" x14ac:dyDescent="0.35">
      <c r="B637" s="289"/>
      <c r="C637" s="289"/>
      <c r="Q637" s="193"/>
      <c r="R637" s="194">
        <f t="shared" si="509"/>
        <v>18</v>
      </c>
      <c r="S637" s="197">
        <f t="shared" si="475"/>
        <v>0.3888888888888889</v>
      </c>
      <c r="T637" s="194">
        <f t="shared" si="530"/>
        <v>0.69</v>
      </c>
      <c r="U637" s="194">
        <f t="shared" si="531"/>
        <v>1.4999999999999999E-4</v>
      </c>
      <c r="V637" s="197">
        <f t="shared" si="510"/>
        <v>0.3888888888888889</v>
      </c>
      <c r="W637" s="197">
        <f t="shared" si="476"/>
        <v>4.3555555555555561E-3</v>
      </c>
      <c r="X637" s="286">
        <f t="shared" si="477"/>
        <v>1</v>
      </c>
      <c r="Y637" s="286">
        <f t="shared" si="478"/>
        <v>0.17335969315081967</v>
      </c>
      <c r="Z637" s="286">
        <f t="shared" si="479"/>
        <v>0.54964853345132902</v>
      </c>
      <c r="AA637" s="286">
        <f t="shared" si="511"/>
        <v>0.17335969315081967</v>
      </c>
      <c r="AB637" s="197">
        <f t="shared" si="480"/>
        <v>0.36419974881911377</v>
      </c>
      <c r="AC637" s="287">
        <f t="shared" si="481"/>
        <v>4.4451203372005044E-7</v>
      </c>
      <c r="AD637" s="197">
        <f t="shared" si="512"/>
        <v>11.693936048110356</v>
      </c>
      <c r="AE637" s="197">
        <f t="shared" si="513"/>
        <v>35.08180814433107</v>
      </c>
      <c r="AF637" s="197">
        <f t="shared" si="514"/>
        <v>8.5178571428571423E-2</v>
      </c>
      <c r="AG637" s="197">
        <f t="shared" si="515"/>
        <v>0.25553571428571431</v>
      </c>
      <c r="AH637" s="197">
        <f t="shared" si="482"/>
        <v>0.11660930017110901</v>
      </c>
      <c r="AI637" s="197">
        <f t="shared" si="516"/>
        <v>0.11660930017110901</v>
      </c>
      <c r="AJ637" s="218">
        <f t="shared" si="483"/>
        <v>390.00000000000006</v>
      </c>
      <c r="AK637" s="197">
        <f t="shared" si="517"/>
        <v>6.0930617977437734E-2</v>
      </c>
      <c r="AL637" s="197">
        <f t="shared" si="518"/>
        <v>9.6203707235237593E-2</v>
      </c>
      <c r="AM637" s="197">
        <f t="shared" si="519"/>
        <v>4.0790371867740751E-3</v>
      </c>
      <c r="AN637" s="197">
        <f t="shared" si="484"/>
        <v>24.05</v>
      </c>
      <c r="AO637" s="197">
        <f t="shared" si="485"/>
        <v>21.69</v>
      </c>
      <c r="AP637" s="197">
        <f t="shared" si="520"/>
        <v>7.4093290390420161E-2</v>
      </c>
      <c r="AQ637" s="197">
        <f t="shared" si="521"/>
        <v>0.42250439890466829</v>
      </c>
      <c r="AR637" s="197">
        <f t="shared" si="522"/>
        <v>0.30589509873355925</v>
      </c>
      <c r="AS637" s="258">
        <f t="shared" si="523"/>
        <v>0.15228632177729159</v>
      </c>
      <c r="AT637" s="197">
        <f t="shared" si="486"/>
        <v>2.5974058656511614E-4</v>
      </c>
      <c r="AU637" s="194">
        <f t="shared" si="487"/>
        <v>21.19</v>
      </c>
      <c r="AV637" s="197">
        <f t="shared" si="488"/>
        <v>2.7E-2</v>
      </c>
      <c r="AW637" s="197">
        <f t="shared" si="489"/>
        <v>3.4260000000000002E-3</v>
      </c>
      <c r="AX637" s="197">
        <f t="shared" si="524"/>
        <v>6.1668000000000001E-2</v>
      </c>
      <c r="AY637" s="197">
        <f t="shared" si="490"/>
        <v>2.8867476000000005E-3</v>
      </c>
      <c r="AZ637" s="197">
        <f t="shared" si="491"/>
        <v>0</v>
      </c>
      <c r="BA637" s="197">
        <f t="shared" si="525"/>
        <v>7.2596940000000013E-2</v>
      </c>
      <c r="BB637" s="258">
        <f t="shared" si="492"/>
        <v>0.36575210336206115</v>
      </c>
      <c r="BC637" s="197">
        <f t="shared" si="493"/>
        <v>2.2380490766334034E-2</v>
      </c>
      <c r="BD637" s="197">
        <f t="shared" si="526"/>
        <v>4.4760981532668068E-3</v>
      </c>
      <c r="BE637" s="197">
        <f t="shared" si="527"/>
        <v>2.6856588919600841E-2</v>
      </c>
      <c r="BF637" s="197">
        <f t="shared" si="494"/>
        <v>0.20773291256157633</v>
      </c>
      <c r="BG637" s="197">
        <f t="shared" si="495"/>
        <v>5.4608303342508187E-4</v>
      </c>
      <c r="BH637" s="197">
        <f t="shared" si="496"/>
        <v>3.5336687086656722E-2</v>
      </c>
      <c r="BI637" s="197">
        <f t="shared" si="528"/>
        <v>0.44730899017824427</v>
      </c>
      <c r="BJ637" s="197">
        <f t="shared" si="497"/>
        <v>6.769615024661003</v>
      </c>
      <c r="BK637" s="288">
        <f t="shared" si="498"/>
        <v>0.93392401361838984</v>
      </c>
      <c r="BL637" s="197">
        <f t="shared" si="499"/>
        <v>0.37608972359227794</v>
      </c>
      <c r="BM637" s="197">
        <f t="shared" si="500"/>
        <v>7.4353030976985271E-2</v>
      </c>
      <c r="BN637" s="197">
        <f t="shared" si="501"/>
        <v>54.461181858619113</v>
      </c>
      <c r="BO637" s="197">
        <f t="shared" si="529"/>
        <v>0.2082789955950014</v>
      </c>
      <c r="BP637" s="197">
        <f t="shared" si="502"/>
        <v>65.620924669625111</v>
      </c>
      <c r="BQ637" s="197">
        <f t="shared" si="503"/>
        <v>9.9596940000000009E-2</v>
      </c>
      <c r="BR637" s="288">
        <f t="shared" si="504"/>
        <v>0.16008975919012108</v>
      </c>
      <c r="BS637" s="197">
        <f t="shared" si="505"/>
        <v>0.11660930017110901</v>
      </c>
      <c r="BT637" s="197">
        <f t="shared" si="506"/>
        <v>0.36419974881911377</v>
      </c>
      <c r="BU637" s="197">
        <f t="shared" si="507"/>
        <v>0.1713930788771201</v>
      </c>
      <c r="BV637" s="197">
        <f t="shared" si="508"/>
        <v>0.53530306917875781</v>
      </c>
      <c r="BW637" s="194"/>
      <c r="BX637" s="194"/>
      <c r="BY637" s="194"/>
      <c r="BZ637" s="194"/>
      <c r="CA637" s="194"/>
      <c r="CB637" s="194"/>
      <c r="CC637" s="194"/>
      <c r="CD637" s="194"/>
      <c r="CE637" s="194"/>
      <c r="CF637" s="194"/>
      <c r="CG637" s="194"/>
      <c r="CH637" s="194"/>
      <c r="CI637" s="194"/>
      <c r="CJ637" s="194"/>
      <c r="CK637" s="194"/>
      <c r="CL637" s="194"/>
      <c r="CM637" s="194"/>
      <c r="CN637" s="194"/>
      <c r="CO637" s="194"/>
      <c r="CP637" s="194"/>
      <c r="CQ637" s="194"/>
      <c r="CR637" s="194"/>
      <c r="CS637" s="194"/>
      <c r="CT637" s="194"/>
      <c r="CU637" s="194"/>
      <c r="CV637" s="194"/>
      <c r="CW637" s="194"/>
      <c r="CX637" s="194"/>
      <c r="CY637" s="194"/>
      <c r="CZ637" s="194"/>
      <c r="DA637" s="194"/>
      <c r="DB637" s="194"/>
      <c r="DC637" s="194"/>
      <c r="DD637" s="194"/>
      <c r="DE637" s="194"/>
      <c r="DF637" s="194"/>
    </row>
    <row r="638" spans="2:110" s="192" customFormat="1" hidden="1" x14ac:dyDescent="0.35">
      <c r="B638" s="289"/>
      <c r="C638" s="289"/>
      <c r="Q638" s="193"/>
      <c r="R638" s="194">
        <f t="shared" si="509"/>
        <v>18</v>
      </c>
      <c r="S638" s="197">
        <f t="shared" si="475"/>
        <v>0.3888888888888889</v>
      </c>
      <c r="T638" s="194">
        <f t="shared" si="530"/>
        <v>0.69</v>
      </c>
      <c r="U638" s="194">
        <f t="shared" si="531"/>
        <v>1.4999999999999999E-4</v>
      </c>
      <c r="V638" s="197">
        <f t="shared" si="510"/>
        <v>0.3888888888888889</v>
      </c>
      <c r="W638" s="197">
        <f t="shared" si="476"/>
        <v>4.3555555555555561E-3</v>
      </c>
      <c r="X638" s="286">
        <f t="shared" si="477"/>
        <v>1</v>
      </c>
      <c r="Y638" s="286">
        <f t="shared" si="478"/>
        <v>0.17335969315081967</v>
      </c>
      <c r="Z638" s="286">
        <f t="shared" si="479"/>
        <v>0.54964853345132902</v>
      </c>
      <c r="AA638" s="286">
        <f t="shared" si="511"/>
        <v>0.17335969315081967</v>
      </c>
      <c r="AB638" s="197">
        <f t="shared" si="480"/>
        <v>0.36419974881911377</v>
      </c>
      <c r="AC638" s="287">
        <f t="shared" si="481"/>
        <v>4.4451203372005044E-7</v>
      </c>
      <c r="AD638" s="197">
        <f t="shared" si="512"/>
        <v>11.693936048110356</v>
      </c>
      <c r="AE638" s="197">
        <f t="shared" si="513"/>
        <v>35.08180814433107</v>
      </c>
      <c r="AF638" s="197">
        <f t="shared" si="514"/>
        <v>8.5178571428571423E-2</v>
      </c>
      <c r="AG638" s="197">
        <f t="shared" si="515"/>
        <v>0.25553571428571431</v>
      </c>
      <c r="AH638" s="197">
        <f t="shared" si="482"/>
        <v>0.11660930017110901</v>
      </c>
      <c r="AI638" s="197">
        <f t="shared" si="516"/>
        <v>0.11660930017110901</v>
      </c>
      <c r="AJ638" s="218">
        <f t="shared" si="483"/>
        <v>390.00000000000006</v>
      </c>
      <c r="AK638" s="197">
        <f t="shared" si="517"/>
        <v>6.0930617977437734E-2</v>
      </c>
      <c r="AL638" s="197">
        <f t="shared" si="518"/>
        <v>9.6203707235237593E-2</v>
      </c>
      <c r="AM638" s="197">
        <f t="shared" si="519"/>
        <v>4.0790371867740751E-3</v>
      </c>
      <c r="AN638" s="197">
        <f t="shared" si="484"/>
        <v>24.05</v>
      </c>
      <c r="AO638" s="197">
        <f t="shared" si="485"/>
        <v>21.69</v>
      </c>
      <c r="AP638" s="197">
        <f t="shared" si="520"/>
        <v>7.4093290390420161E-2</v>
      </c>
      <c r="AQ638" s="197">
        <f t="shared" si="521"/>
        <v>0.42250439890466829</v>
      </c>
      <c r="AR638" s="197">
        <f t="shared" si="522"/>
        <v>0.30589509873355925</v>
      </c>
      <c r="AS638" s="258">
        <f t="shared" si="523"/>
        <v>0.15228632177729159</v>
      </c>
      <c r="AT638" s="197">
        <f t="shared" si="486"/>
        <v>2.5974058656511614E-4</v>
      </c>
      <c r="AU638" s="194">
        <f t="shared" si="487"/>
        <v>21.19</v>
      </c>
      <c r="AV638" s="197">
        <f t="shared" si="488"/>
        <v>2.7E-2</v>
      </c>
      <c r="AW638" s="197">
        <f t="shared" si="489"/>
        <v>3.4260000000000002E-3</v>
      </c>
      <c r="AX638" s="197">
        <f t="shared" si="524"/>
        <v>6.1668000000000001E-2</v>
      </c>
      <c r="AY638" s="197">
        <f t="shared" si="490"/>
        <v>2.8867476000000005E-3</v>
      </c>
      <c r="AZ638" s="197">
        <f t="shared" si="491"/>
        <v>0</v>
      </c>
      <c r="BA638" s="197">
        <f t="shared" si="525"/>
        <v>7.2596940000000013E-2</v>
      </c>
      <c r="BB638" s="258">
        <f t="shared" si="492"/>
        <v>0.36575210336206115</v>
      </c>
      <c r="BC638" s="197">
        <f t="shared" si="493"/>
        <v>2.2380490766334034E-2</v>
      </c>
      <c r="BD638" s="197">
        <f t="shared" si="526"/>
        <v>4.4760981532668068E-3</v>
      </c>
      <c r="BE638" s="197">
        <f t="shared" si="527"/>
        <v>2.6856588919600841E-2</v>
      </c>
      <c r="BF638" s="197">
        <f t="shared" si="494"/>
        <v>0.20773291256157633</v>
      </c>
      <c r="BG638" s="197">
        <f t="shared" si="495"/>
        <v>5.4608303342508187E-4</v>
      </c>
      <c r="BH638" s="197">
        <f t="shared" si="496"/>
        <v>3.5336687086656722E-2</v>
      </c>
      <c r="BI638" s="197">
        <f t="shared" si="528"/>
        <v>0.44730899017824427</v>
      </c>
      <c r="BJ638" s="197">
        <f t="shared" si="497"/>
        <v>6.769615024661003</v>
      </c>
      <c r="BK638" s="288">
        <f t="shared" si="498"/>
        <v>0.93392401361838984</v>
      </c>
      <c r="BL638" s="197">
        <f t="shared" si="499"/>
        <v>0.37608972359227794</v>
      </c>
      <c r="BM638" s="197">
        <f t="shared" si="500"/>
        <v>7.4353030976985271E-2</v>
      </c>
      <c r="BN638" s="197">
        <f t="shared" si="501"/>
        <v>54.461181858619113</v>
      </c>
      <c r="BO638" s="197">
        <f t="shared" si="529"/>
        <v>0.2082789955950014</v>
      </c>
      <c r="BP638" s="197">
        <f t="shared" si="502"/>
        <v>65.620924669625111</v>
      </c>
      <c r="BQ638" s="197">
        <f t="shared" si="503"/>
        <v>9.9596940000000009E-2</v>
      </c>
      <c r="BR638" s="288">
        <f t="shared" si="504"/>
        <v>0.16008975919012108</v>
      </c>
      <c r="BS638" s="197">
        <f t="shared" si="505"/>
        <v>0.11660930017110901</v>
      </c>
      <c r="BT638" s="197">
        <f t="shared" si="506"/>
        <v>0.36419974881911377</v>
      </c>
      <c r="BU638" s="197">
        <f t="shared" si="507"/>
        <v>0.1713930788771201</v>
      </c>
      <c r="BV638" s="197">
        <f t="shared" si="508"/>
        <v>0.53530306917875781</v>
      </c>
      <c r="BW638" s="194"/>
      <c r="BX638" s="194"/>
      <c r="BY638" s="194"/>
      <c r="BZ638" s="194"/>
      <c r="CA638" s="194"/>
      <c r="CB638" s="194"/>
      <c r="CC638" s="194"/>
      <c r="CD638" s="194"/>
      <c r="CE638" s="194"/>
      <c r="CF638" s="194"/>
      <c r="CG638" s="194"/>
      <c r="CH638" s="194"/>
      <c r="CI638" s="194"/>
      <c r="CJ638" s="194"/>
      <c r="CK638" s="194"/>
      <c r="CL638" s="194"/>
      <c r="CM638" s="194"/>
      <c r="CN638" s="194"/>
      <c r="CO638" s="194"/>
      <c r="CP638" s="194"/>
      <c r="CQ638" s="194"/>
      <c r="CR638" s="194"/>
      <c r="CS638" s="194"/>
      <c r="CT638" s="194"/>
      <c r="CU638" s="194"/>
      <c r="CV638" s="194"/>
      <c r="CW638" s="194"/>
      <c r="CX638" s="194"/>
      <c r="CY638" s="194"/>
      <c r="CZ638" s="194"/>
      <c r="DA638" s="194"/>
      <c r="DB638" s="194"/>
      <c r="DC638" s="194"/>
      <c r="DD638" s="194"/>
      <c r="DE638" s="194"/>
      <c r="DF638" s="194"/>
    </row>
    <row r="639" spans="2:110" s="192" customFormat="1" hidden="1" x14ac:dyDescent="0.35">
      <c r="B639" s="289"/>
      <c r="C639" s="289"/>
      <c r="Q639" s="193"/>
      <c r="R639" s="194">
        <f t="shared" si="509"/>
        <v>18</v>
      </c>
      <c r="S639" s="197">
        <f t="shared" si="475"/>
        <v>0.3888888888888889</v>
      </c>
      <c r="T639" s="194">
        <f t="shared" si="530"/>
        <v>0.69</v>
      </c>
      <c r="U639" s="194">
        <f t="shared" si="531"/>
        <v>1.4999999999999999E-4</v>
      </c>
      <c r="V639" s="197">
        <f t="shared" si="510"/>
        <v>0.3888888888888889</v>
      </c>
      <c r="W639" s="197">
        <f t="shared" si="476"/>
        <v>4.3555555555555561E-3</v>
      </c>
      <c r="X639" s="286">
        <f t="shared" si="477"/>
        <v>1</v>
      </c>
      <c r="Y639" s="286">
        <f t="shared" si="478"/>
        <v>0.17335969315081967</v>
      </c>
      <c r="Z639" s="286">
        <f t="shared" si="479"/>
        <v>0.54964853345132902</v>
      </c>
      <c r="AA639" s="286">
        <f t="shared" si="511"/>
        <v>0.17335969315081967</v>
      </c>
      <c r="AB639" s="197">
        <f t="shared" si="480"/>
        <v>0.36419974881911377</v>
      </c>
      <c r="AC639" s="287">
        <f t="shared" si="481"/>
        <v>4.4451203372005044E-7</v>
      </c>
      <c r="AD639" s="197">
        <f t="shared" si="512"/>
        <v>11.693936048110356</v>
      </c>
      <c r="AE639" s="197">
        <f t="shared" si="513"/>
        <v>35.08180814433107</v>
      </c>
      <c r="AF639" s="197">
        <f t="shared" si="514"/>
        <v>8.5178571428571423E-2</v>
      </c>
      <c r="AG639" s="197">
        <f t="shared" si="515"/>
        <v>0.25553571428571431</v>
      </c>
      <c r="AH639" s="197">
        <f t="shared" si="482"/>
        <v>0.11660930017110901</v>
      </c>
      <c r="AI639" s="197">
        <f t="shared" si="516"/>
        <v>0.11660930017110901</v>
      </c>
      <c r="AJ639" s="218">
        <f t="shared" si="483"/>
        <v>390.00000000000006</v>
      </c>
      <c r="AK639" s="197">
        <f t="shared" si="517"/>
        <v>6.0930617977437734E-2</v>
      </c>
      <c r="AL639" s="197">
        <f t="shared" si="518"/>
        <v>9.6203707235237593E-2</v>
      </c>
      <c r="AM639" s="197">
        <f t="shared" si="519"/>
        <v>4.0790371867740751E-3</v>
      </c>
      <c r="AN639" s="197">
        <f t="shared" si="484"/>
        <v>24.05</v>
      </c>
      <c r="AO639" s="197">
        <f t="shared" si="485"/>
        <v>21.69</v>
      </c>
      <c r="AP639" s="197">
        <f t="shared" si="520"/>
        <v>7.4093290390420161E-2</v>
      </c>
      <c r="AQ639" s="197">
        <f t="shared" si="521"/>
        <v>0.42250439890466829</v>
      </c>
      <c r="AR639" s="197">
        <f t="shared" si="522"/>
        <v>0.30589509873355925</v>
      </c>
      <c r="AS639" s="258">
        <f t="shared" si="523"/>
        <v>0.15228632177729159</v>
      </c>
      <c r="AT639" s="197">
        <f t="shared" si="486"/>
        <v>2.5974058656511614E-4</v>
      </c>
      <c r="AU639" s="194">
        <f t="shared" si="487"/>
        <v>21.19</v>
      </c>
      <c r="AV639" s="197">
        <f t="shared" si="488"/>
        <v>2.7E-2</v>
      </c>
      <c r="AW639" s="197">
        <f t="shared" si="489"/>
        <v>3.4260000000000002E-3</v>
      </c>
      <c r="AX639" s="197">
        <f t="shared" si="524"/>
        <v>6.1668000000000001E-2</v>
      </c>
      <c r="AY639" s="197">
        <f t="shared" si="490"/>
        <v>2.8867476000000005E-3</v>
      </c>
      <c r="AZ639" s="197">
        <f t="shared" si="491"/>
        <v>0</v>
      </c>
      <c r="BA639" s="197">
        <f t="shared" si="525"/>
        <v>7.2596940000000013E-2</v>
      </c>
      <c r="BB639" s="258">
        <f t="shared" si="492"/>
        <v>0.36575210336206115</v>
      </c>
      <c r="BC639" s="197">
        <f t="shared" si="493"/>
        <v>2.2380490766334034E-2</v>
      </c>
      <c r="BD639" s="197">
        <f t="shared" si="526"/>
        <v>4.4760981532668068E-3</v>
      </c>
      <c r="BE639" s="197">
        <f t="shared" si="527"/>
        <v>2.6856588919600841E-2</v>
      </c>
      <c r="BF639" s="197">
        <f t="shared" si="494"/>
        <v>0.20773291256157633</v>
      </c>
      <c r="BG639" s="197">
        <f t="shared" si="495"/>
        <v>5.4608303342508187E-4</v>
      </c>
      <c r="BH639" s="197">
        <f t="shared" si="496"/>
        <v>3.5336687086656722E-2</v>
      </c>
      <c r="BI639" s="197">
        <f t="shared" si="528"/>
        <v>0.44730899017824427</v>
      </c>
      <c r="BJ639" s="197">
        <f t="shared" si="497"/>
        <v>6.769615024661003</v>
      </c>
      <c r="BK639" s="288">
        <f t="shared" si="498"/>
        <v>0.93392401361838984</v>
      </c>
      <c r="BL639" s="197">
        <f t="shared" si="499"/>
        <v>0.37608972359227794</v>
      </c>
      <c r="BM639" s="197">
        <f t="shared" si="500"/>
        <v>7.4353030976985271E-2</v>
      </c>
      <c r="BN639" s="197">
        <f t="shared" si="501"/>
        <v>54.461181858619113</v>
      </c>
      <c r="BO639" s="197">
        <f t="shared" si="529"/>
        <v>0.2082789955950014</v>
      </c>
      <c r="BP639" s="197">
        <f t="shared" si="502"/>
        <v>65.620924669625111</v>
      </c>
      <c r="BQ639" s="197">
        <f t="shared" si="503"/>
        <v>9.9596940000000009E-2</v>
      </c>
      <c r="BR639" s="288">
        <f t="shared" si="504"/>
        <v>0.16008975919012108</v>
      </c>
      <c r="BS639" s="197">
        <f t="shared" si="505"/>
        <v>0.11660930017110901</v>
      </c>
      <c r="BT639" s="197">
        <f t="shared" si="506"/>
        <v>0.36419974881911377</v>
      </c>
      <c r="BU639" s="197">
        <f t="shared" si="507"/>
        <v>0.1713930788771201</v>
      </c>
      <c r="BV639" s="197">
        <f t="shared" si="508"/>
        <v>0.53530306917875781</v>
      </c>
      <c r="BW639" s="194"/>
      <c r="BX639" s="194"/>
      <c r="BY639" s="194"/>
      <c r="BZ639" s="194"/>
      <c r="CA639" s="194"/>
      <c r="CB639" s="194"/>
      <c r="CC639" s="194"/>
      <c r="CD639" s="194"/>
      <c r="CE639" s="194"/>
      <c r="CF639" s="194"/>
      <c r="CG639" s="194"/>
      <c r="CH639" s="194"/>
      <c r="CI639" s="194"/>
      <c r="CJ639" s="194"/>
      <c r="CK639" s="194"/>
      <c r="CL639" s="194"/>
      <c r="CM639" s="194"/>
      <c r="CN639" s="194"/>
      <c r="CO639" s="194"/>
      <c r="CP639" s="194"/>
      <c r="CQ639" s="194"/>
      <c r="CR639" s="194"/>
      <c r="CS639" s="194"/>
      <c r="CT639" s="194"/>
      <c r="CU639" s="194"/>
      <c r="CV639" s="194"/>
      <c r="CW639" s="194"/>
      <c r="CX639" s="194"/>
      <c r="CY639" s="194"/>
      <c r="CZ639" s="194"/>
      <c r="DA639" s="194"/>
      <c r="DB639" s="194"/>
      <c r="DC639" s="194"/>
      <c r="DD639" s="194"/>
      <c r="DE639" s="194"/>
      <c r="DF639" s="194"/>
    </row>
    <row r="640" spans="2:110" s="192" customFormat="1" hidden="1" x14ac:dyDescent="0.35">
      <c r="B640" s="289"/>
      <c r="C640" s="289"/>
      <c r="Q640" s="193"/>
      <c r="R640" s="194">
        <f t="shared" si="509"/>
        <v>18</v>
      </c>
      <c r="S640" s="197">
        <f t="shared" si="475"/>
        <v>0.3888888888888889</v>
      </c>
      <c r="T640" s="194">
        <f t="shared" si="530"/>
        <v>0.69</v>
      </c>
      <c r="U640" s="194">
        <f t="shared" si="531"/>
        <v>1.4999999999999999E-4</v>
      </c>
      <c r="V640" s="197">
        <f t="shared" si="510"/>
        <v>0.3888888888888889</v>
      </c>
      <c r="W640" s="197">
        <f t="shared" si="476"/>
        <v>4.3555555555555561E-3</v>
      </c>
      <c r="X640" s="286">
        <f t="shared" si="477"/>
        <v>1</v>
      </c>
      <c r="Y640" s="286">
        <f t="shared" si="478"/>
        <v>0.17335969315081967</v>
      </c>
      <c r="Z640" s="286">
        <f t="shared" si="479"/>
        <v>0.54964853345132902</v>
      </c>
      <c r="AA640" s="286">
        <f t="shared" si="511"/>
        <v>0.17335969315081967</v>
      </c>
      <c r="AB640" s="197">
        <f t="shared" si="480"/>
        <v>0.36419974881911377</v>
      </c>
      <c r="AC640" s="287">
        <f t="shared" si="481"/>
        <v>4.4451203372005044E-7</v>
      </c>
      <c r="AD640" s="197">
        <f t="shared" si="512"/>
        <v>11.693936048110356</v>
      </c>
      <c r="AE640" s="197">
        <f t="shared" si="513"/>
        <v>35.08180814433107</v>
      </c>
      <c r="AF640" s="197">
        <f t="shared" si="514"/>
        <v>8.5178571428571423E-2</v>
      </c>
      <c r="AG640" s="197">
        <f t="shared" si="515"/>
        <v>0.25553571428571431</v>
      </c>
      <c r="AH640" s="197">
        <f t="shared" si="482"/>
        <v>0.11660930017110901</v>
      </c>
      <c r="AI640" s="197">
        <f t="shared" si="516"/>
        <v>0.11660930017110901</v>
      </c>
      <c r="AJ640" s="218">
        <f t="shared" si="483"/>
        <v>390.00000000000006</v>
      </c>
      <c r="AK640" s="197">
        <f t="shared" si="517"/>
        <v>6.0930617977437734E-2</v>
      </c>
      <c r="AL640" s="197">
        <f t="shared" si="518"/>
        <v>9.6203707235237593E-2</v>
      </c>
      <c r="AM640" s="197">
        <f t="shared" si="519"/>
        <v>4.0790371867740751E-3</v>
      </c>
      <c r="AN640" s="197">
        <f t="shared" si="484"/>
        <v>24.05</v>
      </c>
      <c r="AO640" s="197">
        <f t="shared" si="485"/>
        <v>21.69</v>
      </c>
      <c r="AP640" s="197">
        <f t="shared" si="520"/>
        <v>7.4093290390420161E-2</v>
      </c>
      <c r="AQ640" s="197">
        <f t="shared" si="521"/>
        <v>0.42250439890466829</v>
      </c>
      <c r="AR640" s="197">
        <f t="shared" si="522"/>
        <v>0.30589509873355925</v>
      </c>
      <c r="AS640" s="258">
        <f t="shared" si="523"/>
        <v>0.15228632177729159</v>
      </c>
      <c r="AT640" s="197">
        <f t="shared" si="486"/>
        <v>2.5974058656511614E-4</v>
      </c>
      <c r="AU640" s="194">
        <f t="shared" si="487"/>
        <v>21.19</v>
      </c>
      <c r="AV640" s="197">
        <f t="shared" si="488"/>
        <v>2.7E-2</v>
      </c>
      <c r="AW640" s="197">
        <f t="shared" si="489"/>
        <v>3.4260000000000002E-3</v>
      </c>
      <c r="AX640" s="197">
        <f t="shared" si="524"/>
        <v>6.1668000000000001E-2</v>
      </c>
      <c r="AY640" s="197">
        <f t="shared" si="490"/>
        <v>2.8867476000000005E-3</v>
      </c>
      <c r="AZ640" s="197">
        <f t="shared" si="491"/>
        <v>0</v>
      </c>
      <c r="BA640" s="197">
        <f t="shared" si="525"/>
        <v>7.2596940000000013E-2</v>
      </c>
      <c r="BB640" s="258">
        <f t="shared" si="492"/>
        <v>0.36575210336206115</v>
      </c>
      <c r="BC640" s="197">
        <f t="shared" si="493"/>
        <v>2.2380490766334034E-2</v>
      </c>
      <c r="BD640" s="197">
        <f t="shared" si="526"/>
        <v>4.4760981532668068E-3</v>
      </c>
      <c r="BE640" s="197">
        <f t="shared" si="527"/>
        <v>2.6856588919600841E-2</v>
      </c>
      <c r="BF640" s="197">
        <f t="shared" si="494"/>
        <v>0.20773291256157633</v>
      </c>
      <c r="BG640" s="197">
        <f t="shared" si="495"/>
        <v>5.4608303342508187E-4</v>
      </c>
      <c r="BH640" s="197">
        <f t="shared" si="496"/>
        <v>3.5336687086656722E-2</v>
      </c>
      <c r="BI640" s="197">
        <f t="shared" si="528"/>
        <v>0.44730899017824427</v>
      </c>
      <c r="BJ640" s="197">
        <f t="shared" si="497"/>
        <v>6.769615024661003</v>
      </c>
      <c r="BK640" s="288">
        <f t="shared" si="498"/>
        <v>0.93392401361838984</v>
      </c>
      <c r="BL640" s="197">
        <f t="shared" si="499"/>
        <v>0.37608972359227794</v>
      </c>
      <c r="BM640" s="197">
        <f t="shared" si="500"/>
        <v>7.4353030976985271E-2</v>
      </c>
      <c r="BN640" s="197">
        <f t="shared" si="501"/>
        <v>54.461181858619113</v>
      </c>
      <c r="BO640" s="197">
        <f t="shared" si="529"/>
        <v>0.2082789955950014</v>
      </c>
      <c r="BP640" s="197">
        <f t="shared" si="502"/>
        <v>65.620924669625111</v>
      </c>
      <c r="BQ640" s="197">
        <f t="shared" si="503"/>
        <v>9.9596940000000009E-2</v>
      </c>
      <c r="BR640" s="288">
        <f t="shared" si="504"/>
        <v>0.16008975919012108</v>
      </c>
      <c r="BS640" s="197">
        <f t="shared" si="505"/>
        <v>0.11660930017110901</v>
      </c>
      <c r="BT640" s="197">
        <f t="shared" si="506"/>
        <v>0.36419974881911377</v>
      </c>
      <c r="BU640" s="197">
        <f t="shared" si="507"/>
        <v>0.1713930788771201</v>
      </c>
      <c r="BV640" s="197">
        <f t="shared" si="508"/>
        <v>0.53530306917875781</v>
      </c>
      <c r="BW640" s="194"/>
      <c r="BX640" s="194"/>
      <c r="BY640" s="194"/>
      <c r="BZ640" s="194"/>
      <c r="CA640" s="194"/>
      <c r="CB640" s="194"/>
      <c r="CC640" s="194"/>
      <c r="CD640" s="194"/>
      <c r="CE640" s="194"/>
      <c r="CF640" s="194"/>
      <c r="CG640" s="194"/>
      <c r="CH640" s="194"/>
      <c r="CI640" s="194"/>
      <c r="CJ640" s="194"/>
      <c r="CK640" s="194"/>
      <c r="CL640" s="194"/>
      <c r="CM640" s="194"/>
      <c r="CN640" s="194"/>
      <c r="CO640" s="194"/>
      <c r="CP640" s="194"/>
      <c r="CQ640" s="194"/>
      <c r="CR640" s="194"/>
      <c r="CS640" s="194"/>
      <c r="CT640" s="194"/>
      <c r="CU640" s="194"/>
      <c r="CV640" s="194"/>
      <c r="CW640" s="194"/>
      <c r="CX640" s="194"/>
      <c r="CY640" s="194"/>
      <c r="CZ640" s="194"/>
      <c r="DA640" s="194"/>
      <c r="DB640" s="194"/>
      <c r="DC640" s="194"/>
      <c r="DD640" s="194"/>
      <c r="DE640" s="194"/>
      <c r="DF640" s="194"/>
    </row>
    <row r="641" spans="2:110" s="192" customFormat="1" hidden="1" x14ac:dyDescent="0.35">
      <c r="B641" s="289"/>
      <c r="C641" s="289"/>
      <c r="Q641" s="193"/>
      <c r="R641" s="194">
        <f t="shared" si="509"/>
        <v>18</v>
      </c>
      <c r="S641" s="197">
        <f t="shared" si="475"/>
        <v>0.3888888888888889</v>
      </c>
      <c r="T641" s="194">
        <f t="shared" si="530"/>
        <v>0.69</v>
      </c>
      <c r="U641" s="194">
        <f t="shared" si="531"/>
        <v>1.4999999999999999E-4</v>
      </c>
      <c r="V641" s="197">
        <f t="shared" si="510"/>
        <v>0.3888888888888889</v>
      </c>
      <c r="W641" s="197">
        <f t="shared" si="476"/>
        <v>4.3555555555555561E-3</v>
      </c>
      <c r="X641" s="286">
        <f t="shared" si="477"/>
        <v>1</v>
      </c>
      <c r="Y641" s="286">
        <f t="shared" si="478"/>
        <v>0.17335969315081967</v>
      </c>
      <c r="Z641" s="286">
        <f t="shared" si="479"/>
        <v>0.54964853345132902</v>
      </c>
      <c r="AA641" s="286">
        <f t="shared" si="511"/>
        <v>0.17335969315081967</v>
      </c>
      <c r="AB641" s="197">
        <f t="shared" si="480"/>
        <v>0.36419974881911377</v>
      </c>
      <c r="AC641" s="287">
        <f t="shared" si="481"/>
        <v>4.4451203372005044E-7</v>
      </c>
      <c r="AD641" s="197">
        <f t="shared" si="512"/>
        <v>11.693936048110356</v>
      </c>
      <c r="AE641" s="197">
        <f t="shared" si="513"/>
        <v>35.08180814433107</v>
      </c>
      <c r="AF641" s="197">
        <f t="shared" si="514"/>
        <v>8.5178571428571423E-2</v>
      </c>
      <c r="AG641" s="197">
        <f t="shared" si="515"/>
        <v>0.25553571428571431</v>
      </c>
      <c r="AH641" s="197">
        <f t="shared" si="482"/>
        <v>0.11660930017110901</v>
      </c>
      <c r="AI641" s="197">
        <f t="shared" si="516"/>
        <v>0.11660930017110901</v>
      </c>
      <c r="AJ641" s="218">
        <f t="shared" si="483"/>
        <v>390.00000000000006</v>
      </c>
      <c r="AK641" s="197">
        <f t="shared" si="517"/>
        <v>6.0930617977437734E-2</v>
      </c>
      <c r="AL641" s="197">
        <f t="shared" si="518"/>
        <v>9.6203707235237593E-2</v>
      </c>
      <c r="AM641" s="197">
        <f t="shared" si="519"/>
        <v>4.0790371867740751E-3</v>
      </c>
      <c r="AN641" s="197">
        <f t="shared" si="484"/>
        <v>24.05</v>
      </c>
      <c r="AO641" s="197">
        <f t="shared" si="485"/>
        <v>21.69</v>
      </c>
      <c r="AP641" s="197">
        <f t="shared" si="520"/>
        <v>7.4093290390420161E-2</v>
      </c>
      <c r="AQ641" s="197">
        <f t="shared" si="521"/>
        <v>0.42250439890466829</v>
      </c>
      <c r="AR641" s="197">
        <f t="shared" si="522"/>
        <v>0.30589509873355925</v>
      </c>
      <c r="AS641" s="258">
        <f t="shared" si="523"/>
        <v>0.15228632177729159</v>
      </c>
      <c r="AT641" s="197">
        <f t="shared" si="486"/>
        <v>2.5974058656511614E-4</v>
      </c>
      <c r="AU641" s="194">
        <f t="shared" si="487"/>
        <v>21.19</v>
      </c>
      <c r="AV641" s="197">
        <f t="shared" si="488"/>
        <v>2.7E-2</v>
      </c>
      <c r="AW641" s="197">
        <f t="shared" si="489"/>
        <v>3.4260000000000002E-3</v>
      </c>
      <c r="AX641" s="197">
        <f t="shared" si="524"/>
        <v>6.1668000000000001E-2</v>
      </c>
      <c r="AY641" s="197">
        <f t="shared" si="490"/>
        <v>2.8867476000000005E-3</v>
      </c>
      <c r="AZ641" s="197">
        <f t="shared" si="491"/>
        <v>0</v>
      </c>
      <c r="BA641" s="197">
        <f t="shared" si="525"/>
        <v>7.2596940000000013E-2</v>
      </c>
      <c r="BB641" s="258">
        <f t="shared" si="492"/>
        <v>0.36575210336206115</v>
      </c>
      <c r="BC641" s="197">
        <f t="shared" si="493"/>
        <v>2.2380490766334034E-2</v>
      </c>
      <c r="BD641" s="197">
        <f t="shared" si="526"/>
        <v>4.4760981532668068E-3</v>
      </c>
      <c r="BE641" s="197">
        <f t="shared" si="527"/>
        <v>2.6856588919600841E-2</v>
      </c>
      <c r="BF641" s="197">
        <f t="shared" si="494"/>
        <v>0.20773291256157633</v>
      </c>
      <c r="BG641" s="197">
        <f t="shared" si="495"/>
        <v>5.4608303342508187E-4</v>
      </c>
      <c r="BH641" s="197">
        <f t="shared" si="496"/>
        <v>3.5336687086656722E-2</v>
      </c>
      <c r="BI641" s="197">
        <f t="shared" si="528"/>
        <v>0.44730899017824427</v>
      </c>
      <c r="BJ641" s="197">
        <f t="shared" si="497"/>
        <v>6.769615024661003</v>
      </c>
      <c r="BK641" s="288">
        <f t="shared" si="498"/>
        <v>0.93392401361838984</v>
      </c>
      <c r="BL641" s="197">
        <f t="shared" si="499"/>
        <v>0.37608972359227794</v>
      </c>
      <c r="BM641" s="197">
        <f t="shared" si="500"/>
        <v>7.4353030976985271E-2</v>
      </c>
      <c r="BN641" s="197">
        <f t="shared" si="501"/>
        <v>54.461181858619113</v>
      </c>
      <c r="BO641" s="197">
        <f t="shared" si="529"/>
        <v>0.2082789955950014</v>
      </c>
      <c r="BP641" s="197">
        <f t="shared" si="502"/>
        <v>65.620924669625111</v>
      </c>
      <c r="BQ641" s="197">
        <f t="shared" si="503"/>
        <v>9.9596940000000009E-2</v>
      </c>
      <c r="BR641" s="288">
        <f t="shared" si="504"/>
        <v>0.16008975919012108</v>
      </c>
      <c r="BS641" s="197">
        <f t="shared" si="505"/>
        <v>0.11660930017110901</v>
      </c>
      <c r="BT641" s="197">
        <f t="shared" si="506"/>
        <v>0.36419974881911377</v>
      </c>
      <c r="BU641" s="197">
        <f t="shared" si="507"/>
        <v>0.1713930788771201</v>
      </c>
      <c r="BV641" s="197">
        <f t="shared" si="508"/>
        <v>0.53530306917875781</v>
      </c>
      <c r="BW641" s="194"/>
      <c r="BX641" s="194"/>
      <c r="BY641" s="194"/>
      <c r="BZ641" s="194"/>
      <c r="CA641" s="194"/>
      <c r="CB641" s="194"/>
      <c r="CC641" s="194"/>
      <c r="CD641" s="194"/>
      <c r="CE641" s="194"/>
      <c r="CF641" s="194"/>
      <c r="CG641" s="194"/>
      <c r="CH641" s="194"/>
      <c r="CI641" s="194"/>
      <c r="CJ641" s="194"/>
      <c r="CK641" s="194"/>
      <c r="CL641" s="194"/>
      <c r="CM641" s="194"/>
      <c r="CN641" s="194"/>
      <c r="CO641" s="194"/>
      <c r="CP641" s="194"/>
      <c r="CQ641" s="194"/>
      <c r="CR641" s="194"/>
      <c r="CS641" s="194"/>
      <c r="CT641" s="194"/>
      <c r="CU641" s="194"/>
      <c r="CV641" s="194"/>
      <c r="CW641" s="194"/>
      <c r="CX641" s="194"/>
      <c r="CY641" s="194"/>
      <c r="CZ641" s="194"/>
      <c r="DA641" s="194"/>
      <c r="DB641" s="194"/>
      <c r="DC641" s="194"/>
      <c r="DD641" s="194"/>
      <c r="DE641" s="194"/>
      <c r="DF641" s="194"/>
    </row>
    <row r="642" spans="2:110" s="192" customFormat="1" hidden="1" x14ac:dyDescent="0.35">
      <c r="B642" s="289"/>
      <c r="C642" s="289"/>
      <c r="Q642" s="193"/>
      <c r="R642" s="194">
        <f t="shared" si="509"/>
        <v>18</v>
      </c>
      <c r="S642" s="197">
        <f t="shared" si="475"/>
        <v>0.3888888888888889</v>
      </c>
      <c r="T642" s="194">
        <f t="shared" si="530"/>
        <v>0.69</v>
      </c>
      <c r="U642" s="194">
        <f t="shared" si="531"/>
        <v>1.4999999999999999E-4</v>
      </c>
      <c r="V642" s="197">
        <f t="shared" si="510"/>
        <v>0.3888888888888889</v>
      </c>
      <c r="W642" s="197">
        <f t="shared" si="476"/>
        <v>4.3555555555555561E-3</v>
      </c>
      <c r="X642" s="286">
        <f t="shared" si="477"/>
        <v>1</v>
      </c>
      <c r="Y642" s="286">
        <f t="shared" si="478"/>
        <v>0.17335969315081967</v>
      </c>
      <c r="Z642" s="286">
        <f t="shared" si="479"/>
        <v>0.54964853345132902</v>
      </c>
      <c r="AA642" s="286">
        <f t="shared" si="511"/>
        <v>0.17335969315081967</v>
      </c>
      <c r="AB642" s="197">
        <f t="shared" si="480"/>
        <v>0.36419974881911377</v>
      </c>
      <c r="AC642" s="287">
        <f t="shared" si="481"/>
        <v>4.4451203372005044E-7</v>
      </c>
      <c r="AD642" s="197">
        <f t="shared" si="512"/>
        <v>11.693936048110356</v>
      </c>
      <c r="AE642" s="197">
        <f t="shared" si="513"/>
        <v>35.08180814433107</v>
      </c>
      <c r="AF642" s="197">
        <f t="shared" si="514"/>
        <v>8.5178571428571423E-2</v>
      </c>
      <c r="AG642" s="197">
        <f t="shared" si="515"/>
        <v>0.25553571428571431</v>
      </c>
      <c r="AH642" s="197">
        <f t="shared" si="482"/>
        <v>0.11660930017110901</v>
      </c>
      <c r="AI642" s="197">
        <f t="shared" si="516"/>
        <v>0.11660930017110901</v>
      </c>
      <c r="AJ642" s="218">
        <f t="shared" si="483"/>
        <v>390.00000000000006</v>
      </c>
      <c r="AK642" s="197">
        <f t="shared" si="517"/>
        <v>6.0930617977437734E-2</v>
      </c>
      <c r="AL642" s="197">
        <f t="shared" si="518"/>
        <v>9.6203707235237593E-2</v>
      </c>
      <c r="AM642" s="197">
        <f t="shared" si="519"/>
        <v>4.0790371867740751E-3</v>
      </c>
      <c r="AN642" s="197">
        <f t="shared" si="484"/>
        <v>24.05</v>
      </c>
      <c r="AO642" s="197">
        <f t="shared" si="485"/>
        <v>21.69</v>
      </c>
      <c r="AP642" s="197">
        <f t="shared" si="520"/>
        <v>7.4093290390420161E-2</v>
      </c>
      <c r="AQ642" s="197">
        <f t="shared" si="521"/>
        <v>0.42250439890466829</v>
      </c>
      <c r="AR642" s="197">
        <f t="shared" si="522"/>
        <v>0.30589509873355925</v>
      </c>
      <c r="AS642" s="258">
        <f t="shared" si="523"/>
        <v>0.15228632177729159</v>
      </c>
      <c r="AT642" s="197">
        <f t="shared" si="486"/>
        <v>2.5974058656511614E-4</v>
      </c>
      <c r="AU642" s="194">
        <f t="shared" si="487"/>
        <v>21.19</v>
      </c>
      <c r="AV642" s="197">
        <f t="shared" si="488"/>
        <v>2.7E-2</v>
      </c>
      <c r="AW642" s="197">
        <f t="shared" si="489"/>
        <v>3.4260000000000002E-3</v>
      </c>
      <c r="AX642" s="197">
        <f t="shared" si="524"/>
        <v>6.1668000000000001E-2</v>
      </c>
      <c r="AY642" s="197">
        <f t="shared" si="490"/>
        <v>2.8867476000000005E-3</v>
      </c>
      <c r="AZ642" s="197">
        <f t="shared" si="491"/>
        <v>0</v>
      </c>
      <c r="BA642" s="197">
        <f t="shared" si="525"/>
        <v>7.2596940000000013E-2</v>
      </c>
      <c r="BB642" s="258">
        <f t="shared" si="492"/>
        <v>0.36575210336206115</v>
      </c>
      <c r="BC642" s="197">
        <f t="shared" si="493"/>
        <v>2.2380490766334034E-2</v>
      </c>
      <c r="BD642" s="197">
        <f t="shared" si="526"/>
        <v>4.4760981532668068E-3</v>
      </c>
      <c r="BE642" s="197">
        <f t="shared" si="527"/>
        <v>2.6856588919600841E-2</v>
      </c>
      <c r="BF642" s="197">
        <f t="shared" si="494"/>
        <v>0.20773291256157633</v>
      </c>
      <c r="BG642" s="197">
        <f t="shared" si="495"/>
        <v>5.4608303342508187E-4</v>
      </c>
      <c r="BH642" s="197">
        <f t="shared" si="496"/>
        <v>3.5336687086656722E-2</v>
      </c>
      <c r="BI642" s="197">
        <f t="shared" si="528"/>
        <v>0.44730899017824427</v>
      </c>
      <c r="BJ642" s="197">
        <f t="shared" si="497"/>
        <v>6.769615024661003</v>
      </c>
      <c r="BK642" s="288">
        <f t="shared" si="498"/>
        <v>0.93392401361838984</v>
      </c>
      <c r="BL642" s="197">
        <f t="shared" si="499"/>
        <v>0.37608972359227794</v>
      </c>
      <c r="BM642" s="197">
        <f t="shared" si="500"/>
        <v>7.4353030976985271E-2</v>
      </c>
      <c r="BN642" s="197">
        <f t="shared" si="501"/>
        <v>54.461181858619113</v>
      </c>
      <c r="BO642" s="197">
        <f t="shared" si="529"/>
        <v>0.2082789955950014</v>
      </c>
      <c r="BP642" s="197">
        <f t="shared" si="502"/>
        <v>65.620924669625111</v>
      </c>
      <c r="BQ642" s="197">
        <f t="shared" si="503"/>
        <v>9.9596940000000009E-2</v>
      </c>
      <c r="BR642" s="288">
        <f t="shared" si="504"/>
        <v>0.16008975919012108</v>
      </c>
      <c r="BS642" s="197">
        <f t="shared" si="505"/>
        <v>0.11660930017110901</v>
      </c>
      <c r="BT642" s="197">
        <f t="shared" si="506"/>
        <v>0.36419974881911377</v>
      </c>
      <c r="BU642" s="197">
        <f t="shared" si="507"/>
        <v>0.1713930788771201</v>
      </c>
      <c r="BV642" s="197">
        <f t="shared" si="508"/>
        <v>0.53530306917875781</v>
      </c>
      <c r="BW642" s="194"/>
      <c r="BX642" s="194"/>
      <c r="BY642" s="194"/>
      <c r="BZ642" s="194"/>
      <c r="CA642" s="194"/>
      <c r="CB642" s="194"/>
      <c r="CC642" s="194"/>
      <c r="CD642" s="194"/>
      <c r="CE642" s="194"/>
      <c r="CF642" s="194"/>
      <c r="CG642" s="194"/>
      <c r="CH642" s="194"/>
      <c r="CI642" s="194"/>
      <c r="CJ642" s="194"/>
      <c r="CK642" s="194"/>
      <c r="CL642" s="194"/>
      <c r="CM642" s="194"/>
      <c r="CN642" s="194"/>
      <c r="CO642" s="194"/>
      <c r="CP642" s="194"/>
      <c r="CQ642" s="194"/>
      <c r="CR642" s="194"/>
      <c r="CS642" s="194"/>
      <c r="CT642" s="194"/>
      <c r="CU642" s="194"/>
      <c r="CV642" s="194"/>
      <c r="CW642" s="194"/>
      <c r="CX642" s="194"/>
      <c r="CY642" s="194"/>
      <c r="CZ642" s="194"/>
      <c r="DA642" s="194"/>
      <c r="DB642" s="194"/>
      <c r="DC642" s="194"/>
      <c r="DD642" s="194"/>
      <c r="DE642" s="194"/>
      <c r="DF642" s="194"/>
    </row>
    <row r="643" spans="2:110" s="192" customFormat="1" hidden="1" x14ac:dyDescent="0.35">
      <c r="B643" s="289"/>
      <c r="C643" s="289"/>
      <c r="Q643" s="193"/>
      <c r="R643" s="194">
        <f t="shared" si="509"/>
        <v>18</v>
      </c>
      <c r="S643" s="197">
        <f t="shared" si="475"/>
        <v>0.3888888888888889</v>
      </c>
      <c r="T643" s="194">
        <f t="shared" si="530"/>
        <v>0.69</v>
      </c>
      <c r="U643" s="194">
        <f t="shared" si="531"/>
        <v>1.4999999999999999E-4</v>
      </c>
      <c r="V643" s="197">
        <f t="shared" si="510"/>
        <v>0.3888888888888889</v>
      </c>
      <c r="W643" s="197">
        <f t="shared" si="476"/>
        <v>4.3555555555555561E-3</v>
      </c>
      <c r="X643" s="286">
        <f t="shared" si="477"/>
        <v>1</v>
      </c>
      <c r="Y643" s="286">
        <f t="shared" si="478"/>
        <v>0.17335969315081967</v>
      </c>
      <c r="Z643" s="286">
        <f t="shared" si="479"/>
        <v>0.54964853345132902</v>
      </c>
      <c r="AA643" s="286">
        <f t="shared" si="511"/>
        <v>0.17335969315081967</v>
      </c>
      <c r="AB643" s="197">
        <f t="shared" si="480"/>
        <v>0.36419974881911377</v>
      </c>
      <c r="AC643" s="287">
        <f t="shared" si="481"/>
        <v>4.4451203372005044E-7</v>
      </c>
      <c r="AD643" s="197">
        <f t="shared" si="512"/>
        <v>11.693936048110356</v>
      </c>
      <c r="AE643" s="197">
        <f t="shared" si="513"/>
        <v>35.08180814433107</v>
      </c>
      <c r="AF643" s="197">
        <f t="shared" si="514"/>
        <v>8.5178571428571423E-2</v>
      </c>
      <c r="AG643" s="197">
        <f t="shared" si="515"/>
        <v>0.25553571428571431</v>
      </c>
      <c r="AH643" s="197">
        <f t="shared" si="482"/>
        <v>0.11660930017110901</v>
      </c>
      <c r="AI643" s="197">
        <f t="shared" si="516"/>
        <v>0.11660930017110901</v>
      </c>
      <c r="AJ643" s="218">
        <f t="shared" si="483"/>
        <v>390.00000000000006</v>
      </c>
      <c r="AK643" s="197">
        <f t="shared" si="517"/>
        <v>6.0930617977437734E-2</v>
      </c>
      <c r="AL643" s="197">
        <f t="shared" si="518"/>
        <v>9.6203707235237593E-2</v>
      </c>
      <c r="AM643" s="197">
        <f t="shared" si="519"/>
        <v>4.0790371867740751E-3</v>
      </c>
      <c r="AN643" s="197">
        <f t="shared" si="484"/>
        <v>24.05</v>
      </c>
      <c r="AO643" s="197">
        <f t="shared" si="485"/>
        <v>21.69</v>
      </c>
      <c r="AP643" s="197">
        <f t="shared" si="520"/>
        <v>7.4093290390420161E-2</v>
      </c>
      <c r="AQ643" s="197">
        <f t="shared" si="521"/>
        <v>0.42250439890466829</v>
      </c>
      <c r="AR643" s="197">
        <f t="shared" si="522"/>
        <v>0.30589509873355925</v>
      </c>
      <c r="AS643" s="258">
        <f t="shared" si="523"/>
        <v>0.15228632177729159</v>
      </c>
      <c r="AT643" s="197">
        <f t="shared" si="486"/>
        <v>2.5974058656511614E-4</v>
      </c>
      <c r="AU643" s="194">
        <f t="shared" si="487"/>
        <v>21.19</v>
      </c>
      <c r="AV643" s="197">
        <f t="shared" si="488"/>
        <v>2.7E-2</v>
      </c>
      <c r="AW643" s="197">
        <f t="shared" si="489"/>
        <v>3.4260000000000002E-3</v>
      </c>
      <c r="AX643" s="197">
        <f t="shared" si="524"/>
        <v>6.1668000000000001E-2</v>
      </c>
      <c r="AY643" s="197">
        <f t="shared" si="490"/>
        <v>2.8867476000000005E-3</v>
      </c>
      <c r="AZ643" s="197">
        <f t="shared" si="491"/>
        <v>0</v>
      </c>
      <c r="BA643" s="197">
        <f t="shared" si="525"/>
        <v>7.2596940000000013E-2</v>
      </c>
      <c r="BB643" s="258">
        <f t="shared" si="492"/>
        <v>0.36575210336206115</v>
      </c>
      <c r="BC643" s="197">
        <f t="shared" si="493"/>
        <v>2.2380490766334034E-2</v>
      </c>
      <c r="BD643" s="197">
        <f t="shared" si="526"/>
        <v>4.4760981532668068E-3</v>
      </c>
      <c r="BE643" s="197">
        <f t="shared" si="527"/>
        <v>2.6856588919600841E-2</v>
      </c>
      <c r="BF643" s="197">
        <f t="shared" si="494"/>
        <v>0.20773291256157633</v>
      </c>
      <c r="BG643" s="197">
        <f t="shared" si="495"/>
        <v>5.4608303342508187E-4</v>
      </c>
      <c r="BH643" s="197">
        <f t="shared" si="496"/>
        <v>3.5336687086656722E-2</v>
      </c>
      <c r="BI643" s="197">
        <f t="shared" si="528"/>
        <v>0.44730899017824427</v>
      </c>
      <c r="BJ643" s="197">
        <f t="shared" si="497"/>
        <v>6.769615024661003</v>
      </c>
      <c r="BK643" s="288">
        <f t="shared" si="498"/>
        <v>0.93392401361838984</v>
      </c>
      <c r="BL643" s="197">
        <f t="shared" si="499"/>
        <v>0.37608972359227794</v>
      </c>
      <c r="BM643" s="197">
        <f t="shared" si="500"/>
        <v>7.4353030976985271E-2</v>
      </c>
      <c r="BN643" s="197">
        <f t="shared" si="501"/>
        <v>54.461181858619113</v>
      </c>
      <c r="BO643" s="197">
        <f t="shared" si="529"/>
        <v>0.2082789955950014</v>
      </c>
      <c r="BP643" s="197">
        <f t="shared" si="502"/>
        <v>65.620924669625111</v>
      </c>
      <c r="BQ643" s="197">
        <f t="shared" si="503"/>
        <v>9.9596940000000009E-2</v>
      </c>
      <c r="BR643" s="288">
        <f t="shared" si="504"/>
        <v>0.16008975919012108</v>
      </c>
      <c r="BS643" s="197">
        <f t="shared" si="505"/>
        <v>0.11660930017110901</v>
      </c>
      <c r="BT643" s="197">
        <f t="shared" si="506"/>
        <v>0.36419974881911377</v>
      </c>
      <c r="BU643" s="197">
        <f t="shared" si="507"/>
        <v>0.1713930788771201</v>
      </c>
      <c r="BV643" s="197">
        <f t="shared" si="508"/>
        <v>0.53530306917875781</v>
      </c>
      <c r="BW643" s="194"/>
      <c r="BX643" s="194"/>
      <c r="BY643" s="194"/>
      <c r="BZ643" s="194"/>
      <c r="CA643" s="194"/>
      <c r="CB643" s="194"/>
      <c r="CC643" s="194"/>
      <c r="CD643" s="194"/>
      <c r="CE643" s="194"/>
      <c r="CF643" s="194"/>
      <c r="CG643" s="194"/>
      <c r="CH643" s="194"/>
      <c r="CI643" s="194"/>
      <c r="CJ643" s="194"/>
      <c r="CK643" s="194"/>
      <c r="CL643" s="194"/>
      <c r="CM643" s="194"/>
      <c r="CN643" s="194"/>
      <c r="CO643" s="194"/>
      <c r="CP643" s="194"/>
      <c r="CQ643" s="194"/>
      <c r="CR643" s="194"/>
      <c r="CS643" s="194"/>
      <c r="CT643" s="194"/>
      <c r="CU643" s="194"/>
      <c r="CV643" s="194"/>
      <c r="CW643" s="194"/>
      <c r="CX643" s="194"/>
      <c r="CY643" s="194"/>
      <c r="CZ643" s="194"/>
      <c r="DA643" s="194"/>
      <c r="DB643" s="194"/>
      <c r="DC643" s="194"/>
      <c r="DD643" s="194"/>
      <c r="DE643" s="194"/>
      <c r="DF643" s="194"/>
    </row>
    <row r="644" spans="2:110" s="192" customFormat="1" hidden="1" x14ac:dyDescent="0.35">
      <c r="B644" s="289"/>
      <c r="C644" s="289"/>
      <c r="Q644" s="193"/>
      <c r="R644" s="194">
        <f t="shared" si="509"/>
        <v>18</v>
      </c>
      <c r="S644" s="197">
        <f t="shared" si="475"/>
        <v>0.3888888888888889</v>
      </c>
      <c r="T644" s="194">
        <f t="shared" si="530"/>
        <v>0.69</v>
      </c>
      <c r="U644" s="194">
        <f t="shared" si="531"/>
        <v>1.4999999999999999E-4</v>
      </c>
      <c r="V644" s="197">
        <f t="shared" si="510"/>
        <v>0.3888888888888889</v>
      </c>
      <c r="W644" s="197">
        <f t="shared" si="476"/>
        <v>4.3555555555555561E-3</v>
      </c>
      <c r="X644" s="286">
        <f t="shared" si="477"/>
        <v>1</v>
      </c>
      <c r="Y644" s="286">
        <f t="shared" si="478"/>
        <v>0.17335969315081967</v>
      </c>
      <c r="Z644" s="286">
        <f t="shared" si="479"/>
        <v>0.54964853345132902</v>
      </c>
      <c r="AA644" s="286">
        <f t="shared" si="511"/>
        <v>0.17335969315081967</v>
      </c>
      <c r="AB644" s="197">
        <f t="shared" si="480"/>
        <v>0.36419974881911377</v>
      </c>
      <c r="AC644" s="287">
        <f t="shared" si="481"/>
        <v>4.4451203372005044E-7</v>
      </c>
      <c r="AD644" s="197">
        <f t="shared" si="512"/>
        <v>11.693936048110356</v>
      </c>
      <c r="AE644" s="197">
        <f t="shared" si="513"/>
        <v>35.08180814433107</v>
      </c>
      <c r="AF644" s="197">
        <f t="shared" si="514"/>
        <v>8.5178571428571423E-2</v>
      </c>
      <c r="AG644" s="197">
        <f t="shared" si="515"/>
        <v>0.25553571428571431</v>
      </c>
      <c r="AH644" s="197">
        <f t="shared" si="482"/>
        <v>0.11660930017110901</v>
      </c>
      <c r="AI644" s="197">
        <f t="shared" si="516"/>
        <v>0.11660930017110901</v>
      </c>
      <c r="AJ644" s="218">
        <f t="shared" si="483"/>
        <v>390.00000000000006</v>
      </c>
      <c r="AK644" s="197">
        <f t="shared" si="517"/>
        <v>6.0930617977437734E-2</v>
      </c>
      <c r="AL644" s="197">
        <f t="shared" si="518"/>
        <v>9.6203707235237593E-2</v>
      </c>
      <c r="AM644" s="197">
        <f t="shared" si="519"/>
        <v>4.0790371867740751E-3</v>
      </c>
      <c r="AN644" s="197">
        <f t="shared" si="484"/>
        <v>24.05</v>
      </c>
      <c r="AO644" s="197">
        <f t="shared" si="485"/>
        <v>21.69</v>
      </c>
      <c r="AP644" s="197">
        <f t="shared" si="520"/>
        <v>7.4093290390420161E-2</v>
      </c>
      <c r="AQ644" s="197">
        <f t="shared" si="521"/>
        <v>0.42250439890466829</v>
      </c>
      <c r="AR644" s="197">
        <f t="shared" si="522"/>
        <v>0.30589509873355925</v>
      </c>
      <c r="AS644" s="258">
        <f t="shared" si="523"/>
        <v>0.15228632177729159</v>
      </c>
      <c r="AT644" s="197">
        <f t="shared" si="486"/>
        <v>2.5974058656511614E-4</v>
      </c>
      <c r="AU644" s="194">
        <f t="shared" si="487"/>
        <v>21.19</v>
      </c>
      <c r="AV644" s="197">
        <f t="shared" si="488"/>
        <v>2.7E-2</v>
      </c>
      <c r="AW644" s="197">
        <f t="shared" si="489"/>
        <v>3.4260000000000002E-3</v>
      </c>
      <c r="AX644" s="197">
        <f t="shared" si="524"/>
        <v>6.1668000000000001E-2</v>
      </c>
      <c r="AY644" s="197">
        <f t="shared" si="490"/>
        <v>2.8867476000000005E-3</v>
      </c>
      <c r="AZ644" s="197">
        <f t="shared" si="491"/>
        <v>0</v>
      </c>
      <c r="BA644" s="197">
        <f t="shared" si="525"/>
        <v>7.2596940000000013E-2</v>
      </c>
      <c r="BB644" s="258">
        <f t="shared" si="492"/>
        <v>0.36575210336206115</v>
      </c>
      <c r="BC644" s="197">
        <f t="shared" si="493"/>
        <v>2.2380490766334034E-2</v>
      </c>
      <c r="BD644" s="197">
        <f t="shared" si="526"/>
        <v>4.4760981532668068E-3</v>
      </c>
      <c r="BE644" s="197">
        <f t="shared" si="527"/>
        <v>2.6856588919600841E-2</v>
      </c>
      <c r="BF644" s="197">
        <f t="shared" si="494"/>
        <v>0.20773291256157633</v>
      </c>
      <c r="BG644" s="197">
        <f t="shared" si="495"/>
        <v>5.4608303342508187E-4</v>
      </c>
      <c r="BH644" s="197">
        <f t="shared" si="496"/>
        <v>3.5336687086656722E-2</v>
      </c>
      <c r="BI644" s="197">
        <f t="shared" si="528"/>
        <v>0.44730899017824427</v>
      </c>
      <c r="BJ644" s="197">
        <f t="shared" si="497"/>
        <v>6.769615024661003</v>
      </c>
      <c r="BK644" s="288">
        <f t="shared" si="498"/>
        <v>0.93392401361838984</v>
      </c>
      <c r="BL644" s="197">
        <f t="shared" si="499"/>
        <v>0.37608972359227794</v>
      </c>
      <c r="BM644" s="197">
        <f t="shared" si="500"/>
        <v>7.4353030976985271E-2</v>
      </c>
      <c r="BN644" s="197">
        <f t="shared" si="501"/>
        <v>54.461181858619113</v>
      </c>
      <c r="BO644" s="197">
        <f t="shared" si="529"/>
        <v>0.2082789955950014</v>
      </c>
      <c r="BP644" s="197">
        <f t="shared" si="502"/>
        <v>65.620924669625111</v>
      </c>
      <c r="BQ644" s="197">
        <f t="shared" si="503"/>
        <v>9.9596940000000009E-2</v>
      </c>
      <c r="BR644" s="288">
        <f t="shared" si="504"/>
        <v>0.16008975919012108</v>
      </c>
      <c r="BS644" s="197">
        <f t="shared" si="505"/>
        <v>0.11660930017110901</v>
      </c>
      <c r="BT644" s="197">
        <f t="shared" si="506"/>
        <v>0.36419974881911377</v>
      </c>
      <c r="BU644" s="197">
        <f t="shared" si="507"/>
        <v>0.1713930788771201</v>
      </c>
      <c r="BV644" s="197">
        <f t="shared" si="508"/>
        <v>0.53530306917875781</v>
      </c>
      <c r="BW644" s="194"/>
      <c r="BX644" s="194"/>
      <c r="BY644" s="194"/>
      <c r="BZ644" s="194"/>
      <c r="CA644" s="194"/>
      <c r="CB644" s="194"/>
      <c r="CC644" s="194"/>
      <c r="CD644" s="194"/>
      <c r="CE644" s="194"/>
      <c r="CF644" s="194"/>
      <c r="CG644" s="194"/>
      <c r="CH644" s="194"/>
      <c r="CI644" s="194"/>
      <c r="CJ644" s="194"/>
      <c r="CK644" s="194"/>
      <c r="CL644" s="194"/>
      <c r="CM644" s="194"/>
      <c r="CN644" s="194"/>
      <c r="CO644" s="194"/>
      <c r="CP644" s="194"/>
      <c r="CQ644" s="194"/>
      <c r="CR644" s="194"/>
      <c r="CS644" s="194"/>
      <c r="CT644" s="194"/>
      <c r="CU644" s="194"/>
      <c r="CV644" s="194"/>
      <c r="CW644" s="194"/>
      <c r="CX644" s="194"/>
      <c r="CY644" s="194"/>
      <c r="CZ644" s="194"/>
      <c r="DA644" s="194"/>
      <c r="DB644" s="194"/>
      <c r="DC644" s="194"/>
      <c r="DD644" s="194"/>
      <c r="DE644" s="194"/>
      <c r="DF644" s="194"/>
    </row>
    <row r="645" spans="2:110" s="192" customFormat="1" hidden="1" x14ac:dyDescent="0.35">
      <c r="B645" s="289"/>
      <c r="C645" s="289"/>
      <c r="Q645" s="193"/>
      <c r="R645" s="194">
        <f t="shared" si="509"/>
        <v>18</v>
      </c>
      <c r="S645" s="197">
        <f t="shared" si="475"/>
        <v>0.3888888888888889</v>
      </c>
      <c r="T645" s="194">
        <f t="shared" si="530"/>
        <v>0.69</v>
      </c>
      <c r="U645" s="194">
        <f t="shared" si="531"/>
        <v>1.4999999999999999E-4</v>
      </c>
      <c r="V645" s="197">
        <f t="shared" si="510"/>
        <v>0.3888888888888889</v>
      </c>
      <c r="W645" s="197">
        <f t="shared" si="476"/>
        <v>4.3555555555555561E-3</v>
      </c>
      <c r="X645" s="286">
        <f t="shared" si="477"/>
        <v>1</v>
      </c>
      <c r="Y645" s="286">
        <f t="shared" si="478"/>
        <v>0.17335969315081967</v>
      </c>
      <c r="Z645" s="286">
        <f t="shared" si="479"/>
        <v>0.54964853345132902</v>
      </c>
      <c r="AA645" s="286">
        <f t="shared" si="511"/>
        <v>0.17335969315081967</v>
      </c>
      <c r="AB645" s="197">
        <f t="shared" si="480"/>
        <v>0.36419974881911377</v>
      </c>
      <c r="AC645" s="287">
        <f t="shared" si="481"/>
        <v>4.4451203372005044E-7</v>
      </c>
      <c r="AD645" s="197">
        <f t="shared" si="512"/>
        <v>11.693936048110356</v>
      </c>
      <c r="AE645" s="197">
        <f t="shared" si="513"/>
        <v>35.08180814433107</v>
      </c>
      <c r="AF645" s="197">
        <f t="shared" si="514"/>
        <v>8.5178571428571423E-2</v>
      </c>
      <c r="AG645" s="197">
        <f t="shared" si="515"/>
        <v>0.25553571428571431</v>
      </c>
      <c r="AH645" s="197">
        <f t="shared" si="482"/>
        <v>0.11660930017110901</v>
      </c>
      <c r="AI645" s="197">
        <f t="shared" si="516"/>
        <v>0.11660930017110901</v>
      </c>
      <c r="AJ645" s="218">
        <f t="shared" si="483"/>
        <v>390.00000000000006</v>
      </c>
      <c r="AK645" s="197">
        <f t="shared" si="517"/>
        <v>6.0930617977437734E-2</v>
      </c>
      <c r="AL645" s="197">
        <f t="shared" si="518"/>
        <v>9.6203707235237593E-2</v>
      </c>
      <c r="AM645" s="197">
        <f t="shared" si="519"/>
        <v>4.0790371867740751E-3</v>
      </c>
      <c r="AN645" s="197">
        <f t="shared" si="484"/>
        <v>24.05</v>
      </c>
      <c r="AO645" s="197">
        <f t="shared" si="485"/>
        <v>21.69</v>
      </c>
      <c r="AP645" s="197">
        <f t="shared" si="520"/>
        <v>7.4093290390420161E-2</v>
      </c>
      <c r="AQ645" s="197">
        <f t="shared" si="521"/>
        <v>0.42250439890466829</v>
      </c>
      <c r="AR645" s="197">
        <f t="shared" si="522"/>
        <v>0.30589509873355925</v>
      </c>
      <c r="AS645" s="258">
        <f t="shared" si="523"/>
        <v>0.15228632177729159</v>
      </c>
      <c r="AT645" s="197">
        <f t="shared" si="486"/>
        <v>2.5974058656511614E-4</v>
      </c>
      <c r="AU645" s="194">
        <f t="shared" si="487"/>
        <v>21.19</v>
      </c>
      <c r="AV645" s="197">
        <f t="shared" si="488"/>
        <v>2.7E-2</v>
      </c>
      <c r="AW645" s="197">
        <f t="shared" si="489"/>
        <v>3.4260000000000002E-3</v>
      </c>
      <c r="AX645" s="197">
        <f t="shared" si="524"/>
        <v>6.1668000000000001E-2</v>
      </c>
      <c r="AY645" s="197">
        <f t="shared" si="490"/>
        <v>2.8867476000000005E-3</v>
      </c>
      <c r="AZ645" s="197">
        <f t="shared" si="491"/>
        <v>0</v>
      </c>
      <c r="BA645" s="197">
        <f t="shared" si="525"/>
        <v>7.2596940000000013E-2</v>
      </c>
      <c r="BB645" s="258">
        <f t="shared" si="492"/>
        <v>0.36575210336206115</v>
      </c>
      <c r="BC645" s="197">
        <f t="shared" si="493"/>
        <v>2.2380490766334034E-2</v>
      </c>
      <c r="BD645" s="197">
        <f t="shared" si="526"/>
        <v>4.4760981532668068E-3</v>
      </c>
      <c r="BE645" s="197">
        <f t="shared" si="527"/>
        <v>2.6856588919600841E-2</v>
      </c>
      <c r="BF645" s="197">
        <f t="shared" si="494"/>
        <v>0.20773291256157633</v>
      </c>
      <c r="BG645" s="197">
        <f t="shared" si="495"/>
        <v>5.4608303342508187E-4</v>
      </c>
      <c r="BH645" s="197">
        <f t="shared" si="496"/>
        <v>3.5336687086656722E-2</v>
      </c>
      <c r="BI645" s="197">
        <f t="shared" si="528"/>
        <v>0.44730899017824427</v>
      </c>
      <c r="BJ645" s="197">
        <f t="shared" si="497"/>
        <v>6.769615024661003</v>
      </c>
      <c r="BK645" s="288">
        <f t="shared" si="498"/>
        <v>0.93392401361838984</v>
      </c>
      <c r="BL645" s="197">
        <f t="shared" si="499"/>
        <v>0.37608972359227794</v>
      </c>
      <c r="BM645" s="197">
        <f t="shared" si="500"/>
        <v>7.4353030976985271E-2</v>
      </c>
      <c r="BN645" s="197">
        <f t="shared" si="501"/>
        <v>54.461181858619113</v>
      </c>
      <c r="BO645" s="197">
        <f t="shared" si="529"/>
        <v>0.2082789955950014</v>
      </c>
      <c r="BP645" s="197">
        <f t="shared" si="502"/>
        <v>65.620924669625111</v>
      </c>
      <c r="BQ645" s="197">
        <f t="shared" si="503"/>
        <v>9.9596940000000009E-2</v>
      </c>
      <c r="BR645" s="288">
        <f t="shared" si="504"/>
        <v>0.16008975919012108</v>
      </c>
      <c r="BS645" s="197">
        <f t="shared" si="505"/>
        <v>0.11660930017110901</v>
      </c>
      <c r="BT645" s="197">
        <f t="shared" si="506"/>
        <v>0.36419974881911377</v>
      </c>
      <c r="BU645" s="197">
        <f t="shared" si="507"/>
        <v>0.1713930788771201</v>
      </c>
      <c r="BV645" s="197">
        <f t="shared" si="508"/>
        <v>0.53530306917875781</v>
      </c>
      <c r="BW645" s="194"/>
      <c r="BX645" s="194"/>
      <c r="BY645" s="194"/>
      <c r="BZ645" s="194"/>
      <c r="CA645" s="194"/>
      <c r="CB645" s="194"/>
      <c r="CC645" s="194"/>
      <c r="CD645" s="194"/>
      <c r="CE645" s="194"/>
      <c r="CF645" s="194"/>
      <c r="CG645" s="194"/>
      <c r="CH645" s="194"/>
      <c r="CI645" s="194"/>
      <c r="CJ645" s="194"/>
      <c r="CK645" s="194"/>
      <c r="CL645" s="194"/>
      <c r="CM645" s="194"/>
      <c r="CN645" s="194"/>
      <c r="CO645" s="194"/>
      <c r="CP645" s="194"/>
      <c r="CQ645" s="194"/>
      <c r="CR645" s="194"/>
      <c r="CS645" s="194"/>
      <c r="CT645" s="194"/>
      <c r="CU645" s="194"/>
      <c r="CV645" s="194"/>
      <c r="CW645" s="194"/>
      <c r="CX645" s="194"/>
      <c r="CY645" s="194"/>
      <c r="CZ645" s="194"/>
      <c r="DA645" s="194"/>
      <c r="DB645" s="194"/>
      <c r="DC645" s="194"/>
      <c r="DD645" s="194"/>
      <c r="DE645" s="194"/>
      <c r="DF645" s="194"/>
    </row>
    <row r="646" spans="2:110" s="192" customFormat="1" hidden="1" x14ac:dyDescent="0.35">
      <c r="B646" s="289"/>
      <c r="C646" s="289"/>
      <c r="Q646" s="193"/>
      <c r="R646" s="194">
        <f t="shared" si="509"/>
        <v>18</v>
      </c>
      <c r="S646" s="197">
        <f t="shared" si="475"/>
        <v>0.3888888888888889</v>
      </c>
      <c r="T646" s="194">
        <f t="shared" si="530"/>
        <v>0.69</v>
      </c>
      <c r="U646" s="194">
        <f t="shared" si="531"/>
        <v>1.4999999999999999E-4</v>
      </c>
      <c r="V646" s="197">
        <f t="shared" si="510"/>
        <v>0.3888888888888889</v>
      </c>
      <c r="W646" s="197">
        <f t="shared" si="476"/>
        <v>4.3555555555555561E-3</v>
      </c>
      <c r="X646" s="286">
        <f t="shared" si="477"/>
        <v>1</v>
      </c>
      <c r="Y646" s="286">
        <f t="shared" si="478"/>
        <v>0.17335969315081967</v>
      </c>
      <c r="Z646" s="286">
        <f t="shared" si="479"/>
        <v>0.54964853345132902</v>
      </c>
      <c r="AA646" s="286">
        <f t="shared" si="511"/>
        <v>0.17335969315081967</v>
      </c>
      <c r="AB646" s="197">
        <f t="shared" si="480"/>
        <v>0.36419974881911377</v>
      </c>
      <c r="AC646" s="287">
        <f t="shared" si="481"/>
        <v>4.4451203372005044E-7</v>
      </c>
      <c r="AD646" s="197">
        <f t="shared" si="512"/>
        <v>11.693936048110356</v>
      </c>
      <c r="AE646" s="197">
        <f t="shared" si="513"/>
        <v>35.08180814433107</v>
      </c>
      <c r="AF646" s="197">
        <f t="shared" si="514"/>
        <v>8.5178571428571423E-2</v>
      </c>
      <c r="AG646" s="197">
        <f t="shared" si="515"/>
        <v>0.25553571428571431</v>
      </c>
      <c r="AH646" s="197">
        <f t="shared" si="482"/>
        <v>0.11660930017110901</v>
      </c>
      <c r="AI646" s="197">
        <f t="shared" si="516"/>
        <v>0.11660930017110901</v>
      </c>
      <c r="AJ646" s="218">
        <f t="shared" si="483"/>
        <v>390.00000000000006</v>
      </c>
      <c r="AK646" s="197">
        <f t="shared" si="517"/>
        <v>6.0930617977437734E-2</v>
      </c>
      <c r="AL646" s="197">
        <f t="shared" si="518"/>
        <v>9.6203707235237593E-2</v>
      </c>
      <c r="AM646" s="197">
        <f t="shared" si="519"/>
        <v>4.0790371867740751E-3</v>
      </c>
      <c r="AN646" s="197">
        <f t="shared" si="484"/>
        <v>24.05</v>
      </c>
      <c r="AO646" s="197">
        <f t="shared" si="485"/>
        <v>21.69</v>
      </c>
      <c r="AP646" s="197">
        <f t="shared" si="520"/>
        <v>7.4093290390420161E-2</v>
      </c>
      <c r="AQ646" s="197">
        <f t="shared" si="521"/>
        <v>0.42250439890466829</v>
      </c>
      <c r="AR646" s="197">
        <f t="shared" si="522"/>
        <v>0.30589509873355925</v>
      </c>
      <c r="AS646" s="258">
        <f t="shared" si="523"/>
        <v>0.15228632177729159</v>
      </c>
      <c r="AT646" s="197">
        <f t="shared" si="486"/>
        <v>2.5974058656511614E-4</v>
      </c>
      <c r="AU646" s="194">
        <f t="shared" si="487"/>
        <v>21.19</v>
      </c>
      <c r="AV646" s="197">
        <f t="shared" si="488"/>
        <v>2.7E-2</v>
      </c>
      <c r="AW646" s="197">
        <f t="shared" si="489"/>
        <v>3.4260000000000002E-3</v>
      </c>
      <c r="AX646" s="197">
        <f t="shared" si="524"/>
        <v>6.1668000000000001E-2</v>
      </c>
      <c r="AY646" s="197">
        <f t="shared" si="490"/>
        <v>2.8867476000000005E-3</v>
      </c>
      <c r="AZ646" s="197">
        <f t="shared" si="491"/>
        <v>0</v>
      </c>
      <c r="BA646" s="197">
        <f t="shared" si="525"/>
        <v>7.2596940000000013E-2</v>
      </c>
      <c r="BB646" s="258">
        <f t="shared" si="492"/>
        <v>0.36575210336206115</v>
      </c>
      <c r="BC646" s="197">
        <f t="shared" si="493"/>
        <v>2.2380490766334034E-2</v>
      </c>
      <c r="BD646" s="197">
        <f t="shared" si="526"/>
        <v>4.4760981532668068E-3</v>
      </c>
      <c r="BE646" s="197">
        <f t="shared" si="527"/>
        <v>2.6856588919600841E-2</v>
      </c>
      <c r="BF646" s="197">
        <f t="shared" si="494"/>
        <v>0.20773291256157633</v>
      </c>
      <c r="BG646" s="197">
        <f t="shared" si="495"/>
        <v>5.4608303342508187E-4</v>
      </c>
      <c r="BH646" s="197">
        <f t="shared" si="496"/>
        <v>3.5336687086656722E-2</v>
      </c>
      <c r="BI646" s="197">
        <f t="shared" si="528"/>
        <v>0.44730899017824427</v>
      </c>
      <c r="BJ646" s="197">
        <f t="shared" si="497"/>
        <v>6.769615024661003</v>
      </c>
      <c r="BK646" s="288">
        <f t="shared" si="498"/>
        <v>0.93392401361838984</v>
      </c>
      <c r="BL646" s="197">
        <f t="shared" si="499"/>
        <v>0.37608972359227794</v>
      </c>
      <c r="BM646" s="197">
        <f t="shared" si="500"/>
        <v>7.4353030976985271E-2</v>
      </c>
      <c r="BN646" s="197">
        <f t="shared" si="501"/>
        <v>54.461181858619113</v>
      </c>
      <c r="BO646" s="197">
        <f t="shared" si="529"/>
        <v>0.2082789955950014</v>
      </c>
      <c r="BP646" s="197">
        <f t="shared" si="502"/>
        <v>65.620924669625111</v>
      </c>
      <c r="BQ646" s="197">
        <f t="shared" si="503"/>
        <v>9.9596940000000009E-2</v>
      </c>
      <c r="BR646" s="288">
        <f t="shared" si="504"/>
        <v>0.16008975919012108</v>
      </c>
      <c r="BS646" s="197">
        <f t="shared" si="505"/>
        <v>0.11660930017110901</v>
      </c>
      <c r="BT646" s="197">
        <f t="shared" si="506"/>
        <v>0.36419974881911377</v>
      </c>
      <c r="BU646" s="197">
        <f t="shared" si="507"/>
        <v>0.1713930788771201</v>
      </c>
      <c r="BV646" s="197">
        <f t="shared" si="508"/>
        <v>0.53530306917875781</v>
      </c>
      <c r="BW646" s="194"/>
      <c r="BX646" s="194"/>
      <c r="BY646" s="194"/>
      <c r="BZ646" s="194"/>
      <c r="CA646" s="194"/>
      <c r="CB646" s="194"/>
      <c r="CC646" s="194"/>
      <c r="CD646" s="194"/>
      <c r="CE646" s="194"/>
      <c r="CF646" s="194"/>
      <c r="CG646" s="194"/>
      <c r="CH646" s="194"/>
      <c r="CI646" s="194"/>
      <c r="CJ646" s="194"/>
      <c r="CK646" s="194"/>
      <c r="CL646" s="194"/>
      <c r="CM646" s="194"/>
      <c r="CN646" s="194"/>
      <c r="CO646" s="194"/>
      <c r="CP646" s="194"/>
      <c r="CQ646" s="194"/>
      <c r="CR646" s="194"/>
      <c r="CS646" s="194"/>
      <c r="CT646" s="194"/>
      <c r="CU646" s="194"/>
      <c r="CV646" s="194"/>
      <c r="CW646" s="194"/>
      <c r="CX646" s="194"/>
      <c r="CY646" s="194"/>
      <c r="CZ646" s="194"/>
      <c r="DA646" s="194"/>
      <c r="DB646" s="194"/>
      <c r="DC646" s="194"/>
      <c r="DD646" s="194"/>
      <c r="DE646" s="194"/>
      <c r="DF646" s="194"/>
    </row>
    <row r="647" spans="2:110" s="192" customFormat="1" hidden="1" x14ac:dyDescent="0.35">
      <c r="B647" s="289"/>
      <c r="C647" s="289"/>
      <c r="Q647" s="193"/>
      <c r="R647" s="194">
        <f t="shared" si="509"/>
        <v>18</v>
      </c>
      <c r="S647" s="197">
        <f t="shared" si="475"/>
        <v>0.3888888888888889</v>
      </c>
      <c r="T647" s="194">
        <f t="shared" si="530"/>
        <v>0.69</v>
      </c>
      <c r="U647" s="194">
        <f t="shared" si="531"/>
        <v>1.4999999999999999E-4</v>
      </c>
      <c r="V647" s="197">
        <f t="shared" si="510"/>
        <v>0.3888888888888889</v>
      </c>
      <c r="W647" s="197">
        <f t="shared" si="476"/>
        <v>4.3555555555555561E-3</v>
      </c>
      <c r="X647" s="286">
        <f t="shared" si="477"/>
        <v>1</v>
      </c>
      <c r="Y647" s="286">
        <f t="shared" si="478"/>
        <v>0.17335969315081967</v>
      </c>
      <c r="Z647" s="286">
        <f t="shared" si="479"/>
        <v>0.54964853345132902</v>
      </c>
      <c r="AA647" s="286">
        <f t="shared" si="511"/>
        <v>0.17335969315081967</v>
      </c>
      <c r="AB647" s="197">
        <f t="shared" si="480"/>
        <v>0.36419974881911377</v>
      </c>
      <c r="AC647" s="287">
        <f t="shared" si="481"/>
        <v>4.4451203372005044E-7</v>
      </c>
      <c r="AD647" s="197">
        <f t="shared" si="512"/>
        <v>11.693936048110356</v>
      </c>
      <c r="AE647" s="197">
        <f t="shared" si="513"/>
        <v>35.08180814433107</v>
      </c>
      <c r="AF647" s="197">
        <f t="shared" si="514"/>
        <v>8.5178571428571423E-2</v>
      </c>
      <c r="AG647" s="197">
        <f t="shared" si="515"/>
        <v>0.25553571428571431</v>
      </c>
      <c r="AH647" s="197">
        <f t="shared" si="482"/>
        <v>0.11660930017110901</v>
      </c>
      <c r="AI647" s="197">
        <f t="shared" si="516"/>
        <v>0.11660930017110901</v>
      </c>
      <c r="AJ647" s="218">
        <f t="shared" si="483"/>
        <v>390.00000000000006</v>
      </c>
      <c r="AK647" s="197">
        <f t="shared" si="517"/>
        <v>6.0930617977437734E-2</v>
      </c>
      <c r="AL647" s="197">
        <f t="shared" si="518"/>
        <v>9.6203707235237593E-2</v>
      </c>
      <c r="AM647" s="197">
        <f t="shared" si="519"/>
        <v>4.0790371867740751E-3</v>
      </c>
      <c r="AN647" s="197">
        <f t="shared" si="484"/>
        <v>24.05</v>
      </c>
      <c r="AO647" s="197">
        <f t="shared" si="485"/>
        <v>21.69</v>
      </c>
      <c r="AP647" s="197">
        <f t="shared" si="520"/>
        <v>7.4093290390420161E-2</v>
      </c>
      <c r="AQ647" s="197">
        <f t="shared" si="521"/>
        <v>0.42250439890466829</v>
      </c>
      <c r="AR647" s="197">
        <f t="shared" si="522"/>
        <v>0.30589509873355925</v>
      </c>
      <c r="AS647" s="258">
        <f t="shared" si="523"/>
        <v>0.15228632177729159</v>
      </c>
      <c r="AT647" s="197">
        <f t="shared" si="486"/>
        <v>2.5974058656511614E-4</v>
      </c>
      <c r="AU647" s="194">
        <f t="shared" si="487"/>
        <v>21.19</v>
      </c>
      <c r="AV647" s="197">
        <f t="shared" si="488"/>
        <v>2.7E-2</v>
      </c>
      <c r="AW647" s="197">
        <f t="shared" si="489"/>
        <v>3.4260000000000002E-3</v>
      </c>
      <c r="AX647" s="197">
        <f t="shared" si="524"/>
        <v>6.1668000000000001E-2</v>
      </c>
      <c r="AY647" s="197">
        <f t="shared" si="490"/>
        <v>2.8867476000000005E-3</v>
      </c>
      <c r="AZ647" s="197">
        <f t="shared" si="491"/>
        <v>0</v>
      </c>
      <c r="BA647" s="197">
        <f t="shared" si="525"/>
        <v>7.2596940000000013E-2</v>
      </c>
      <c r="BB647" s="258">
        <f t="shared" si="492"/>
        <v>0.36575210336206115</v>
      </c>
      <c r="BC647" s="197">
        <f t="shared" si="493"/>
        <v>2.2380490766334034E-2</v>
      </c>
      <c r="BD647" s="197">
        <f t="shared" si="526"/>
        <v>4.4760981532668068E-3</v>
      </c>
      <c r="BE647" s="197">
        <f t="shared" si="527"/>
        <v>2.6856588919600841E-2</v>
      </c>
      <c r="BF647" s="197">
        <f t="shared" si="494"/>
        <v>0.20773291256157633</v>
      </c>
      <c r="BG647" s="197">
        <f t="shared" si="495"/>
        <v>5.4608303342508187E-4</v>
      </c>
      <c r="BH647" s="197">
        <f t="shared" si="496"/>
        <v>3.5336687086656722E-2</v>
      </c>
      <c r="BI647" s="197">
        <f t="shared" si="528"/>
        <v>0.44730899017824427</v>
      </c>
      <c r="BJ647" s="197">
        <f t="shared" si="497"/>
        <v>6.769615024661003</v>
      </c>
      <c r="BK647" s="288">
        <f t="shared" si="498"/>
        <v>0.93392401361838984</v>
      </c>
      <c r="BL647" s="197">
        <f t="shared" si="499"/>
        <v>0.37608972359227794</v>
      </c>
      <c r="BM647" s="197">
        <f t="shared" si="500"/>
        <v>7.4353030976985271E-2</v>
      </c>
      <c r="BN647" s="197">
        <f t="shared" si="501"/>
        <v>54.461181858619113</v>
      </c>
      <c r="BO647" s="197">
        <f t="shared" si="529"/>
        <v>0.2082789955950014</v>
      </c>
      <c r="BP647" s="197">
        <f t="shared" si="502"/>
        <v>65.620924669625111</v>
      </c>
      <c r="BQ647" s="197">
        <f t="shared" si="503"/>
        <v>9.9596940000000009E-2</v>
      </c>
      <c r="BR647" s="288">
        <f t="shared" si="504"/>
        <v>0.16008975919012108</v>
      </c>
      <c r="BS647" s="197">
        <f t="shared" si="505"/>
        <v>0.11660930017110901</v>
      </c>
      <c r="BT647" s="197">
        <f t="shared" si="506"/>
        <v>0.36419974881911377</v>
      </c>
      <c r="BU647" s="197">
        <f t="shared" si="507"/>
        <v>0.1713930788771201</v>
      </c>
      <c r="BV647" s="197">
        <f t="shared" si="508"/>
        <v>0.53530306917875781</v>
      </c>
      <c r="BW647" s="194"/>
      <c r="BX647" s="194"/>
      <c r="BY647" s="194"/>
      <c r="BZ647" s="194"/>
      <c r="CA647" s="194"/>
      <c r="CB647" s="194"/>
      <c r="CC647" s="194"/>
      <c r="CD647" s="194"/>
      <c r="CE647" s="194"/>
      <c r="CF647" s="194"/>
      <c r="CG647" s="194"/>
      <c r="CH647" s="194"/>
      <c r="CI647" s="194"/>
      <c r="CJ647" s="194"/>
      <c r="CK647" s="194"/>
      <c r="CL647" s="194"/>
      <c r="CM647" s="194"/>
      <c r="CN647" s="194"/>
      <c r="CO647" s="194"/>
      <c r="CP647" s="194"/>
      <c r="CQ647" s="194"/>
      <c r="CR647" s="194"/>
      <c r="CS647" s="194"/>
      <c r="CT647" s="194"/>
      <c r="CU647" s="194"/>
      <c r="CV647" s="194"/>
      <c r="CW647" s="194"/>
      <c r="CX647" s="194"/>
      <c r="CY647" s="194"/>
      <c r="CZ647" s="194"/>
      <c r="DA647" s="194"/>
      <c r="DB647" s="194"/>
      <c r="DC647" s="194"/>
      <c r="DD647" s="194"/>
      <c r="DE647" s="194"/>
      <c r="DF647" s="194"/>
    </row>
    <row r="648" spans="2:110" s="192" customFormat="1" hidden="1" x14ac:dyDescent="0.35">
      <c r="B648" s="289"/>
      <c r="C648" s="289"/>
      <c r="Q648" s="193"/>
      <c r="R648" s="194">
        <f t="shared" si="509"/>
        <v>18</v>
      </c>
      <c r="S648" s="197">
        <f t="shared" si="475"/>
        <v>0.3888888888888889</v>
      </c>
      <c r="T648" s="194">
        <f t="shared" si="530"/>
        <v>0.69</v>
      </c>
      <c r="U648" s="194">
        <f t="shared" si="531"/>
        <v>1.4999999999999999E-4</v>
      </c>
      <c r="V648" s="197">
        <f t="shared" si="510"/>
        <v>0.3888888888888889</v>
      </c>
      <c r="W648" s="197">
        <f t="shared" si="476"/>
        <v>4.3555555555555561E-3</v>
      </c>
      <c r="X648" s="286">
        <f t="shared" si="477"/>
        <v>1</v>
      </c>
      <c r="Y648" s="286">
        <f t="shared" si="478"/>
        <v>0.17335969315081967</v>
      </c>
      <c r="Z648" s="286">
        <f t="shared" si="479"/>
        <v>0.54964853345132902</v>
      </c>
      <c r="AA648" s="286">
        <f t="shared" si="511"/>
        <v>0.17335969315081967</v>
      </c>
      <c r="AB648" s="197">
        <f t="shared" si="480"/>
        <v>0.36419974881911377</v>
      </c>
      <c r="AC648" s="287">
        <f t="shared" si="481"/>
        <v>4.4451203372005044E-7</v>
      </c>
      <c r="AD648" s="197">
        <f t="shared" si="512"/>
        <v>11.693936048110356</v>
      </c>
      <c r="AE648" s="197">
        <f t="shared" si="513"/>
        <v>35.08180814433107</v>
      </c>
      <c r="AF648" s="197">
        <f t="shared" si="514"/>
        <v>8.5178571428571423E-2</v>
      </c>
      <c r="AG648" s="197">
        <f t="shared" si="515"/>
        <v>0.25553571428571431</v>
      </c>
      <c r="AH648" s="197">
        <f t="shared" si="482"/>
        <v>0.11660930017110901</v>
      </c>
      <c r="AI648" s="197">
        <f t="shared" si="516"/>
        <v>0.11660930017110901</v>
      </c>
      <c r="AJ648" s="218">
        <f t="shared" si="483"/>
        <v>390.00000000000006</v>
      </c>
      <c r="AK648" s="197">
        <f t="shared" si="517"/>
        <v>6.0930617977437734E-2</v>
      </c>
      <c r="AL648" s="197">
        <f t="shared" si="518"/>
        <v>9.6203707235237593E-2</v>
      </c>
      <c r="AM648" s="197">
        <f t="shared" si="519"/>
        <v>4.0790371867740751E-3</v>
      </c>
      <c r="AN648" s="197">
        <f t="shared" si="484"/>
        <v>24.05</v>
      </c>
      <c r="AO648" s="197">
        <f t="shared" si="485"/>
        <v>21.69</v>
      </c>
      <c r="AP648" s="197">
        <f t="shared" si="520"/>
        <v>7.4093290390420161E-2</v>
      </c>
      <c r="AQ648" s="197">
        <f t="shared" si="521"/>
        <v>0.42250439890466829</v>
      </c>
      <c r="AR648" s="197">
        <f t="shared" si="522"/>
        <v>0.30589509873355925</v>
      </c>
      <c r="AS648" s="258">
        <f t="shared" si="523"/>
        <v>0.15228632177729159</v>
      </c>
      <c r="AT648" s="197">
        <f t="shared" si="486"/>
        <v>2.5974058656511614E-4</v>
      </c>
      <c r="AU648" s="194">
        <f t="shared" si="487"/>
        <v>21.19</v>
      </c>
      <c r="AV648" s="197">
        <f t="shared" si="488"/>
        <v>2.7E-2</v>
      </c>
      <c r="AW648" s="197">
        <f t="shared" si="489"/>
        <v>3.4260000000000002E-3</v>
      </c>
      <c r="AX648" s="197">
        <f t="shared" si="524"/>
        <v>6.1668000000000001E-2</v>
      </c>
      <c r="AY648" s="197">
        <f t="shared" si="490"/>
        <v>2.8867476000000005E-3</v>
      </c>
      <c r="AZ648" s="197">
        <f t="shared" si="491"/>
        <v>0</v>
      </c>
      <c r="BA648" s="197">
        <f t="shared" si="525"/>
        <v>7.2596940000000013E-2</v>
      </c>
      <c r="BB648" s="258">
        <f t="shared" si="492"/>
        <v>0.36575210336206115</v>
      </c>
      <c r="BC648" s="197">
        <f t="shared" si="493"/>
        <v>2.2380490766334034E-2</v>
      </c>
      <c r="BD648" s="197">
        <f t="shared" si="526"/>
        <v>4.4760981532668068E-3</v>
      </c>
      <c r="BE648" s="197">
        <f t="shared" si="527"/>
        <v>2.6856588919600841E-2</v>
      </c>
      <c r="BF648" s="197">
        <f t="shared" si="494"/>
        <v>0.20773291256157633</v>
      </c>
      <c r="BG648" s="197">
        <f t="shared" si="495"/>
        <v>5.4608303342508187E-4</v>
      </c>
      <c r="BH648" s="197">
        <f t="shared" si="496"/>
        <v>3.5336687086656722E-2</v>
      </c>
      <c r="BI648" s="197">
        <f t="shared" si="528"/>
        <v>0.44730899017824427</v>
      </c>
      <c r="BJ648" s="197">
        <f t="shared" si="497"/>
        <v>6.769615024661003</v>
      </c>
      <c r="BK648" s="288">
        <f t="shared" si="498"/>
        <v>0.93392401361838984</v>
      </c>
      <c r="BL648" s="197">
        <f t="shared" si="499"/>
        <v>0.37608972359227794</v>
      </c>
      <c r="BM648" s="197">
        <f t="shared" si="500"/>
        <v>7.4353030976985271E-2</v>
      </c>
      <c r="BN648" s="197">
        <f t="shared" si="501"/>
        <v>54.461181858619113</v>
      </c>
      <c r="BO648" s="197">
        <f t="shared" si="529"/>
        <v>0.2082789955950014</v>
      </c>
      <c r="BP648" s="197">
        <f t="shared" si="502"/>
        <v>65.620924669625111</v>
      </c>
      <c r="BQ648" s="197">
        <f t="shared" si="503"/>
        <v>9.9596940000000009E-2</v>
      </c>
      <c r="BR648" s="288">
        <f t="shared" si="504"/>
        <v>0.16008975919012108</v>
      </c>
      <c r="BS648" s="197">
        <f t="shared" si="505"/>
        <v>0.11660930017110901</v>
      </c>
      <c r="BT648" s="197">
        <f t="shared" si="506"/>
        <v>0.36419974881911377</v>
      </c>
      <c r="BU648" s="197">
        <f t="shared" si="507"/>
        <v>0.1713930788771201</v>
      </c>
      <c r="BV648" s="197">
        <f t="shared" si="508"/>
        <v>0.53530306917875781</v>
      </c>
      <c r="BW648" s="194"/>
      <c r="BX648" s="194"/>
      <c r="BY648" s="194"/>
      <c r="BZ648" s="194"/>
      <c r="CA648" s="194"/>
      <c r="CB648" s="194"/>
      <c r="CC648" s="194"/>
      <c r="CD648" s="194"/>
      <c r="CE648" s="194"/>
      <c r="CF648" s="194"/>
      <c r="CG648" s="194"/>
      <c r="CH648" s="194"/>
      <c r="CI648" s="194"/>
      <c r="CJ648" s="194"/>
      <c r="CK648" s="194"/>
      <c r="CL648" s="194"/>
      <c r="CM648" s="194"/>
      <c r="CN648" s="194"/>
      <c r="CO648" s="194"/>
      <c r="CP648" s="194"/>
      <c r="CQ648" s="194"/>
      <c r="CR648" s="194"/>
      <c r="CS648" s="194"/>
      <c r="CT648" s="194"/>
      <c r="CU648" s="194"/>
      <c r="CV648" s="194"/>
      <c r="CW648" s="194"/>
      <c r="CX648" s="194"/>
      <c r="CY648" s="194"/>
      <c r="CZ648" s="194"/>
      <c r="DA648" s="194"/>
      <c r="DB648" s="194"/>
      <c r="DC648" s="194"/>
      <c r="DD648" s="194"/>
      <c r="DE648" s="194"/>
      <c r="DF648" s="194"/>
    </row>
    <row r="649" spans="2:110" s="192" customFormat="1" hidden="1" x14ac:dyDescent="0.35">
      <c r="B649" s="289"/>
      <c r="C649" s="289"/>
      <c r="Q649" s="193"/>
      <c r="R649" s="194">
        <f t="shared" si="509"/>
        <v>18</v>
      </c>
      <c r="S649" s="197">
        <f t="shared" si="475"/>
        <v>0.3888888888888889</v>
      </c>
      <c r="T649" s="194">
        <f t="shared" si="530"/>
        <v>0.69</v>
      </c>
      <c r="U649" s="194">
        <f t="shared" si="531"/>
        <v>1.4999999999999999E-4</v>
      </c>
      <c r="V649" s="197">
        <f t="shared" si="510"/>
        <v>0.3888888888888889</v>
      </c>
      <c r="W649" s="197">
        <f t="shared" si="476"/>
        <v>4.3555555555555561E-3</v>
      </c>
      <c r="X649" s="286">
        <f t="shared" si="477"/>
        <v>1</v>
      </c>
      <c r="Y649" s="286">
        <f t="shared" si="478"/>
        <v>0.17335969315081967</v>
      </c>
      <c r="Z649" s="286">
        <f t="shared" si="479"/>
        <v>0.54964853345132902</v>
      </c>
      <c r="AA649" s="286">
        <f t="shared" si="511"/>
        <v>0.17335969315081967</v>
      </c>
      <c r="AB649" s="197">
        <f t="shared" si="480"/>
        <v>0.36419974881911377</v>
      </c>
      <c r="AC649" s="287">
        <f t="shared" si="481"/>
        <v>4.4451203372005044E-7</v>
      </c>
      <c r="AD649" s="197">
        <f t="shared" si="512"/>
        <v>11.693936048110356</v>
      </c>
      <c r="AE649" s="197">
        <f t="shared" si="513"/>
        <v>35.08180814433107</v>
      </c>
      <c r="AF649" s="197">
        <f t="shared" si="514"/>
        <v>8.5178571428571423E-2</v>
      </c>
      <c r="AG649" s="197">
        <f t="shared" si="515"/>
        <v>0.25553571428571431</v>
      </c>
      <c r="AH649" s="197">
        <f t="shared" si="482"/>
        <v>0.11660930017110901</v>
      </c>
      <c r="AI649" s="197">
        <f t="shared" si="516"/>
        <v>0.11660930017110901</v>
      </c>
      <c r="AJ649" s="218">
        <f t="shared" si="483"/>
        <v>390.00000000000006</v>
      </c>
      <c r="AK649" s="197">
        <f t="shared" si="517"/>
        <v>6.0930617977437734E-2</v>
      </c>
      <c r="AL649" s="197">
        <f t="shared" si="518"/>
        <v>9.6203707235237593E-2</v>
      </c>
      <c r="AM649" s="197">
        <f t="shared" si="519"/>
        <v>4.0790371867740751E-3</v>
      </c>
      <c r="AN649" s="197">
        <f t="shared" si="484"/>
        <v>24.05</v>
      </c>
      <c r="AO649" s="197">
        <f t="shared" si="485"/>
        <v>21.69</v>
      </c>
      <c r="AP649" s="197">
        <f t="shared" si="520"/>
        <v>7.4093290390420161E-2</v>
      </c>
      <c r="AQ649" s="197">
        <f t="shared" si="521"/>
        <v>0.42250439890466829</v>
      </c>
      <c r="AR649" s="197">
        <f t="shared" si="522"/>
        <v>0.30589509873355925</v>
      </c>
      <c r="AS649" s="258">
        <f t="shared" si="523"/>
        <v>0.15228632177729159</v>
      </c>
      <c r="AT649" s="197">
        <f t="shared" si="486"/>
        <v>2.5974058656511614E-4</v>
      </c>
      <c r="AU649" s="194">
        <f t="shared" si="487"/>
        <v>21.19</v>
      </c>
      <c r="AV649" s="197">
        <f t="shared" si="488"/>
        <v>2.7E-2</v>
      </c>
      <c r="AW649" s="197">
        <f t="shared" si="489"/>
        <v>3.4260000000000002E-3</v>
      </c>
      <c r="AX649" s="197">
        <f t="shared" si="524"/>
        <v>6.1668000000000001E-2</v>
      </c>
      <c r="AY649" s="197">
        <f t="shared" si="490"/>
        <v>2.8867476000000005E-3</v>
      </c>
      <c r="AZ649" s="197">
        <f t="shared" si="491"/>
        <v>0</v>
      </c>
      <c r="BA649" s="197">
        <f t="shared" si="525"/>
        <v>7.2596940000000013E-2</v>
      </c>
      <c r="BB649" s="258">
        <f t="shared" si="492"/>
        <v>0.36575210336206115</v>
      </c>
      <c r="BC649" s="197">
        <f t="shared" si="493"/>
        <v>2.2380490766334034E-2</v>
      </c>
      <c r="BD649" s="197">
        <f t="shared" si="526"/>
        <v>4.4760981532668068E-3</v>
      </c>
      <c r="BE649" s="197">
        <f t="shared" si="527"/>
        <v>2.6856588919600841E-2</v>
      </c>
      <c r="BF649" s="197">
        <f t="shared" si="494"/>
        <v>0.20773291256157633</v>
      </c>
      <c r="BG649" s="197">
        <f t="shared" si="495"/>
        <v>5.4608303342508187E-4</v>
      </c>
      <c r="BH649" s="197">
        <f t="shared" si="496"/>
        <v>3.5336687086656722E-2</v>
      </c>
      <c r="BI649" s="197">
        <f t="shared" si="528"/>
        <v>0.44730899017824427</v>
      </c>
      <c r="BJ649" s="197">
        <f t="shared" si="497"/>
        <v>6.769615024661003</v>
      </c>
      <c r="BK649" s="288">
        <f t="shared" si="498"/>
        <v>0.93392401361838984</v>
      </c>
      <c r="BL649" s="197">
        <f t="shared" si="499"/>
        <v>0.37608972359227794</v>
      </c>
      <c r="BM649" s="197">
        <f t="shared" si="500"/>
        <v>7.4353030976985271E-2</v>
      </c>
      <c r="BN649" s="197">
        <f t="shared" si="501"/>
        <v>54.461181858619113</v>
      </c>
      <c r="BO649" s="197">
        <f t="shared" si="529"/>
        <v>0.2082789955950014</v>
      </c>
      <c r="BP649" s="197">
        <f t="shared" si="502"/>
        <v>65.620924669625111</v>
      </c>
      <c r="BQ649" s="197">
        <f t="shared" si="503"/>
        <v>9.9596940000000009E-2</v>
      </c>
      <c r="BR649" s="288">
        <f t="shared" si="504"/>
        <v>0.16008975919012108</v>
      </c>
      <c r="BS649" s="197">
        <f t="shared" si="505"/>
        <v>0.11660930017110901</v>
      </c>
      <c r="BT649" s="197">
        <f t="shared" si="506"/>
        <v>0.36419974881911377</v>
      </c>
      <c r="BU649" s="197">
        <f t="shared" si="507"/>
        <v>0.1713930788771201</v>
      </c>
      <c r="BV649" s="197">
        <f t="shared" si="508"/>
        <v>0.53530306917875781</v>
      </c>
      <c r="BW649" s="194"/>
      <c r="BX649" s="194"/>
      <c r="BY649" s="194"/>
      <c r="BZ649" s="194"/>
      <c r="CA649" s="194"/>
      <c r="CB649" s="194"/>
      <c r="CC649" s="194"/>
      <c r="CD649" s="194"/>
      <c r="CE649" s="194"/>
      <c r="CF649" s="194"/>
      <c r="CG649" s="194"/>
      <c r="CH649" s="194"/>
      <c r="CI649" s="194"/>
      <c r="CJ649" s="194"/>
      <c r="CK649" s="194"/>
      <c r="CL649" s="194"/>
      <c r="CM649" s="194"/>
      <c r="CN649" s="194"/>
      <c r="CO649" s="194"/>
      <c r="CP649" s="194"/>
      <c r="CQ649" s="194"/>
      <c r="CR649" s="194"/>
      <c r="CS649" s="194"/>
      <c r="CT649" s="194"/>
      <c r="CU649" s="194"/>
      <c r="CV649" s="194"/>
      <c r="CW649" s="194"/>
      <c r="CX649" s="194"/>
      <c r="CY649" s="194"/>
      <c r="CZ649" s="194"/>
      <c r="DA649" s="194"/>
      <c r="DB649" s="194"/>
      <c r="DC649" s="194"/>
      <c r="DD649" s="194"/>
      <c r="DE649" s="194"/>
      <c r="DF649" s="194"/>
    </row>
    <row r="650" spans="2:110" s="192" customFormat="1" hidden="1" x14ac:dyDescent="0.35">
      <c r="B650" s="289"/>
      <c r="C650" s="289"/>
      <c r="Q650" s="193"/>
      <c r="R650" s="194">
        <f t="shared" si="509"/>
        <v>18</v>
      </c>
      <c r="S650" s="197">
        <f t="shared" si="475"/>
        <v>0.3888888888888889</v>
      </c>
      <c r="T650" s="194">
        <f t="shared" si="530"/>
        <v>0.69</v>
      </c>
      <c r="U650" s="194">
        <f t="shared" si="531"/>
        <v>1.4999999999999999E-4</v>
      </c>
      <c r="V650" s="197">
        <f t="shared" si="510"/>
        <v>0.3888888888888889</v>
      </c>
      <c r="W650" s="197">
        <f t="shared" si="476"/>
        <v>4.3555555555555561E-3</v>
      </c>
      <c r="X650" s="286">
        <f t="shared" si="477"/>
        <v>1</v>
      </c>
      <c r="Y650" s="286">
        <f t="shared" si="478"/>
        <v>0.17335969315081967</v>
      </c>
      <c r="Z650" s="286">
        <f t="shared" si="479"/>
        <v>0.54964853345132902</v>
      </c>
      <c r="AA650" s="286">
        <f t="shared" si="511"/>
        <v>0.17335969315081967</v>
      </c>
      <c r="AB650" s="197">
        <f t="shared" si="480"/>
        <v>0.36419974881911377</v>
      </c>
      <c r="AC650" s="287">
        <f t="shared" si="481"/>
        <v>4.4451203372005044E-7</v>
      </c>
      <c r="AD650" s="197">
        <f t="shared" si="512"/>
        <v>11.693936048110356</v>
      </c>
      <c r="AE650" s="197">
        <f t="shared" si="513"/>
        <v>35.08180814433107</v>
      </c>
      <c r="AF650" s="197">
        <f t="shared" si="514"/>
        <v>8.5178571428571423E-2</v>
      </c>
      <c r="AG650" s="197">
        <f t="shared" si="515"/>
        <v>0.25553571428571431</v>
      </c>
      <c r="AH650" s="197">
        <f t="shared" si="482"/>
        <v>0.11660930017110901</v>
      </c>
      <c r="AI650" s="197">
        <f t="shared" si="516"/>
        <v>0.11660930017110901</v>
      </c>
      <c r="AJ650" s="218">
        <f t="shared" si="483"/>
        <v>390.00000000000006</v>
      </c>
      <c r="AK650" s="197">
        <f t="shared" si="517"/>
        <v>6.0930617977437734E-2</v>
      </c>
      <c r="AL650" s="197">
        <f t="shared" si="518"/>
        <v>9.6203707235237593E-2</v>
      </c>
      <c r="AM650" s="197">
        <f t="shared" si="519"/>
        <v>4.0790371867740751E-3</v>
      </c>
      <c r="AN650" s="197">
        <f t="shared" si="484"/>
        <v>24.05</v>
      </c>
      <c r="AO650" s="197">
        <f t="shared" si="485"/>
        <v>21.69</v>
      </c>
      <c r="AP650" s="197">
        <f t="shared" si="520"/>
        <v>7.4093290390420161E-2</v>
      </c>
      <c r="AQ650" s="197">
        <f t="shared" si="521"/>
        <v>0.42250439890466829</v>
      </c>
      <c r="AR650" s="197">
        <f t="shared" si="522"/>
        <v>0.30589509873355925</v>
      </c>
      <c r="AS650" s="258">
        <f t="shared" si="523"/>
        <v>0.15228632177729159</v>
      </c>
      <c r="AT650" s="197">
        <f t="shared" si="486"/>
        <v>2.5974058656511614E-4</v>
      </c>
      <c r="AU650" s="194">
        <f t="shared" si="487"/>
        <v>21.19</v>
      </c>
      <c r="AV650" s="197">
        <f t="shared" si="488"/>
        <v>2.7E-2</v>
      </c>
      <c r="AW650" s="197">
        <f t="shared" si="489"/>
        <v>3.4260000000000002E-3</v>
      </c>
      <c r="AX650" s="197">
        <f t="shared" si="524"/>
        <v>6.1668000000000001E-2</v>
      </c>
      <c r="AY650" s="197">
        <f t="shared" si="490"/>
        <v>2.8867476000000005E-3</v>
      </c>
      <c r="AZ650" s="197">
        <f t="shared" si="491"/>
        <v>0</v>
      </c>
      <c r="BA650" s="197">
        <f t="shared" si="525"/>
        <v>7.2596940000000013E-2</v>
      </c>
      <c r="BB650" s="258">
        <f t="shared" si="492"/>
        <v>0.36575210336206115</v>
      </c>
      <c r="BC650" s="197">
        <f t="shared" si="493"/>
        <v>2.2380490766334034E-2</v>
      </c>
      <c r="BD650" s="197">
        <f t="shared" si="526"/>
        <v>4.4760981532668068E-3</v>
      </c>
      <c r="BE650" s="197">
        <f t="shared" si="527"/>
        <v>2.6856588919600841E-2</v>
      </c>
      <c r="BF650" s="197">
        <f t="shared" si="494"/>
        <v>0.20773291256157633</v>
      </c>
      <c r="BG650" s="197">
        <f t="shared" si="495"/>
        <v>5.4608303342508187E-4</v>
      </c>
      <c r="BH650" s="197">
        <f t="shared" si="496"/>
        <v>3.5336687086656722E-2</v>
      </c>
      <c r="BI650" s="197">
        <f t="shared" si="528"/>
        <v>0.44730899017824427</v>
      </c>
      <c r="BJ650" s="197">
        <f t="shared" si="497"/>
        <v>6.769615024661003</v>
      </c>
      <c r="BK650" s="288">
        <f t="shared" si="498"/>
        <v>0.93392401361838984</v>
      </c>
      <c r="BL650" s="197">
        <f t="shared" si="499"/>
        <v>0.37608972359227794</v>
      </c>
      <c r="BM650" s="197">
        <f t="shared" si="500"/>
        <v>7.4353030976985271E-2</v>
      </c>
      <c r="BN650" s="197">
        <f t="shared" si="501"/>
        <v>54.461181858619113</v>
      </c>
      <c r="BO650" s="197">
        <f t="shared" si="529"/>
        <v>0.2082789955950014</v>
      </c>
      <c r="BP650" s="197">
        <f t="shared" si="502"/>
        <v>65.620924669625111</v>
      </c>
      <c r="BQ650" s="197">
        <f t="shared" si="503"/>
        <v>9.9596940000000009E-2</v>
      </c>
      <c r="BR650" s="288">
        <f t="shared" si="504"/>
        <v>0.16008975919012108</v>
      </c>
      <c r="BS650" s="197">
        <f t="shared" si="505"/>
        <v>0.11660930017110901</v>
      </c>
      <c r="BT650" s="197">
        <f t="shared" si="506"/>
        <v>0.36419974881911377</v>
      </c>
      <c r="BU650" s="197">
        <f t="shared" si="507"/>
        <v>0.1713930788771201</v>
      </c>
      <c r="BV650" s="197">
        <f t="shared" si="508"/>
        <v>0.53530306917875781</v>
      </c>
      <c r="BW650" s="194"/>
      <c r="BX650" s="194"/>
      <c r="BY650" s="194"/>
      <c r="BZ650" s="194"/>
      <c r="CA650" s="194"/>
      <c r="CB650" s="194"/>
      <c r="CC650" s="194"/>
      <c r="CD650" s="194"/>
      <c r="CE650" s="194"/>
      <c r="CF650" s="194"/>
      <c r="CG650" s="194"/>
      <c r="CH650" s="194"/>
      <c r="CI650" s="194"/>
      <c r="CJ650" s="194"/>
      <c r="CK650" s="194"/>
      <c r="CL650" s="194"/>
      <c r="CM650" s="194"/>
      <c r="CN650" s="194"/>
      <c r="CO650" s="194"/>
      <c r="CP650" s="194"/>
      <c r="CQ650" s="194"/>
      <c r="CR650" s="194"/>
      <c r="CS650" s="194"/>
      <c r="CT650" s="194"/>
      <c r="CU650" s="194"/>
      <c r="CV650" s="194"/>
      <c r="CW650" s="194"/>
      <c r="CX650" s="194"/>
      <c r="CY650" s="194"/>
      <c r="CZ650" s="194"/>
      <c r="DA650" s="194"/>
      <c r="DB650" s="194"/>
      <c r="DC650" s="194"/>
      <c r="DD650" s="194"/>
      <c r="DE650" s="194"/>
      <c r="DF650" s="194"/>
    </row>
    <row r="651" spans="2:110" s="192" customFormat="1" hidden="1" x14ac:dyDescent="0.35">
      <c r="B651" s="289"/>
      <c r="C651" s="289"/>
      <c r="Q651" s="193"/>
      <c r="R651" s="194">
        <f t="shared" si="509"/>
        <v>18</v>
      </c>
      <c r="S651" s="197">
        <f t="shared" si="475"/>
        <v>0.3888888888888889</v>
      </c>
      <c r="T651" s="194">
        <f t="shared" si="530"/>
        <v>0.69</v>
      </c>
      <c r="U651" s="194">
        <f t="shared" si="531"/>
        <v>1.4999999999999999E-4</v>
      </c>
      <c r="V651" s="197">
        <f t="shared" si="510"/>
        <v>0.3888888888888889</v>
      </c>
      <c r="W651" s="197">
        <f t="shared" si="476"/>
        <v>4.3555555555555561E-3</v>
      </c>
      <c r="X651" s="286">
        <f t="shared" si="477"/>
        <v>1</v>
      </c>
      <c r="Y651" s="286">
        <f t="shared" si="478"/>
        <v>0.17335969315081967</v>
      </c>
      <c r="Z651" s="286">
        <f t="shared" si="479"/>
        <v>0.54964853345132902</v>
      </c>
      <c r="AA651" s="286">
        <f t="shared" si="511"/>
        <v>0.17335969315081967</v>
      </c>
      <c r="AB651" s="197">
        <f t="shared" si="480"/>
        <v>0.36419974881911377</v>
      </c>
      <c r="AC651" s="287">
        <f t="shared" si="481"/>
        <v>4.4451203372005044E-7</v>
      </c>
      <c r="AD651" s="197">
        <f t="shared" si="512"/>
        <v>11.693936048110356</v>
      </c>
      <c r="AE651" s="197">
        <f t="shared" si="513"/>
        <v>35.08180814433107</v>
      </c>
      <c r="AF651" s="197">
        <f t="shared" si="514"/>
        <v>8.5178571428571423E-2</v>
      </c>
      <c r="AG651" s="197">
        <f t="shared" si="515"/>
        <v>0.25553571428571431</v>
      </c>
      <c r="AH651" s="197">
        <f t="shared" si="482"/>
        <v>0.11660930017110901</v>
      </c>
      <c r="AI651" s="197">
        <f t="shared" si="516"/>
        <v>0.11660930017110901</v>
      </c>
      <c r="AJ651" s="218">
        <f t="shared" si="483"/>
        <v>390.00000000000006</v>
      </c>
      <c r="AK651" s="197">
        <f t="shared" si="517"/>
        <v>6.0930617977437734E-2</v>
      </c>
      <c r="AL651" s="197">
        <f t="shared" si="518"/>
        <v>9.6203707235237593E-2</v>
      </c>
      <c r="AM651" s="197">
        <f t="shared" si="519"/>
        <v>4.0790371867740751E-3</v>
      </c>
      <c r="AN651" s="197">
        <f t="shared" si="484"/>
        <v>24.05</v>
      </c>
      <c r="AO651" s="197">
        <f t="shared" si="485"/>
        <v>21.69</v>
      </c>
      <c r="AP651" s="197">
        <f t="shared" si="520"/>
        <v>7.4093290390420161E-2</v>
      </c>
      <c r="AQ651" s="197">
        <f t="shared" si="521"/>
        <v>0.42250439890466829</v>
      </c>
      <c r="AR651" s="197">
        <f t="shared" si="522"/>
        <v>0.30589509873355925</v>
      </c>
      <c r="AS651" s="258">
        <f t="shared" si="523"/>
        <v>0.15228632177729159</v>
      </c>
      <c r="AT651" s="197">
        <f t="shared" si="486"/>
        <v>2.5974058656511614E-4</v>
      </c>
      <c r="AU651" s="194">
        <f t="shared" si="487"/>
        <v>21.19</v>
      </c>
      <c r="AV651" s="197">
        <f t="shared" si="488"/>
        <v>2.7E-2</v>
      </c>
      <c r="AW651" s="197">
        <f t="shared" si="489"/>
        <v>3.4260000000000002E-3</v>
      </c>
      <c r="AX651" s="197">
        <f t="shared" si="524"/>
        <v>6.1668000000000001E-2</v>
      </c>
      <c r="AY651" s="197">
        <f t="shared" si="490"/>
        <v>2.8867476000000005E-3</v>
      </c>
      <c r="AZ651" s="197">
        <f t="shared" si="491"/>
        <v>0</v>
      </c>
      <c r="BA651" s="197">
        <f t="shared" si="525"/>
        <v>7.2596940000000013E-2</v>
      </c>
      <c r="BB651" s="258">
        <f t="shared" si="492"/>
        <v>0.36575210336206115</v>
      </c>
      <c r="BC651" s="197">
        <f t="shared" si="493"/>
        <v>2.2380490766334034E-2</v>
      </c>
      <c r="BD651" s="197">
        <f t="shared" si="526"/>
        <v>4.4760981532668068E-3</v>
      </c>
      <c r="BE651" s="197">
        <f t="shared" si="527"/>
        <v>2.6856588919600841E-2</v>
      </c>
      <c r="BF651" s="197">
        <f t="shared" si="494"/>
        <v>0.20773291256157633</v>
      </c>
      <c r="BG651" s="197">
        <f t="shared" si="495"/>
        <v>5.4608303342508187E-4</v>
      </c>
      <c r="BH651" s="197">
        <f t="shared" si="496"/>
        <v>3.5336687086656722E-2</v>
      </c>
      <c r="BI651" s="197">
        <f t="shared" si="528"/>
        <v>0.44730899017824427</v>
      </c>
      <c r="BJ651" s="197">
        <f t="shared" si="497"/>
        <v>6.769615024661003</v>
      </c>
      <c r="BK651" s="288">
        <f t="shared" si="498"/>
        <v>0.93392401361838984</v>
      </c>
      <c r="BL651" s="197">
        <f t="shared" si="499"/>
        <v>0.37608972359227794</v>
      </c>
      <c r="BM651" s="197">
        <f t="shared" si="500"/>
        <v>7.4353030976985271E-2</v>
      </c>
      <c r="BN651" s="197">
        <f t="shared" si="501"/>
        <v>54.461181858619113</v>
      </c>
      <c r="BO651" s="197">
        <f t="shared" si="529"/>
        <v>0.2082789955950014</v>
      </c>
      <c r="BP651" s="197">
        <f t="shared" si="502"/>
        <v>65.620924669625111</v>
      </c>
      <c r="BQ651" s="197">
        <f t="shared" si="503"/>
        <v>9.9596940000000009E-2</v>
      </c>
      <c r="BR651" s="288">
        <f t="shared" si="504"/>
        <v>0.16008975919012108</v>
      </c>
      <c r="BS651" s="197">
        <f t="shared" si="505"/>
        <v>0.11660930017110901</v>
      </c>
      <c r="BT651" s="197">
        <f t="shared" si="506"/>
        <v>0.36419974881911377</v>
      </c>
      <c r="BU651" s="197">
        <f t="shared" si="507"/>
        <v>0.1713930788771201</v>
      </c>
      <c r="BV651" s="197">
        <f t="shared" si="508"/>
        <v>0.53530306917875781</v>
      </c>
      <c r="BW651" s="194"/>
      <c r="BX651" s="194"/>
      <c r="BY651" s="194"/>
      <c r="BZ651" s="194"/>
      <c r="CA651" s="194"/>
      <c r="CB651" s="194"/>
      <c r="CC651" s="194"/>
      <c r="CD651" s="194"/>
      <c r="CE651" s="194"/>
      <c r="CF651" s="194"/>
      <c r="CG651" s="194"/>
      <c r="CH651" s="194"/>
      <c r="CI651" s="194"/>
      <c r="CJ651" s="194"/>
      <c r="CK651" s="194"/>
      <c r="CL651" s="194"/>
      <c r="CM651" s="194"/>
      <c r="CN651" s="194"/>
      <c r="CO651" s="194"/>
      <c r="CP651" s="194"/>
      <c r="CQ651" s="194"/>
      <c r="CR651" s="194"/>
      <c r="CS651" s="194"/>
      <c r="CT651" s="194"/>
      <c r="CU651" s="194"/>
      <c r="CV651" s="194"/>
      <c r="CW651" s="194"/>
      <c r="CX651" s="194"/>
      <c r="CY651" s="194"/>
      <c r="CZ651" s="194"/>
      <c r="DA651" s="194"/>
      <c r="DB651" s="194"/>
      <c r="DC651" s="194"/>
      <c r="DD651" s="194"/>
      <c r="DE651" s="194"/>
      <c r="DF651" s="194"/>
    </row>
    <row r="652" spans="2:110" s="192" customFormat="1" hidden="1" x14ac:dyDescent="0.35">
      <c r="B652" s="289"/>
      <c r="C652" s="289"/>
      <c r="Q652" s="193"/>
      <c r="R652" s="194">
        <f t="shared" si="509"/>
        <v>18</v>
      </c>
      <c r="S652" s="197">
        <f t="shared" si="475"/>
        <v>0.3888888888888889</v>
      </c>
      <c r="T652" s="194">
        <f t="shared" si="530"/>
        <v>0.69</v>
      </c>
      <c r="U652" s="194">
        <f t="shared" si="531"/>
        <v>1.4999999999999999E-4</v>
      </c>
      <c r="V652" s="197">
        <f t="shared" si="510"/>
        <v>0.3888888888888889</v>
      </c>
      <c r="W652" s="197">
        <f t="shared" si="476"/>
        <v>4.3555555555555561E-3</v>
      </c>
      <c r="X652" s="286">
        <f t="shared" si="477"/>
        <v>1</v>
      </c>
      <c r="Y652" s="286">
        <f t="shared" si="478"/>
        <v>0.17335969315081967</v>
      </c>
      <c r="Z652" s="286">
        <f t="shared" si="479"/>
        <v>0.54964853345132902</v>
      </c>
      <c r="AA652" s="286">
        <f t="shared" si="511"/>
        <v>0.17335969315081967</v>
      </c>
      <c r="AB652" s="197">
        <f t="shared" si="480"/>
        <v>0.36419974881911377</v>
      </c>
      <c r="AC652" s="287">
        <f t="shared" si="481"/>
        <v>4.4451203372005044E-7</v>
      </c>
      <c r="AD652" s="197">
        <f t="shared" si="512"/>
        <v>11.693936048110356</v>
      </c>
      <c r="AE652" s="197">
        <f t="shared" si="513"/>
        <v>35.08180814433107</v>
      </c>
      <c r="AF652" s="197">
        <f t="shared" si="514"/>
        <v>8.5178571428571423E-2</v>
      </c>
      <c r="AG652" s="197">
        <f t="shared" si="515"/>
        <v>0.25553571428571431</v>
      </c>
      <c r="AH652" s="197">
        <f t="shared" si="482"/>
        <v>0.11660930017110901</v>
      </c>
      <c r="AI652" s="197">
        <f t="shared" si="516"/>
        <v>0.11660930017110901</v>
      </c>
      <c r="AJ652" s="218">
        <f t="shared" si="483"/>
        <v>390.00000000000006</v>
      </c>
      <c r="AK652" s="197">
        <f t="shared" si="517"/>
        <v>6.0930617977437734E-2</v>
      </c>
      <c r="AL652" s="197">
        <f t="shared" si="518"/>
        <v>9.6203707235237593E-2</v>
      </c>
      <c r="AM652" s="197">
        <f t="shared" si="519"/>
        <v>4.0790371867740751E-3</v>
      </c>
      <c r="AN652" s="197">
        <f t="shared" si="484"/>
        <v>24.05</v>
      </c>
      <c r="AO652" s="197">
        <f t="shared" si="485"/>
        <v>21.69</v>
      </c>
      <c r="AP652" s="197">
        <f t="shared" si="520"/>
        <v>7.4093290390420161E-2</v>
      </c>
      <c r="AQ652" s="197">
        <f t="shared" si="521"/>
        <v>0.42250439890466829</v>
      </c>
      <c r="AR652" s="197">
        <f t="shared" si="522"/>
        <v>0.30589509873355925</v>
      </c>
      <c r="AS652" s="258">
        <f t="shared" si="523"/>
        <v>0.15228632177729159</v>
      </c>
      <c r="AT652" s="197">
        <f t="shared" si="486"/>
        <v>2.5974058656511614E-4</v>
      </c>
      <c r="AU652" s="194">
        <f t="shared" si="487"/>
        <v>21.19</v>
      </c>
      <c r="AV652" s="197">
        <f t="shared" si="488"/>
        <v>2.7E-2</v>
      </c>
      <c r="AW652" s="197">
        <f t="shared" si="489"/>
        <v>3.4260000000000002E-3</v>
      </c>
      <c r="AX652" s="197">
        <f t="shared" si="524"/>
        <v>6.1668000000000001E-2</v>
      </c>
      <c r="AY652" s="197">
        <f t="shared" si="490"/>
        <v>2.8867476000000005E-3</v>
      </c>
      <c r="AZ652" s="197">
        <f t="shared" si="491"/>
        <v>0</v>
      </c>
      <c r="BA652" s="197">
        <f t="shared" si="525"/>
        <v>7.2596940000000013E-2</v>
      </c>
      <c r="BB652" s="258">
        <f t="shared" si="492"/>
        <v>0.36575210336206115</v>
      </c>
      <c r="BC652" s="197">
        <f t="shared" si="493"/>
        <v>2.2380490766334034E-2</v>
      </c>
      <c r="BD652" s="197">
        <f t="shared" si="526"/>
        <v>4.4760981532668068E-3</v>
      </c>
      <c r="BE652" s="197">
        <f t="shared" si="527"/>
        <v>2.6856588919600841E-2</v>
      </c>
      <c r="BF652" s="197">
        <f t="shared" si="494"/>
        <v>0.20773291256157633</v>
      </c>
      <c r="BG652" s="197">
        <f t="shared" si="495"/>
        <v>5.4608303342508187E-4</v>
      </c>
      <c r="BH652" s="197">
        <f t="shared" si="496"/>
        <v>3.5336687086656722E-2</v>
      </c>
      <c r="BI652" s="197">
        <f t="shared" si="528"/>
        <v>0.44730899017824427</v>
      </c>
      <c r="BJ652" s="197">
        <f t="shared" si="497"/>
        <v>6.769615024661003</v>
      </c>
      <c r="BK652" s="288">
        <f t="shared" si="498"/>
        <v>0.93392401361838984</v>
      </c>
      <c r="BL652" s="197">
        <f t="shared" si="499"/>
        <v>0.37608972359227794</v>
      </c>
      <c r="BM652" s="197">
        <f t="shared" si="500"/>
        <v>7.4353030976985271E-2</v>
      </c>
      <c r="BN652" s="197">
        <f t="shared" si="501"/>
        <v>54.461181858619113</v>
      </c>
      <c r="BO652" s="197">
        <f t="shared" si="529"/>
        <v>0.2082789955950014</v>
      </c>
      <c r="BP652" s="197">
        <f t="shared" si="502"/>
        <v>65.620924669625111</v>
      </c>
      <c r="BQ652" s="197">
        <f t="shared" si="503"/>
        <v>9.9596940000000009E-2</v>
      </c>
      <c r="BR652" s="288">
        <f t="shared" si="504"/>
        <v>0.16008975919012108</v>
      </c>
      <c r="BS652" s="197">
        <f t="shared" si="505"/>
        <v>0.11660930017110901</v>
      </c>
      <c r="BT652" s="197">
        <f t="shared" si="506"/>
        <v>0.36419974881911377</v>
      </c>
      <c r="BU652" s="197">
        <f t="shared" si="507"/>
        <v>0.1713930788771201</v>
      </c>
      <c r="BV652" s="197">
        <f t="shared" si="508"/>
        <v>0.53530306917875781</v>
      </c>
      <c r="BW652" s="194"/>
      <c r="BX652" s="194"/>
      <c r="BY652" s="194"/>
      <c r="BZ652" s="194"/>
      <c r="CA652" s="194"/>
      <c r="CB652" s="194"/>
      <c r="CC652" s="194"/>
      <c r="CD652" s="194"/>
      <c r="CE652" s="194"/>
      <c r="CF652" s="194"/>
      <c r="CG652" s="194"/>
      <c r="CH652" s="194"/>
      <c r="CI652" s="194"/>
      <c r="CJ652" s="194"/>
      <c r="CK652" s="194"/>
      <c r="CL652" s="194"/>
      <c r="CM652" s="194"/>
      <c r="CN652" s="194"/>
      <c r="CO652" s="194"/>
      <c r="CP652" s="194"/>
      <c r="CQ652" s="194"/>
      <c r="CR652" s="194"/>
      <c r="CS652" s="194"/>
      <c r="CT652" s="194"/>
      <c r="CU652" s="194"/>
      <c r="CV652" s="194"/>
      <c r="CW652" s="194"/>
      <c r="CX652" s="194"/>
      <c r="CY652" s="194"/>
      <c r="CZ652" s="194"/>
      <c r="DA652" s="194"/>
      <c r="DB652" s="194"/>
      <c r="DC652" s="194"/>
      <c r="DD652" s="194"/>
      <c r="DE652" s="194"/>
      <c r="DF652" s="194"/>
    </row>
    <row r="653" spans="2:110" s="192" customFormat="1" hidden="1" x14ac:dyDescent="0.35">
      <c r="B653" s="289"/>
      <c r="C653" s="289"/>
      <c r="Q653" s="193"/>
      <c r="R653" s="194">
        <f t="shared" si="509"/>
        <v>18</v>
      </c>
      <c r="S653" s="197">
        <f t="shared" si="475"/>
        <v>0.3888888888888889</v>
      </c>
      <c r="T653" s="194">
        <f t="shared" si="530"/>
        <v>0.69</v>
      </c>
      <c r="U653" s="194">
        <f t="shared" si="531"/>
        <v>1.4999999999999999E-4</v>
      </c>
      <c r="V653" s="197">
        <f t="shared" si="510"/>
        <v>0.3888888888888889</v>
      </c>
      <c r="W653" s="197">
        <f t="shared" si="476"/>
        <v>4.3555555555555561E-3</v>
      </c>
      <c r="X653" s="286">
        <f t="shared" si="477"/>
        <v>1</v>
      </c>
      <c r="Y653" s="286">
        <f t="shared" si="478"/>
        <v>0.17335969315081967</v>
      </c>
      <c r="Z653" s="286">
        <f t="shared" si="479"/>
        <v>0.54964853345132902</v>
      </c>
      <c r="AA653" s="286">
        <f t="shared" si="511"/>
        <v>0.17335969315081967</v>
      </c>
      <c r="AB653" s="197">
        <f t="shared" si="480"/>
        <v>0.36419974881911377</v>
      </c>
      <c r="AC653" s="287">
        <f t="shared" si="481"/>
        <v>4.4451203372005044E-7</v>
      </c>
      <c r="AD653" s="197">
        <f t="shared" si="512"/>
        <v>11.693936048110356</v>
      </c>
      <c r="AE653" s="197">
        <f t="shared" si="513"/>
        <v>35.08180814433107</v>
      </c>
      <c r="AF653" s="197">
        <f t="shared" si="514"/>
        <v>8.5178571428571423E-2</v>
      </c>
      <c r="AG653" s="197">
        <f t="shared" si="515"/>
        <v>0.25553571428571431</v>
      </c>
      <c r="AH653" s="197">
        <f t="shared" si="482"/>
        <v>0.11660930017110901</v>
      </c>
      <c r="AI653" s="197">
        <f t="shared" si="516"/>
        <v>0.11660930017110901</v>
      </c>
      <c r="AJ653" s="218">
        <f t="shared" si="483"/>
        <v>390.00000000000006</v>
      </c>
      <c r="AK653" s="197">
        <f t="shared" si="517"/>
        <v>6.0930617977437734E-2</v>
      </c>
      <c r="AL653" s="197">
        <f t="shared" si="518"/>
        <v>9.6203707235237593E-2</v>
      </c>
      <c r="AM653" s="197">
        <f t="shared" si="519"/>
        <v>4.0790371867740751E-3</v>
      </c>
      <c r="AN653" s="197">
        <f t="shared" si="484"/>
        <v>24.05</v>
      </c>
      <c r="AO653" s="197">
        <f t="shared" si="485"/>
        <v>21.69</v>
      </c>
      <c r="AP653" s="197">
        <f t="shared" si="520"/>
        <v>7.4093290390420161E-2</v>
      </c>
      <c r="AQ653" s="197">
        <f t="shared" si="521"/>
        <v>0.42250439890466829</v>
      </c>
      <c r="AR653" s="197">
        <f t="shared" si="522"/>
        <v>0.30589509873355925</v>
      </c>
      <c r="AS653" s="258">
        <f t="shared" si="523"/>
        <v>0.15228632177729159</v>
      </c>
      <c r="AT653" s="197">
        <f t="shared" si="486"/>
        <v>2.5974058656511614E-4</v>
      </c>
      <c r="AU653" s="194">
        <f t="shared" si="487"/>
        <v>21.19</v>
      </c>
      <c r="AV653" s="197">
        <f t="shared" si="488"/>
        <v>2.7E-2</v>
      </c>
      <c r="AW653" s="197">
        <f t="shared" si="489"/>
        <v>3.4260000000000002E-3</v>
      </c>
      <c r="AX653" s="197">
        <f t="shared" si="524"/>
        <v>6.1668000000000001E-2</v>
      </c>
      <c r="AY653" s="197">
        <f t="shared" si="490"/>
        <v>2.8867476000000005E-3</v>
      </c>
      <c r="AZ653" s="197">
        <f t="shared" si="491"/>
        <v>0</v>
      </c>
      <c r="BA653" s="197">
        <f t="shared" si="525"/>
        <v>7.2596940000000013E-2</v>
      </c>
      <c r="BB653" s="258">
        <f t="shared" si="492"/>
        <v>0.36575210336206115</v>
      </c>
      <c r="BC653" s="197">
        <f t="shared" si="493"/>
        <v>2.2380490766334034E-2</v>
      </c>
      <c r="BD653" s="197">
        <f t="shared" si="526"/>
        <v>4.4760981532668068E-3</v>
      </c>
      <c r="BE653" s="197">
        <f t="shared" si="527"/>
        <v>2.6856588919600841E-2</v>
      </c>
      <c r="BF653" s="197">
        <f t="shared" si="494"/>
        <v>0.20773291256157633</v>
      </c>
      <c r="BG653" s="197">
        <f t="shared" si="495"/>
        <v>5.4608303342508187E-4</v>
      </c>
      <c r="BH653" s="197">
        <f t="shared" si="496"/>
        <v>3.5336687086656722E-2</v>
      </c>
      <c r="BI653" s="197">
        <f t="shared" si="528"/>
        <v>0.44730899017824427</v>
      </c>
      <c r="BJ653" s="197">
        <f t="shared" si="497"/>
        <v>6.769615024661003</v>
      </c>
      <c r="BK653" s="288">
        <f t="shared" si="498"/>
        <v>0.93392401361838984</v>
      </c>
      <c r="BL653" s="197">
        <f t="shared" si="499"/>
        <v>0.37608972359227794</v>
      </c>
      <c r="BM653" s="197">
        <f t="shared" si="500"/>
        <v>7.4353030976985271E-2</v>
      </c>
      <c r="BN653" s="197">
        <f t="shared" si="501"/>
        <v>54.461181858619113</v>
      </c>
      <c r="BO653" s="197">
        <f t="shared" si="529"/>
        <v>0.2082789955950014</v>
      </c>
      <c r="BP653" s="197">
        <f t="shared" si="502"/>
        <v>65.620924669625111</v>
      </c>
      <c r="BQ653" s="197">
        <f t="shared" si="503"/>
        <v>9.9596940000000009E-2</v>
      </c>
      <c r="BR653" s="288">
        <f t="shared" si="504"/>
        <v>0.16008975919012108</v>
      </c>
      <c r="BS653" s="197">
        <f t="shared" si="505"/>
        <v>0.11660930017110901</v>
      </c>
      <c r="BT653" s="197">
        <f t="shared" si="506"/>
        <v>0.36419974881911377</v>
      </c>
      <c r="BU653" s="197">
        <f t="shared" si="507"/>
        <v>0.1713930788771201</v>
      </c>
      <c r="BV653" s="197">
        <f t="shared" si="508"/>
        <v>0.53530306917875781</v>
      </c>
      <c r="BW653" s="194"/>
      <c r="BX653" s="194"/>
      <c r="BY653" s="194"/>
      <c r="BZ653" s="194"/>
      <c r="CA653" s="194"/>
      <c r="CB653" s="194"/>
      <c r="CC653" s="194"/>
      <c r="CD653" s="194"/>
      <c r="CE653" s="194"/>
      <c r="CF653" s="194"/>
      <c r="CG653" s="194"/>
      <c r="CH653" s="194"/>
      <c r="CI653" s="194"/>
      <c r="CJ653" s="194"/>
      <c r="CK653" s="194"/>
      <c r="CL653" s="194"/>
      <c r="CM653" s="194"/>
      <c r="CN653" s="194"/>
      <c r="CO653" s="194"/>
      <c r="CP653" s="194"/>
      <c r="CQ653" s="194"/>
      <c r="CR653" s="194"/>
      <c r="CS653" s="194"/>
      <c r="CT653" s="194"/>
      <c r="CU653" s="194"/>
      <c r="CV653" s="194"/>
      <c r="CW653" s="194"/>
      <c r="CX653" s="194"/>
      <c r="CY653" s="194"/>
      <c r="CZ653" s="194"/>
      <c r="DA653" s="194"/>
      <c r="DB653" s="194"/>
      <c r="DC653" s="194"/>
      <c r="DD653" s="194"/>
      <c r="DE653" s="194"/>
      <c r="DF653" s="194"/>
    </row>
    <row r="654" spans="2:110" s="192" customFormat="1" hidden="1" x14ac:dyDescent="0.35">
      <c r="B654" s="289"/>
      <c r="C654" s="289"/>
      <c r="Q654" s="193"/>
      <c r="R654" s="194">
        <f t="shared" si="509"/>
        <v>18</v>
      </c>
      <c r="S654" s="197">
        <f t="shared" si="475"/>
        <v>0.3888888888888889</v>
      </c>
      <c r="T654" s="194">
        <f t="shared" si="530"/>
        <v>0.69</v>
      </c>
      <c r="U654" s="194">
        <f t="shared" si="531"/>
        <v>1.4999999999999999E-4</v>
      </c>
      <c r="V654" s="197">
        <f t="shared" si="510"/>
        <v>0.3888888888888889</v>
      </c>
      <c r="W654" s="197">
        <f t="shared" si="476"/>
        <v>4.3555555555555561E-3</v>
      </c>
      <c r="X654" s="286">
        <f t="shared" si="477"/>
        <v>1</v>
      </c>
      <c r="Y654" s="286">
        <f t="shared" si="478"/>
        <v>0.17335969315081967</v>
      </c>
      <c r="Z654" s="286">
        <f t="shared" si="479"/>
        <v>0.54964853345132902</v>
      </c>
      <c r="AA654" s="286">
        <f t="shared" si="511"/>
        <v>0.17335969315081967</v>
      </c>
      <c r="AB654" s="197">
        <f t="shared" si="480"/>
        <v>0.36419974881911377</v>
      </c>
      <c r="AC654" s="287">
        <f t="shared" si="481"/>
        <v>4.4451203372005044E-7</v>
      </c>
      <c r="AD654" s="197">
        <f t="shared" si="512"/>
        <v>11.693936048110356</v>
      </c>
      <c r="AE654" s="197">
        <f t="shared" si="513"/>
        <v>35.08180814433107</v>
      </c>
      <c r="AF654" s="197">
        <f t="shared" si="514"/>
        <v>8.5178571428571423E-2</v>
      </c>
      <c r="AG654" s="197">
        <f t="shared" si="515"/>
        <v>0.25553571428571431</v>
      </c>
      <c r="AH654" s="197">
        <f t="shared" si="482"/>
        <v>0.11660930017110901</v>
      </c>
      <c r="AI654" s="197">
        <f t="shared" si="516"/>
        <v>0.11660930017110901</v>
      </c>
      <c r="AJ654" s="218">
        <f t="shared" si="483"/>
        <v>390.00000000000006</v>
      </c>
      <c r="AK654" s="197">
        <f t="shared" si="517"/>
        <v>6.0930617977437734E-2</v>
      </c>
      <c r="AL654" s="197">
        <f t="shared" si="518"/>
        <v>9.6203707235237593E-2</v>
      </c>
      <c r="AM654" s="197">
        <f t="shared" si="519"/>
        <v>4.0790371867740751E-3</v>
      </c>
      <c r="AN654" s="197">
        <f t="shared" si="484"/>
        <v>24.05</v>
      </c>
      <c r="AO654" s="197">
        <f t="shared" si="485"/>
        <v>21.69</v>
      </c>
      <c r="AP654" s="197">
        <f t="shared" si="520"/>
        <v>7.4093290390420161E-2</v>
      </c>
      <c r="AQ654" s="197">
        <f t="shared" si="521"/>
        <v>0.42250439890466829</v>
      </c>
      <c r="AR654" s="197">
        <f t="shared" si="522"/>
        <v>0.30589509873355925</v>
      </c>
      <c r="AS654" s="258">
        <f t="shared" si="523"/>
        <v>0.15228632177729159</v>
      </c>
      <c r="AT654" s="197">
        <f t="shared" si="486"/>
        <v>2.5974058656511614E-4</v>
      </c>
      <c r="AU654" s="194">
        <f t="shared" si="487"/>
        <v>21.19</v>
      </c>
      <c r="AV654" s="197">
        <f t="shared" si="488"/>
        <v>2.7E-2</v>
      </c>
      <c r="AW654" s="197">
        <f t="shared" si="489"/>
        <v>3.4260000000000002E-3</v>
      </c>
      <c r="AX654" s="197">
        <f t="shared" si="524"/>
        <v>6.1668000000000001E-2</v>
      </c>
      <c r="AY654" s="197">
        <f t="shared" si="490"/>
        <v>2.8867476000000005E-3</v>
      </c>
      <c r="AZ654" s="197">
        <f t="shared" si="491"/>
        <v>0</v>
      </c>
      <c r="BA654" s="197">
        <f t="shared" si="525"/>
        <v>7.2596940000000013E-2</v>
      </c>
      <c r="BB654" s="258">
        <f t="shared" si="492"/>
        <v>0.36575210336206115</v>
      </c>
      <c r="BC654" s="197">
        <f t="shared" si="493"/>
        <v>2.2380490766334034E-2</v>
      </c>
      <c r="BD654" s="197">
        <f t="shared" si="526"/>
        <v>4.4760981532668068E-3</v>
      </c>
      <c r="BE654" s="197">
        <f t="shared" si="527"/>
        <v>2.6856588919600841E-2</v>
      </c>
      <c r="BF654" s="197">
        <f t="shared" si="494"/>
        <v>0.20773291256157633</v>
      </c>
      <c r="BG654" s="197">
        <f t="shared" si="495"/>
        <v>5.4608303342508187E-4</v>
      </c>
      <c r="BH654" s="197">
        <f t="shared" si="496"/>
        <v>3.5336687086656722E-2</v>
      </c>
      <c r="BI654" s="197">
        <f t="shared" si="528"/>
        <v>0.44730899017824427</v>
      </c>
      <c r="BJ654" s="197">
        <f t="shared" si="497"/>
        <v>6.769615024661003</v>
      </c>
      <c r="BK654" s="288">
        <f t="shared" si="498"/>
        <v>0.93392401361838984</v>
      </c>
      <c r="BL654" s="197">
        <f t="shared" si="499"/>
        <v>0.37608972359227794</v>
      </c>
      <c r="BM654" s="197">
        <f t="shared" si="500"/>
        <v>7.4353030976985271E-2</v>
      </c>
      <c r="BN654" s="197">
        <f t="shared" si="501"/>
        <v>54.461181858619113</v>
      </c>
      <c r="BO654" s="197">
        <f t="shared" si="529"/>
        <v>0.2082789955950014</v>
      </c>
      <c r="BP654" s="197">
        <f t="shared" si="502"/>
        <v>65.620924669625111</v>
      </c>
      <c r="BQ654" s="197">
        <f t="shared" si="503"/>
        <v>9.9596940000000009E-2</v>
      </c>
      <c r="BR654" s="288">
        <f t="shared" si="504"/>
        <v>0.16008975919012108</v>
      </c>
      <c r="BS654" s="197">
        <f t="shared" si="505"/>
        <v>0.11660930017110901</v>
      </c>
      <c r="BT654" s="197">
        <f t="shared" si="506"/>
        <v>0.36419974881911377</v>
      </c>
      <c r="BU654" s="197">
        <f t="shared" si="507"/>
        <v>0.1713930788771201</v>
      </c>
      <c r="BV654" s="197">
        <f t="shared" si="508"/>
        <v>0.53530306917875781</v>
      </c>
      <c r="BW654" s="194"/>
      <c r="BX654" s="194"/>
      <c r="BY654" s="194"/>
      <c r="BZ654" s="194"/>
      <c r="CA654" s="194"/>
      <c r="CB654" s="194"/>
      <c r="CC654" s="194"/>
      <c r="CD654" s="194"/>
      <c r="CE654" s="194"/>
      <c r="CF654" s="194"/>
      <c r="CG654" s="194"/>
      <c r="CH654" s="194"/>
      <c r="CI654" s="194"/>
      <c r="CJ654" s="194"/>
      <c r="CK654" s="194"/>
      <c r="CL654" s="194"/>
      <c r="CM654" s="194"/>
      <c r="CN654" s="194"/>
      <c r="CO654" s="194"/>
      <c r="CP654" s="194"/>
      <c r="CQ654" s="194"/>
      <c r="CR654" s="194"/>
      <c r="CS654" s="194"/>
      <c r="CT654" s="194"/>
      <c r="CU654" s="194"/>
      <c r="CV654" s="194"/>
      <c r="CW654" s="194"/>
      <c r="CX654" s="194"/>
      <c r="CY654" s="194"/>
      <c r="CZ654" s="194"/>
      <c r="DA654" s="194"/>
      <c r="DB654" s="194"/>
      <c r="DC654" s="194"/>
      <c r="DD654" s="194"/>
      <c r="DE654" s="194"/>
      <c r="DF654" s="194"/>
    </row>
    <row r="655" spans="2:110" s="192" customFormat="1" hidden="1" x14ac:dyDescent="0.35">
      <c r="B655" s="289"/>
      <c r="C655" s="289"/>
      <c r="Q655" s="193"/>
      <c r="R655" s="194">
        <f t="shared" si="509"/>
        <v>18</v>
      </c>
      <c r="S655" s="197">
        <f t="shared" si="475"/>
        <v>0.3888888888888889</v>
      </c>
      <c r="T655" s="194">
        <f t="shared" si="530"/>
        <v>0.69</v>
      </c>
      <c r="U655" s="194">
        <f t="shared" si="531"/>
        <v>1.4999999999999999E-4</v>
      </c>
      <c r="V655" s="197">
        <f t="shared" si="510"/>
        <v>0.3888888888888889</v>
      </c>
      <c r="W655" s="197">
        <f t="shared" si="476"/>
        <v>4.3555555555555561E-3</v>
      </c>
      <c r="X655" s="286">
        <f t="shared" si="477"/>
        <v>1</v>
      </c>
      <c r="Y655" s="286">
        <f t="shared" si="478"/>
        <v>0.17335969315081967</v>
      </c>
      <c r="Z655" s="286">
        <f t="shared" si="479"/>
        <v>0.54964853345132902</v>
      </c>
      <c r="AA655" s="286">
        <f t="shared" si="511"/>
        <v>0.17335969315081967</v>
      </c>
      <c r="AB655" s="197">
        <f t="shared" si="480"/>
        <v>0.36419974881911377</v>
      </c>
      <c r="AC655" s="287">
        <f t="shared" si="481"/>
        <v>4.4451203372005044E-7</v>
      </c>
      <c r="AD655" s="197">
        <f t="shared" si="512"/>
        <v>11.693936048110356</v>
      </c>
      <c r="AE655" s="197">
        <f t="shared" si="513"/>
        <v>35.08180814433107</v>
      </c>
      <c r="AF655" s="197">
        <f t="shared" si="514"/>
        <v>8.5178571428571423E-2</v>
      </c>
      <c r="AG655" s="197">
        <f t="shared" si="515"/>
        <v>0.25553571428571431</v>
      </c>
      <c r="AH655" s="197">
        <f t="shared" si="482"/>
        <v>0.11660930017110901</v>
      </c>
      <c r="AI655" s="197">
        <f t="shared" si="516"/>
        <v>0.11660930017110901</v>
      </c>
      <c r="AJ655" s="218">
        <f t="shared" si="483"/>
        <v>390.00000000000006</v>
      </c>
      <c r="AK655" s="197">
        <f t="shared" si="517"/>
        <v>6.0930617977437734E-2</v>
      </c>
      <c r="AL655" s="197">
        <f t="shared" si="518"/>
        <v>9.6203707235237593E-2</v>
      </c>
      <c r="AM655" s="197">
        <f t="shared" si="519"/>
        <v>4.0790371867740751E-3</v>
      </c>
      <c r="AN655" s="197">
        <f t="shared" si="484"/>
        <v>24.05</v>
      </c>
      <c r="AO655" s="197">
        <f t="shared" si="485"/>
        <v>21.69</v>
      </c>
      <c r="AP655" s="197">
        <f t="shared" si="520"/>
        <v>7.4093290390420161E-2</v>
      </c>
      <c r="AQ655" s="197">
        <f t="shared" si="521"/>
        <v>0.42250439890466829</v>
      </c>
      <c r="AR655" s="197">
        <f t="shared" si="522"/>
        <v>0.30589509873355925</v>
      </c>
      <c r="AS655" s="258">
        <f t="shared" si="523"/>
        <v>0.15228632177729159</v>
      </c>
      <c r="AT655" s="197">
        <f t="shared" si="486"/>
        <v>2.5974058656511614E-4</v>
      </c>
      <c r="AU655" s="194">
        <f t="shared" si="487"/>
        <v>21.19</v>
      </c>
      <c r="AV655" s="197">
        <f t="shared" si="488"/>
        <v>2.7E-2</v>
      </c>
      <c r="AW655" s="197">
        <f t="shared" si="489"/>
        <v>3.4260000000000002E-3</v>
      </c>
      <c r="AX655" s="197">
        <f t="shared" si="524"/>
        <v>6.1668000000000001E-2</v>
      </c>
      <c r="AY655" s="197">
        <f t="shared" si="490"/>
        <v>2.8867476000000005E-3</v>
      </c>
      <c r="AZ655" s="197">
        <f t="shared" si="491"/>
        <v>0</v>
      </c>
      <c r="BA655" s="197">
        <f t="shared" si="525"/>
        <v>7.2596940000000013E-2</v>
      </c>
      <c r="BB655" s="258">
        <f t="shared" si="492"/>
        <v>0.36575210336206115</v>
      </c>
      <c r="BC655" s="197">
        <f t="shared" si="493"/>
        <v>2.2380490766334034E-2</v>
      </c>
      <c r="BD655" s="197">
        <f t="shared" si="526"/>
        <v>4.4760981532668068E-3</v>
      </c>
      <c r="BE655" s="197">
        <f t="shared" si="527"/>
        <v>2.6856588919600841E-2</v>
      </c>
      <c r="BF655" s="197">
        <f t="shared" si="494"/>
        <v>0.20773291256157633</v>
      </c>
      <c r="BG655" s="197">
        <f t="shared" si="495"/>
        <v>5.4608303342508187E-4</v>
      </c>
      <c r="BH655" s="197">
        <f t="shared" si="496"/>
        <v>3.5336687086656722E-2</v>
      </c>
      <c r="BI655" s="197">
        <f t="shared" si="528"/>
        <v>0.44730899017824427</v>
      </c>
      <c r="BJ655" s="197">
        <f t="shared" si="497"/>
        <v>6.769615024661003</v>
      </c>
      <c r="BK655" s="288">
        <f t="shared" si="498"/>
        <v>0.93392401361838984</v>
      </c>
      <c r="BL655" s="197">
        <f t="shared" si="499"/>
        <v>0.37608972359227794</v>
      </c>
      <c r="BM655" s="197">
        <f t="shared" si="500"/>
        <v>7.4353030976985271E-2</v>
      </c>
      <c r="BN655" s="197">
        <f t="shared" si="501"/>
        <v>54.461181858619113</v>
      </c>
      <c r="BO655" s="197">
        <f t="shared" si="529"/>
        <v>0.2082789955950014</v>
      </c>
      <c r="BP655" s="197">
        <f t="shared" si="502"/>
        <v>65.620924669625111</v>
      </c>
      <c r="BQ655" s="197">
        <f t="shared" si="503"/>
        <v>9.9596940000000009E-2</v>
      </c>
      <c r="BR655" s="288">
        <f t="shared" si="504"/>
        <v>0.16008975919012108</v>
      </c>
      <c r="BS655" s="197">
        <f t="shared" si="505"/>
        <v>0.11660930017110901</v>
      </c>
      <c r="BT655" s="197">
        <f t="shared" si="506"/>
        <v>0.36419974881911377</v>
      </c>
      <c r="BU655" s="197">
        <f t="shared" si="507"/>
        <v>0.1713930788771201</v>
      </c>
      <c r="BV655" s="197">
        <f t="shared" si="508"/>
        <v>0.53530306917875781</v>
      </c>
      <c r="BW655" s="194"/>
      <c r="BX655" s="194"/>
      <c r="BY655" s="194"/>
      <c r="BZ655" s="194"/>
      <c r="CA655" s="194"/>
      <c r="CB655" s="194"/>
      <c r="CC655" s="194"/>
      <c r="CD655" s="194"/>
      <c r="CE655" s="194"/>
      <c r="CF655" s="194"/>
      <c r="CG655" s="194"/>
      <c r="CH655" s="194"/>
      <c r="CI655" s="194"/>
      <c r="CJ655" s="194"/>
      <c r="CK655" s="194"/>
      <c r="CL655" s="194"/>
      <c r="CM655" s="194"/>
      <c r="CN655" s="194"/>
      <c r="CO655" s="194"/>
      <c r="CP655" s="194"/>
      <c r="CQ655" s="194"/>
      <c r="CR655" s="194"/>
      <c r="CS655" s="194"/>
      <c r="CT655" s="194"/>
      <c r="CU655" s="194"/>
      <c r="CV655" s="194"/>
      <c r="CW655" s="194"/>
      <c r="CX655" s="194"/>
      <c r="CY655" s="194"/>
      <c r="CZ655" s="194"/>
      <c r="DA655" s="194"/>
      <c r="DB655" s="194"/>
      <c r="DC655" s="194"/>
      <c r="DD655" s="194"/>
      <c r="DE655" s="194"/>
      <c r="DF655" s="194"/>
    </row>
    <row r="656" spans="2:110" s="192" customFormat="1" hidden="1" x14ac:dyDescent="0.35">
      <c r="B656" s="289"/>
      <c r="C656" s="289"/>
      <c r="Q656" s="193"/>
      <c r="R656" s="194">
        <f t="shared" si="509"/>
        <v>18</v>
      </c>
      <c r="S656" s="197">
        <f t="shared" si="475"/>
        <v>0.3888888888888889</v>
      </c>
      <c r="T656" s="194">
        <f t="shared" si="530"/>
        <v>0.69</v>
      </c>
      <c r="U656" s="194">
        <f t="shared" si="531"/>
        <v>1.4999999999999999E-4</v>
      </c>
      <c r="V656" s="197">
        <f t="shared" si="510"/>
        <v>0.3888888888888889</v>
      </c>
      <c r="W656" s="197">
        <f t="shared" si="476"/>
        <v>4.3555555555555561E-3</v>
      </c>
      <c r="X656" s="286">
        <f t="shared" si="477"/>
        <v>1</v>
      </c>
      <c r="Y656" s="286">
        <f t="shared" si="478"/>
        <v>0.17335969315081967</v>
      </c>
      <c r="Z656" s="286">
        <f t="shared" si="479"/>
        <v>0.54964853345132902</v>
      </c>
      <c r="AA656" s="286">
        <f t="shared" si="511"/>
        <v>0.17335969315081967</v>
      </c>
      <c r="AB656" s="197">
        <f t="shared" si="480"/>
        <v>0.36419974881911377</v>
      </c>
      <c r="AC656" s="287">
        <f t="shared" si="481"/>
        <v>4.4451203372005044E-7</v>
      </c>
      <c r="AD656" s="197">
        <f t="shared" si="512"/>
        <v>11.693936048110356</v>
      </c>
      <c r="AE656" s="197">
        <f t="shared" si="513"/>
        <v>35.08180814433107</v>
      </c>
      <c r="AF656" s="197">
        <f t="shared" si="514"/>
        <v>8.5178571428571423E-2</v>
      </c>
      <c r="AG656" s="197">
        <f t="shared" si="515"/>
        <v>0.25553571428571431</v>
      </c>
      <c r="AH656" s="197">
        <f t="shared" si="482"/>
        <v>0.11660930017110901</v>
      </c>
      <c r="AI656" s="197">
        <f t="shared" si="516"/>
        <v>0.11660930017110901</v>
      </c>
      <c r="AJ656" s="218">
        <f t="shared" si="483"/>
        <v>390.00000000000006</v>
      </c>
      <c r="AK656" s="197">
        <f t="shared" si="517"/>
        <v>6.0930617977437734E-2</v>
      </c>
      <c r="AL656" s="197">
        <f t="shared" si="518"/>
        <v>9.6203707235237593E-2</v>
      </c>
      <c r="AM656" s="197">
        <f t="shared" si="519"/>
        <v>4.0790371867740751E-3</v>
      </c>
      <c r="AN656" s="197">
        <f t="shared" si="484"/>
        <v>24.05</v>
      </c>
      <c r="AO656" s="197">
        <f t="shared" si="485"/>
        <v>21.69</v>
      </c>
      <c r="AP656" s="197">
        <f t="shared" si="520"/>
        <v>7.4093290390420161E-2</v>
      </c>
      <c r="AQ656" s="197">
        <f t="shared" si="521"/>
        <v>0.42250439890466829</v>
      </c>
      <c r="AR656" s="197">
        <f t="shared" si="522"/>
        <v>0.30589509873355925</v>
      </c>
      <c r="AS656" s="258">
        <f t="shared" si="523"/>
        <v>0.15228632177729159</v>
      </c>
      <c r="AT656" s="197">
        <f t="shared" si="486"/>
        <v>2.5974058656511614E-4</v>
      </c>
      <c r="AU656" s="194">
        <f t="shared" si="487"/>
        <v>21.19</v>
      </c>
      <c r="AV656" s="197">
        <f t="shared" si="488"/>
        <v>2.7E-2</v>
      </c>
      <c r="AW656" s="197">
        <f t="shared" si="489"/>
        <v>3.4260000000000002E-3</v>
      </c>
      <c r="AX656" s="197">
        <f t="shared" si="524"/>
        <v>6.1668000000000001E-2</v>
      </c>
      <c r="AY656" s="197">
        <f t="shared" si="490"/>
        <v>2.8867476000000005E-3</v>
      </c>
      <c r="AZ656" s="197">
        <f t="shared" si="491"/>
        <v>0</v>
      </c>
      <c r="BA656" s="197">
        <f t="shared" si="525"/>
        <v>7.2596940000000013E-2</v>
      </c>
      <c r="BB656" s="258">
        <f t="shared" si="492"/>
        <v>0.36575210336206115</v>
      </c>
      <c r="BC656" s="197">
        <f t="shared" si="493"/>
        <v>2.2380490766334034E-2</v>
      </c>
      <c r="BD656" s="197">
        <f t="shared" si="526"/>
        <v>4.4760981532668068E-3</v>
      </c>
      <c r="BE656" s="197">
        <f t="shared" si="527"/>
        <v>2.6856588919600841E-2</v>
      </c>
      <c r="BF656" s="197">
        <f t="shared" si="494"/>
        <v>0.20773291256157633</v>
      </c>
      <c r="BG656" s="197">
        <f t="shared" si="495"/>
        <v>5.4608303342508187E-4</v>
      </c>
      <c r="BH656" s="197">
        <f t="shared" si="496"/>
        <v>3.5336687086656722E-2</v>
      </c>
      <c r="BI656" s="197">
        <f t="shared" si="528"/>
        <v>0.44730899017824427</v>
      </c>
      <c r="BJ656" s="197">
        <f t="shared" si="497"/>
        <v>6.769615024661003</v>
      </c>
      <c r="BK656" s="288">
        <f t="shared" si="498"/>
        <v>0.93392401361838984</v>
      </c>
      <c r="BL656" s="197">
        <f t="shared" si="499"/>
        <v>0.37608972359227794</v>
      </c>
      <c r="BM656" s="197">
        <f t="shared" si="500"/>
        <v>7.4353030976985271E-2</v>
      </c>
      <c r="BN656" s="197">
        <f t="shared" si="501"/>
        <v>54.461181858619113</v>
      </c>
      <c r="BO656" s="197">
        <f t="shared" si="529"/>
        <v>0.2082789955950014</v>
      </c>
      <c r="BP656" s="197">
        <f t="shared" si="502"/>
        <v>65.620924669625111</v>
      </c>
      <c r="BQ656" s="197">
        <f t="shared" si="503"/>
        <v>9.9596940000000009E-2</v>
      </c>
      <c r="BR656" s="288">
        <f t="shared" si="504"/>
        <v>0.16008975919012108</v>
      </c>
      <c r="BS656" s="197">
        <f t="shared" si="505"/>
        <v>0.11660930017110901</v>
      </c>
      <c r="BT656" s="197">
        <f t="shared" si="506"/>
        <v>0.36419974881911377</v>
      </c>
      <c r="BU656" s="197">
        <f t="shared" si="507"/>
        <v>0.1713930788771201</v>
      </c>
      <c r="BV656" s="197">
        <f t="shared" si="508"/>
        <v>0.53530306917875781</v>
      </c>
      <c r="BW656" s="194"/>
      <c r="BX656" s="194"/>
      <c r="BY656" s="194"/>
      <c r="BZ656" s="194"/>
      <c r="CA656" s="194"/>
      <c r="CB656" s="194"/>
      <c r="CC656" s="194"/>
      <c r="CD656" s="194"/>
      <c r="CE656" s="194"/>
      <c r="CF656" s="194"/>
      <c r="CG656" s="194"/>
      <c r="CH656" s="194"/>
      <c r="CI656" s="194"/>
      <c r="CJ656" s="194"/>
      <c r="CK656" s="194"/>
      <c r="CL656" s="194"/>
      <c r="CM656" s="194"/>
      <c r="CN656" s="194"/>
      <c r="CO656" s="194"/>
      <c r="CP656" s="194"/>
      <c r="CQ656" s="194"/>
      <c r="CR656" s="194"/>
      <c r="CS656" s="194"/>
      <c r="CT656" s="194"/>
      <c r="CU656" s="194"/>
      <c r="CV656" s="194"/>
      <c r="CW656" s="194"/>
      <c r="CX656" s="194"/>
      <c r="CY656" s="194"/>
      <c r="CZ656" s="194"/>
      <c r="DA656" s="194"/>
      <c r="DB656" s="194"/>
      <c r="DC656" s="194"/>
      <c r="DD656" s="194"/>
      <c r="DE656" s="194"/>
      <c r="DF656" s="194"/>
    </row>
    <row r="657" spans="2:110" s="192" customFormat="1" hidden="1" x14ac:dyDescent="0.35">
      <c r="B657" s="289"/>
      <c r="C657" s="289"/>
      <c r="Q657" s="193"/>
      <c r="R657" s="194">
        <f t="shared" si="509"/>
        <v>18</v>
      </c>
      <c r="S657" s="197">
        <f t="shared" si="475"/>
        <v>0.3888888888888889</v>
      </c>
      <c r="T657" s="194">
        <f t="shared" si="530"/>
        <v>0.69</v>
      </c>
      <c r="U657" s="194">
        <f t="shared" si="531"/>
        <v>1.4999999999999999E-4</v>
      </c>
      <c r="V657" s="197">
        <f t="shared" si="510"/>
        <v>0.3888888888888889</v>
      </c>
      <c r="W657" s="197">
        <f t="shared" si="476"/>
        <v>4.3555555555555561E-3</v>
      </c>
      <c r="X657" s="286">
        <f t="shared" si="477"/>
        <v>1</v>
      </c>
      <c r="Y657" s="286">
        <f t="shared" si="478"/>
        <v>0.17335969315081967</v>
      </c>
      <c r="Z657" s="286">
        <f t="shared" si="479"/>
        <v>0.54964853345132902</v>
      </c>
      <c r="AA657" s="286">
        <f t="shared" si="511"/>
        <v>0.17335969315081967</v>
      </c>
      <c r="AB657" s="197">
        <f t="shared" si="480"/>
        <v>0.36419974881911377</v>
      </c>
      <c r="AC657" s="287">
        <f t="shared" si="481"/>
        <v>4.4451203372005044E-7</v>
      </c>
      <c r="AD657" s="197">
        <f t="shared" si="512"/>
        <v>11.693936048110356</v>
      </c>
      <c r="AE657" s="197">
        <f t="shared" si="513"/>
        <v>35.08180814433107</v>
      </c>
      <c r="AF657" s="197">
        <f t="shared" si="514"/>
        <v>8.5178571428571423E-2</v>
      </c>
      <c r="AG657" s="197">
        <f t="shared" si="515"/>
        <v>0.25553571428571431</v>
      </c>
      <c r="AH657" s="197">
        <f t="shared" si="482"/>
        <v>0.11660930017110901</v>
      </c>
      <c r="AI657" s="197">
        <f t="shared" si="516"/>
        <v>0.11660930017110901</v>
      </c>
      <c r="AJ657" s="218">
        <f t="shared" si="483"/>
        <v>390.00000000000006</v>
      </c>
      <c r="AK657" s="197">
        <f t="shared" si="517"/>
        <v>6.0930617977437734E-2</v>
      </c>
      <c r="AL657" s="197">
        <f t="shared" si="518"/>
        <v>9.6203707235237593E-2</v>
      </c>
      <c r="AM657" s="197">
        <f t="shared" si="519"/>
        <v>4.0790371867740751E-3</v>
      </c>
      <c r="AN657" s="197">
        <f t="shared" si="484"/>
        <v>24.05</v>
      </c>
      <c r="AO657" s="197">
        <f t="shared" si="485"/>
        <v>21.69</v>
      </c>
      <c r="AP657" s="197">
        <f t="shared" si="520"/>
        <v>7.4093290390420161E-2</v>
      </c>
      <c r="AQ657" s="197">
        <f t="shared" si="521"/>
        <v>0.42250439890466829</v>
      </c>
      <c r="AR657" s="197">
        <f t="shared" si="522"/>
        <v>0.30589509873355925</v>
      </c>
      <c r="AS657" s="258">
        <f t="shared" si="523"/>
        <v>0.15228632177729159</v>
      </c>
      <c r="AT657" s="197">
        <f t="shared" si="486"/>
        <v>2.5974058656511614E-4</v>
      </c>
      <c r="AU657" s="194">
        <f t="shared" si="487"/>
        <v>21.19</v>
      </c>
      <c r="AV657" s="197">
        <f t="shared" si="488"/>
        <v>2.7E-2</v>
      </c>
      <c r="AW657" s="197">
        <f t="shared" si="489"/>
        <v>3.4260000000000002E-3</v>
      </c>
      <c r="AX657" s="197">
        <f t="shared" si="524"/>
        <v>6.1668000000000001E-2</v>
      </c>
      <c r="AY657" s="197">
        <f t="shared" si="490"/>
        <v>2.8867476000000005E-3</v>
      </c>
      <c r="AZ657" s="197">
        <f t="shared" si="491"/>
        <v>0</v>
      </c>
      <c r="BA657" s="197">
        <f t="shared" si="525"/>
        <v>7.2596940000000013E-2</v>
      </c>
      <c r="BB657" s="258">
        <f t="shared" si="492"/>
        <v>0.36575210336206115</v>
      </c>
      <c r="BC657" s="197">
        <f t="shared" si="493"/>
        <v>2.2380490766334034E-2</v>
      </c>
      <c r="BD657" s="197">
        <f t="shared" si="526"/>
        <v>4.4760981532668068E-3</v>
      </c>
      <c r="BE657" s="197">
        <f t="shared" si="527"/>
        <v>2.6856588919600841E-2</v>
      </c>
      <c r="BF657" s="197">
        <f t="shared" si="494"/>
        <v>0.20773291256157633</v>
      </c>
      <c r="BG657" s="197">
        <f t="shared" si="495"/>
        <v>5.4608303342508187E-4</v>
      </c>
      <c r="BH657" s="197">
        <f t="shared" si="496"/>
        <v>3.5336687086656722E-2</v>
      </c>
      <c r="BI657" s="197">
        <f t="shared" si="528"/>
        <v>0.44730899017824427</v>
      </c>
      <c r="BJ657" s="197">
        <f t="shared" si="497"/>
        <v>6.769615024661003</v>
      </c>
      <c r="BK657" s="288">
        <f t="shared" si="498"/>
        <v>0.93392401361838984</v>
      </c>
      <c r="BL657" s="197">
        <f t="shared" si="499"/>
        <v>0.37608972359227794</v>
      </c>
      <c r="BM657" s="197">
        <f t="shared" si="500"/>
        <v>7.4353030976985271E-2</v>
      </c>
      <c r="BN657" s="197">
        <f t="shared" si="501"/>
        <v>54.461181858619113</v>
      </c>
      <c r="BO657" s="197">
        <f t="shared" si="529"/>
        <v>0.2082789955950014</v>
      </c>
      <c r="BP657" s="197">
        <f t="shared" si="502"/>
        <v>65.620924669625111</v>
      </c>
      <c r="BQ657" s="197">
        <f t="shared" si="503"/>
        <v>9.9596940000000009E-2</v>
      </c>
      <c r="BR657" s="288">
        <f t="shared" si="504"/>
        <v>0.16008975919012108</v>
      </c>
      <c r="BS657" s="197">
        <f t="shared" si="505"/>
        <v>0.11660930017110901</v>
      </c>
      <c r="BT657" s="197">
        <f t="shared" si="506"/>
        <v>0.36419974881911377</v>
      </c>
      <c r="BU657" s="197">
        <f t="shared" si="507"/>
        <v>0.1713930788771201</v>
      </c>
      <c r="BV657" s="197">
        <f t="shared" si="508"/>
        <v>0.53530306917875781</v>
      </c>
      <c r="BW657" s="194"/>
      <c r="BX657" s="194"/>
      <c r="BY657" s="194"/>
      <c r="BZ657" s="194"/>
      <c r="CA657" s="194"/>
      <c r="CB657" s="194"/>
      <c r="CC657" s="194"/>
      <c r="CD657" s="194"/>
      <c r="CE657" s="194"/>
      <c r="CF657" s="194"/>
      <c r="CG657" s="194"/>
      <c r="CH657" s="194"/>
      <c r="CI657" s="194"/>
      <c r="CJ657" s="194"/>
      <c r="CK657" s="194"/>
      <c r="CL657" s="194"/>
      <c r="CM657" s="194"/>
      <c r="CN657" s="194"/>
      <c r="CO657" s="194"/>
      <c r="CP657" s="194"/>
      <c r="CQ657" s="194"/>
      <c r="CR657" s="194"/>
      <c r="CS657" s="194"/>
      <c r="CT657" s="194"/>
      <c r="CU657" s="194"/>
      <c r="CV657" s="194"/>
      <c r="CW657" s="194"/>
      <c r="CX657" s="194"/>
      <c r="CY657" s="194"/>
      <c r="CZ657" s="194"/>
      <c r="DA657" s="194"/>
      <c r="DB657" s="194"/>
      <c r="DC657" s="194"/>
      <c r="DD657" s="194"/>
      <c r="DE657" s="194"/>
      <c r="DF657" s="194"/>
    </row>
    <row r="658" spans="2:110" s="192" customFormat="1" hidden="1" x14ac:dyDescent="0.35">
      <c r="B658" s="289"/>
      <c r="C658" s="289"/>
      <c r="Q658" s="193"/>
      <c r="R658" s="194">
        <f t="shared" si="509"/>
        <v>18</v>
      </c>
      <c r="S658" s="197">
        <f t="shared" si="475"/>
        <v>0.3888888888888889</v>
      </c>
      <c r="T658" s="194">
        <f t="shared" si="530"/>
        <v>0.69</v>
      </c>
      <c r="U658" s="194">
        <f t="shared" si="531"/>
        <v>1.4999999999999999E-4</v>
      </c>
      <c r="V658" s="197">
        <f t="shared" si="510"/>
        <v>0.3888888888888889</v>
      </c>
      <c r="W658" s="197">
        <f t="shared" si="476"/>
        <v>4.3555555555555561E-3</v>
      </c>
      <c r="X658" s="286">
        <f t="shared" si="477"/>
        <v>1</v>
      </c>
      <c r="Y658" s="286">
        <f t="shared" si="478"/>
        <v>0.17335969315081967</v>
      </c>
      <c r="Z658" s="286">
        <f t="shared" si="479"/>
        <v>0.54964853345132902</v>
      </c>
      <c r="AA658" s="286">
        <f t="shared" si="511"/>
        <v>0.17335969315081967</v>
      </c>
      <c r="AB658" s="197">
        <f t="shared" si="480"/>
        <v>0.36419974881911377</v>
      </c>
      <c r="AC658" s="287">
        <f t="shared" si="481"/>
        <v>4.4451203372005044E-7</v>
      </c>
      <c r="AD658" s="197">
        <f t="shared" si="512"/>
        <v>11.693936048110356</v>
      </c>
      <c r="AE658" s="197">
        <f t="shared" si="513"/>
        <v>35.08180814433107</v>
      </c>
      <c r="AF658" s="197">
        <f t="shared" si="514"/>
        <v>8.5178571428571423E-2</v>
      </c>
      <c r="AG658" s="197">
        <f t="shared" si="515"/>
        <v>0.25553571428571431</v>
      </c>
      <c r="AH658" s="197">
        <f t="shared" si="482"/>
        <v>0.11660930017110901</v>
      </c>
      <c r="AI658" s="197">
        <f t="shared" si="516"/>
        <v>0.11660930017110901</v>
      </c>
      <c r="AJ658" s="218">
        <f t="shared" si="483"/>
        <v>390.00000000000006</v>
      </c>
      <c r="AK658" s="197">
        <f t="shared" si="517"/>
        <v>6.0930617977437734E-2</v>
      </c>
      <c r="AL658" s="197">
        <f t="shared" si="518"/>
        <v>9.6203707235237593E-2</v>
      </c>
      <c r="AM658" s="197">
        <f t="shared" si="519"/>
        <v>4.0790371867740751E-3</v>
      </c>
      <c r="AN658" s="197">
        <f t="shared" si="484"/>
        <v>24.05</v>
      </c>
      <c r="AO658" s="197">
        <f t="shared" si="485"/>
        <v>21.69</v>
      </c>
      <c r="AP658" s="197">
        <f t="shared" si="520"/>
        <v>7.4093290390420161E-2</v>
      </c>
      <c r="AQ658" s="197">
        <f t="shared" si="521"/>
        <v>0.42250439890466829</v>
      </c>
      <c r="AR658" s="197">
        <f t="shared" si="522"/>
        <v>0.30589509873355925</v>
      </c>
      <c r="AS658" s="258">
        <f t="shared" si="523"/>
        <v>0.15228632177729159</v>
      </c>
      <c r="AT658" s="197">
        <f t="shared" si="486"/>
        <v>2.5974058656511614E-4</v>
      </c>
      <c r="AU658" s="194">
        <f t="shared" si="487"/>
        <v>21.19</v>
      </c>
      <c r="AV658" s="197">
        <f t="shared" si="488"/>
        <v>2.7E-2</v>
      </c>
      <c r="AW658" s="197">
        <f t="shared" si="489"/>
        <v>3.4260000000000002E-3</v>
      </c>
      <c r="AX658" s="197">
        <f t="shared" si="524"/>
        <v>6.1668000000000001E-2</v>
      </c>
      <c r="AY658" s="197">
        <f t="shared" si="490"/>
        <v>2.8867476000000005E-3</v>
      </c>
      <c r="AZ658" s="197">
        <f t="shared" si="491"/>
        <v>0</v>
      </c>
      <c r="BA658" s="197">
        <f t="shared" si="525"/>
        <v>7.2596940000000013E-2</v>
      </c>
      <c r="BB658" s="258">
        <f t="shared" si="492"/>
        <v>0.36575210336206115</v>
      </c>
      <c r="BC658" s="197">
        <f t="shared" si="493"/>
        <v>2.2380490766334034E-2</v>
      </c>
      <c r="BD658" s="197">
        <f t="shared" si="526"/>
        <v>4.4760981532668068E-3</v>
      </c>
      <c r="BE658" s="197">
        <f t="shared" si="527"/>
        <v>2.6856588919600841E-2</v>
      </c>
      <c r="BF658" s="197">
        <f t="shared" si="494"/>
        <v>0.20773291256157633</v>
      </c>
      <c r="BG658" s="197">
        <f t="shared" si="495"/>
        <v>5.4608303342508187E-4</v>
      </c>
      <c r="BH658" s="197">
        <f t="shared" si="496"/>
        <v>3.5336687086656722E-2</v>
      </c>
      <c r="BI658" s="197">
        <f t="shared" si="528"/>
        <v>0.44730899017824427</v>
      </c>
      <c r="BJ658" s="197">
        <f t="shared" si="497"/>
        <v>6.769615024661003</v>
      </c>
      <c r="BK658" s="288">
        <f t="shared" si="498"/>
        <v>0.93392401361838984</v>
      </c>
      <c r="BL658" s="197">
        <f t="shared" si="499"/>
        <v>0.37608972359227794</v>
      </c>
      <c r="BM658" s="197">
        <f t="shared" si="500"/>
        <v>7.4353030976985271E-2</v>
      </c>
      <c r="BN658" s="197">
        <f t="shared" si="501"/>
        <v>54.461181858619113</v>
      </c>
      <c r="BO658" s="197">
        <f t="shared" si="529"/>
        <v>0.2082789955950014</v>
      </c>
      <c r="BP658" s="197">
        <f t="shared" si="502"/>
        <v>65.620924669625111</v>
      </c>
      <c r="BQ658" s="197">
        <f t="shared" si="503"/>
        <v>9.9596940000000009E-2</v>
      </c>
      <c r="BR658" s="288">
        <f t="shared" si="504"/>
        <v>0.16008975919012108</v>
      </c>
      <c r="BS658" s="197">
        <f t="shared" si="505"/>
        <v>0.11660930017110901</v>
      </c>
      <c r="BT658" s="197">
        <f t="shared" si="506"/>
        <v>0.36419974881911377</v>
      </c>
      <c r="BU658" s="197">
        <f t="shared" si="507"/>
        <v>0.1713930788771201</v>
      </c>
      <c r="BV658" s="197">
        <f t="shared" si="508"/>
        <v>0.53530306917875781</v>
      </c>
      <c r="BW658" s="194"/>
      <c r="BX658" s="194"/>
      <c r="BY658" s="194"/>
      <c r="BZ658" s="194"/>
      <c r="CA658" s="194"/>
      <c r="CB658" s="194"/>
      <c r="CC658" s="194"/>
      <c r="CD658" s="194"/>
      <c r="CE658" s="194"/>
      <c r="CF658" s="194"/>
      <c r="CG658" s="194"/>
      <c r="CH658" s="194"/>
      <c r="CI658" s="194"/>
      <c r="CJ658" s="194"/>
      <c r="CK658" s="194"/>
      <c r="CL658" s="194"/>
      <c r="CM658" s="194"/>
      <c r="CN658" s="194"/>
      <c r="CO658" s="194"/>
      <c r="CP658" s="194"/>
      <c r="CQ658" s="194"/>
      <c r="CR658" s="194"/>
      <c r="CS658" s="194"/>
      <c r="CT658" s="194"/>
      <c r="CU658" s="194"/>
      <c r="CV658" s="194"/>
      <c r="CW658" s="194"/>
      <c r="CX658" s="194"/>
      <c r="CY658" s="194"/>
      <c r="CZ658" s="194"/>
      <c r="DA658" s="194"/>
      <c r="DB658" s="194"/>
      <c r="DC658" s="194"/>
      <c r="DD658" s="194"/>
      <c r="DE658" s="194"/>
      <c r="DF658" s="194"/>
    </row>
    <row r="659" spans="2:110" s="192" customFormat="1" hidden="1" x14ac:dyDescent="0.35">
      <c r="B659" s="289"/>
      <c r="C659" s="289"/>
      <c r="Q659" s="193"/>
      <c r="R659" s="194">
        <f t="shared" si="509"/>
        <v>18</v>
      </c>
      <c r="S659" s="197">
        <f t="shared" si="475"/>
        <v>0.3888888888888889</v>
      </c>
      <c r="T659" s="194">
        <f t="shared" si="530"/>
        <v>0.69</v>
      </c>
      <c r="U659" s="194">
        <f t="shared" si="531"/>
        <v>1.4999999999999999E-4</v>
      </c>
      <c r="V659" s="197">
        <f t="shared" si="510"/>
        <v>0.3888888888888889</v>
      </c>
      <c r="W659" s="197">
        <f t="shared" si="476"/>
        <v>4.3555555555555561E-3</v>
      </c>
      <c r="X659" s="286">
        <f t="shared" si="477"/>
        <v>1</v>
      </c>
      <c r="Y659" s="286">
        <f t="shared" si="478"/>
        <v>0.17335969315081967</v>
      </c>
      <c r="Z659" s="286">
        <f t="shared" si="479"/>
        <v>0.54964853345132902</v>
      </c>
      <c r="AA659" s="286">
        <f t="shared" si="511"/>
        <v>0.17335969315081967</v>
      </c>
      <c r="AB659" s="197">
        <f t="shared" si="480"/>
        <v>0.36419974881911377</v>
      </c>
      <c r="AC659" s="287">
        <f t="shared" si="481"/>
        <v>4.4451203372005044E-7</v>
      </c>
      <c r="AD659" s="197">
        <f t="shared" si="512"/>
        <v>11.693936048110356</v>
      </c>
      <c r="AE659" s="197">
        <f t="shared" si="513"/>
        <v>35.08180814433107</v>
      </c>
      <c r="AF659" s="197">
        <f t="shared" si="514"/>
        <v>8.5178571428571423E-2</v>
      </c>
      <c r="AG659" s="197">
        <f t="shared" si="515"/>
        <v>0.25553571428571431</v>
      </c>
      <c r="AH659" s="197">
        <f t="shared" si="482"/>
        <v>0.11660930017110901</v>
      </c>
      <c r="AI659" s="197">
        <f t="shared" si="516"/>
        <v>0.11660930017110901</v>
      </c>
      <c r="AJ659" s="218">
        <f t="shared" si="483"/>
        <v>390.00000000000006</v>
      </c>
      <c r="AK659" s="197">
        <f t="shared" si="517"/>
        <v>6.0930617977437734E-2</v>
      </c>
      <c r="AL659" s="197">
        <f t="shared" si="518"/>
        <v>9.6203707235237593E-2</v>
      </c>
      <c r="AM659" s="197">
        <f t="shared" si="519"/>
        <v>4.0790371867740751E-3</v>
      </c>
      <c r="AN659" s="197">
        <f t="shared" si="484"/>
        <v>24.05</v>
      </c>
      <c r="AO659" s="197">
        <f t="shared" si="485"/>
        <v>21.69</v>
      </c>
      <c r="AP659" s="197">
        <f t="shared" si="520"/>
        <v>7.4093290390420161E-2</v>
      </c>
      <c r="AQ659" s="197">
        <f t="shared" si="521"/>
        <v>0.42250439890466829</v>
      </c>
      <c r="AR659" s="197">
        <f t="shared" si="522"/>
        <v>0.30589509873355925</v>
      </c>
      <c r="AS659" s="258">
        <f t="shared" si="523"/>
        <v>0.15228632177729159</v>
      </c>
      <c r="AT659" s="197">
        <f t="shared" si="486"/>
        <v>2.5974058656511614E-4</v>
      </c>
      <c r="AU659" s="194">
        <f t="shared" si="487"/>
        <v>21.19</v>
      </c>
      <c r="AV659" s="197">
        <f t="shared" si="488"/>
        <v>2.7E-2</v>
      </c>
      <c r="AW659" s="197">
        <f t="shared" si="489"/>
        <v>3.4260000000000002E-3</v>
      </c>
      <c r="AX659" s="197">
        <f t="shared" si="524"/>
        <v>6.1668000000000001E-2</v>
      </c>
      <c r="AY659" s="197">
        <f t="shared" si="490"/>
        <v>2.8867476000000005E-3</v>
      </c>
      <c r="AZ659" s="197">
        <f t="shared" si="491"/>
        <v>0</v>
      </c>
      <c r="BA659" s="197">
        <f t="shared" si="525"/>
        <v>7.2596940000000013E-2</v>
      </c>
      <c r="BB659" s="258">
        <f t="shared" si="492"/>
        <v>0.36575210336206115</v>
      </c>
      <c r="BC659" s="197">
        <f t="shared" si="493"/>
        <v>2.2380490766334034E-2</v>
      </c>
      <c r="BD659" s="197">
        <f t="shared" si="526"/>
        <v>4.4760981532668068E-3</v>
      </c>
      <c r="BE659" s="197">
        <f t="shared" si="527"/>
        <v>2.6856588919600841E-2</v>
      </c>
      <c r="BF659" s="197">
        <f t="shared" si="494"/>
        <v>0.20773291256157633</v>
      </c>
      <c r="BG659" s="197">
        <f t="shared" si="495"/>
        <v>5.4608303342508187E-4</v>
      </c>
      <c r="BH659" s="197">
        <f t="shared" si="496"/>
        <v>3.5336687086656722E-2</v>
      </c>
      <c r="BI659" s="197">
        <f t="shared" si="528"/>
        <v>0.44730899017824427</v>
      </c>
      <c r="BJ659" s="197">
        <f t="shared" si="497"/>
        <v>6.769615024661003</v>
      </c>
      <c r="BK659" s="288">
        <f t="shared" si="498"/>
        <v>0.93392401361838984</v>
      </c>
      <c r="BL659" s="197">
        <f t="shared" si="499"/>
        <v>0.37608972359227794</v>
      </c>
      <c r="BM659" s="197">
        <f t="shared" si="500"/>
        <v>7.4353030976985271E-2</v>
      </c>
      <c r="BN659" s="197">
        <f t="shared" si="501"/>
        <v>54.461181858619113</v>
      </c>
      <c r="BO659" s="197">
        <f t="shared" si="529"/>
        <v>0.2082789955950014</v>
      </c>
      <c r="BP659" s="197">
        <f t="shared" si="502"/>
        <v>65.620924669625111</v>
      </c>
      <c r="BQ659" s="197">
        <f t="shared" si="503"/>
        <v>9.9596940000000009E-2</v>
      </c>
      <c r="BR659" s="288">
        <f t="shared" si="504"/>
        <v>0.16008975919012108</v>
      </c>
      <c r="BS659" s="197">
        <f t="shared" si="505"/>
        <v>0.11660930017110901</v>
      </c>
      <c r="BT659" s="197">
        <f t="shared" si="506"/>
        <v>0.36419974881911377</v>
      </c>
      <c r="BU659" s="197">
        <f t="shared" si="507"/>
        <v>0.1713930788771201</v>
      </c>
      <c r="BV659" s="197">
        <f t="shared" si="508"/>
        <v>0.53530306917875781</v>
      </c>
      <c r="BW659" s="194"/>
      <c r="BX659" s="194"/>
      <c r="BY659" s="194"/>
      <c r="BZ659" s="194"/>
      <c r="CA659" s="194"/>
      <c r="CB659" s="194"/>
      <c r="CC659" s="194"/>
      <c r="CD659" s="194"/>
      <c r="CE659" s="194"/>
      <c r="CF659" s="194"/>
      <c r="CG659" s="194"/>
      <c r="CH659" s="194"/>
      <c r="CI659" s="194"/>
      <c r="CJ659" s="194"/>
      <c r="CK659" s="194"/>
      <c r="CL659" s="194"/>
      <c r="CM659" s="194"/>
      <c r="CN659" s="194"/>
      <c r="CO659" s="194"/>
      <c r="CP659" s="194"/>
      <c r="CQ659" s="194"/>
      <c r="CR659" s="194"/>
      <c r="CS659" s="194"/>
      <c r="CT659" s="194"/>
      <c r="CU659" s="194"/>
      <c r="CV659" s="194"/>
      <c r="CW659" s="194"/>
      <c r="CX659" s="194"/>
      <c r="CY659" s="194"/>
      <c r="CZ659" s="194"/>
      <c r="DA659" s="194"/>
      <c r="DB659" s="194"/>
      <c r="DC659" s="194"/>
      <c r="DD659" s="194"/>
      <c r="DE659" s="194"/>
      <c r="DF659" s="194"/>
    </row>
    <row r="660" spans="2:110" s="192" customFormat="1" hidden="1" x14ac:dyDescent="0.35">
      <c r="B660" s="289"/>
      <c r="C660" s="289"/>
      <c r="Q660" s="193"/>
      <c r="R660" s="194">
        <f t="shared" si="509"/>
        <v>18</v>
      </c>
      <c r="S660" s="197">
        <f t="shared" si="475"/>
        <v>0.3888888888888889</v>
      </c>
      <c r="T660" s="194">
        <f t="shared" si="530"/>
        <v>0.69</v>
      </c>
      <c r="U660" s="194">
        <f t="shared" si="531"/>
        <v>1.4999999999999999E-4</v>
      </c>
      <c r="V660" s="197">
        <f t="shared" si="510"/>
        <v>0.3888888888888889</v>
      </c>
      <c r="W660" s="197">
        <f t="shared" si="476"/>
        <v>4.3555555555555561E-3</v>
      </c>
      <c r="X660" s="286">
        <f t="shared" si="477"/>
        <v>1</v>
      </c>
      <c r="Y660" s="286">
        <f t="shared" si="478"/>
        <v>0.17335969315081967</v>
      </c>
      <c r="Z660" s="286">
        <f t="shared" si="479"/>
        <v>0.54964853345132902</v>
      </c>
      <c r="AA660" s="286">
        <f t="shared" si="511"/>
        <v>0.17335969315081967</v>
      </c>
      <c r="AB660" s="197">
        <f t="shared" si="480"/>
        <v>0.36419974881911377</v>
      </c>
      <c r="AC660" s="287">
        <f t="shared" si="481"/>
        <v>4.4451203372005044E-7</v>
      </c>
      <c r="AD660" s="197">
        <f t="shared" si="512"/>
        <v>11.693936048110356</v>
      </c>
      <c r="AE660" s="197">
        <f t="shared" si="513"/>
        <v>35.08180814433107</v>
      </c>
      <c r="AF660" s="197">
        <f t="shared" si="514"/>
        <v>8.5178571428571423E-2</v>
      </c>
      <c r="AG660" s="197">
        <f t="shared" si="515"/>
        <v>0.25553571428571431</v>
      </c>
      <c r="AH660" s="197">
        <f t="shared" si="482"/>
        <v>0.11660930017110901</v>
      </c>
      <c r="AI660" s="197">
        <f t="shared" si="516"/>
        <v>0.11660930017110901</v>
      </c>
      <c r="AJ660" s="218">
        <f t="shared" si="483"/>
        <v>390.00000000000006</v>
      </c>
      <c r="AK660" s="197">
        <f t="shared" si="517"/>
        <v>6.0930617977437734E-2</v>
      </c>
      <c r="AL660" s="197">
        <f t="shared" si="518"/>
        <v>9.6203707235237593E-2</v>
      </c>
      <c r="AM660" s="197">
        <f t="shared" si="519"/>
        <v>4.0790371867740751E-3</v>
      </c>
      <c r="AN660" s="197">
        <f t="shared" si="484"/>
        <v>24.05</v>
      </c>
      <c r="AO660" s="197">
        <f t="shared" si="485"/>
        <v>21.69</v>
      </c>
      <c r="AP660" s="197">
        <f t="shared" si="520"/>
        <v>7.4093290390420161E-2</v>
      </c>
      <c r="AQ660" s="197">
        <f t="shared" si="521"/>
        <v>0.42250439890466829</v>
      </c>
      <c r="AR660" s="197">
        <f t="shared" si="522"/>
        <v>0.30589509873355925</v>
      </c>
      <c r="AS660" s="258">
        <f t="shared" si="523"/>
        <v>0.15228632177729159</v>
      </c>
      <c r="AT660" s="197">
        <f t="shared" si="486"/>
        <v>2.5974058656511614E-4</v>
      </c>
      <c r="AU660" s="194">
        <f t="shared" si="487"/>
        <v>21.19</v>
      </c>
      <c r="AV660" s="197">
        <f t="shared" si="488"/>
        <v>2.7E-2</v>
      </c>
      <c r="AW660" s="197">
        <f t="shared" si="489"/>
        <v>3.4260000000000002E-3</v>
      </c>
      <c r="AX660" s="197">
        <f t="shared" si="524"/>
        <v>6.1668000000000001E-2</v>
      </c>
      <c r="AY660" s="197">
        <f t="shared" si="490"/>
        <v>2.8867476000000005E-3</v>
      </c>
      <c r="AZ660" s="197">
        <f t="shared" si="491"/>
        <v>0</v>
      </c>
      <c r="BA660" s="197">
        <f t="shared" si="525"/>
        <v>7.2596940000000013E-2</v>
      </c>
      <c r="BB660" s="258">
        <f t="shared" si="492"/>
        <v>0.36575210336206115</v>
      </c>
      <c r="BC660" s="197">
        <f t="shared" si="493"/>
        <v>2.2380490766334034E-2</v>
      </c>
      <c r="BD660" s="197">
        <f t="shared" si="526"/>
        <v>4.4760981532668068E-3</v>
      </c>
      <c r="BE660" s="197">
        <f t="shared" si="527"/>
        <v>2.6856588919600841E-2</v>
      </c>
      <c r="BF660" s="197">
        <f t="shared" si="494"/>
        <v>0.20773291256157633</v>
      </c>
      <c r="BG660" s="197">
        <f t="shared" si="495"/>
        <v>5.4608303342508187E-4</v>
      </c>
      <c r="BH660" s="197">
        <f t="shared" si="496"/>
        <v>3.5336687086656722E-2</v>
      </c>
      <c r="BI660" s="197">
        <f t="shared" si="528"/>
        <v>0.44730899017824427</v>
      </c>
      <c r="BJ660" s="197">
        <f t="shared" si="497"/>
        <v>6.769615024661003</v>
      </c>
      <c r="BK660" s="288">
        <f t="shared" si="498"/>
        <v>0.93392401361838984</v>
      </c>
      <c r="BL660" s="197">
        <f t="shared" si="499"/>
        <v>0.37608972359227794</v>
      </c>
      <c r="BM660" s="197">
        <f t="shared" si="500"/>
        <v>7.4353030976985271E-2</v>
      </c>
      <c r="BN660" s="197">
        <f t="shared" si="501"/>
        <v>54.461181858619113</v>
      </c>
      <c r="BO660" s="197">
        <f t="shared" si="529"/>
        <v>0.2082789955950014</v>
      </c>
      <c r="BP660" s="197">
        <f t="shared" si="502"/>
        <v>65.620924669625111</v>
      </c>
      <c r="BQ660" s="197">
        <f t="shared" si="503"/>
        <v>9.9596940000000009E-2</v>
      </c>
      <c r="BR660" s="288">
        <f t="shared" si="504"/>
        <v>0.16008975919012108</v>
      </c>
      <c r="BS660" s="197">
        <f t="shared" si="505"/>
        <v>0.11660930017110901</v>
      </c>
      <c r="BT660" s="197">
        <f t="shared" si="506"/>
        <v>0.36419974881911377</v>
      </c>
      <c r="BU660" s="197">
        <f t="shared" si="507"/>
        <v>0.1713930788771201</v>
      </c>
      <c r="BV660" s="197">
        <f t="shared" si="508"/>
        <v>0.53530306917875781</v>
      </c>
      <c r="BW660" s="194"/>
      <c r="BX660" s="194"/>
      <c r="BY660" s="194"/>
      <c r="BZ660" s="194"/>
      <c r="CA660" s="194"/>
      <c r="CB660" s="194"/>
      <c r="CC660" s="194"/>
      <c r="CD660" s="194"/>
      <c r="CE660" s="194"/>
      <c r="CF660" s="194"/>
      <c r="CG660" s="194"/>
      <c r="CH660" s="194"/>
      <c r="CI660" s="194"/>
      <c r="CJ660" s="194"/>
      <c r="CK660" s="194"/>
      <c r="CL660" s="194"/>
      <c r="CM660" s="194"/>
      <c r="CN660" s="194"/>
      <c r="CO660" s="194"/>
      <c r="CP660" s="194"/>
      <c r="CQ660" s="194"/>
      <c r="CR660" s="194"/>
      <c r="CS660" s="194"/>
      <c r="CT660" s="194"/>
      <c r="CU660" s="194"/>
      <c r="CV660" s="194"/>
      <c r="CW660" s="194"/>
      <c r="CX660" s="194"/>
      <c r="CY660" s="194"/>
      <c r="CZ660" s="194"/>
      <c r="DA660" s="194"/>
      <c r="DB660" s="194"/>
      <c r="DC660" s="194"/>
      <c r="DD660" s="194"/>
      <c r="DE660" s="194"/>
      <c r="DF660" s="194"/>
    </row>
    <row r="661" spans="2:110" s="192" customFormat="1" hidden="1" x14ac:dyDescent="0.2">
      <c r="B661" s="289"/>
      <c r="C661" s="289"/>
      <c r="Q661" s="193"/>
      <c r="R661" s="194"/>
      <c r="S661" s="194"/>
      <c r="T661" s="194"/>
      <c r="U661" s="194"/>
      <c r="V661" s="195"/>
      <c r="W661" s="195"/>
      <c r="Y661" s="196"/>
      <c r="AE661" s="269"/>
      <c r="AF661" s="197"/>
      <c r="AG661" s="197"/>
      <c r="AH661" s="194"/>
      <c r="AI661" s="194"/>
      <c r="AJ661" s="197"/>
      <c r="AK661" s="194"/>
      <c r="AL661" s="194"/>
      <c r="AM661" s="194"/>
      <c r="AN661" s="194"/>
      <c r="AO661" s="194"/>
      <c r="AP661" s="194"/>
      <c r="AQ661" s="194"/>
      <c r="AR661" s="194"/>
      <c r="AS661" s="194"/>
      <c r="AT661" s="194"/>
      <c r="AU661" s="194"/>
      <c r="AV661" s="194"/>
      <c r="AW661" s="194"/>
      <c r="AX661" s="194"/>
      <c r="AY661" s="197"/>
      <c r="AZ661" s="194"/>
      <c r="BA661" s="194"/>
      <c r="BB661" s="194"/>
      <c r="BC661" s="194"/>
      <c r="BD661" s="194"/>
      <c r="BE661" s="194"/>
      <c r="BF661" s="194"/>
      <c r="BG661" s="194"/>
      <c r="BH661" s="194"/>
      <c r="BI661" s="197"/>
      <c r="BJ661" s="194"/>
      <c r="BK661" s="194"/>
      <c r="BL661" s="194"/>
      <c r="BM661" s="194"/>
      <c r="BN661" s="194"/>
      <c r="BO661" s="194"/>
      <c r="BP661" s="194"/>
      <c r="BQ661" s="194"/>
      <c r="BR661" s="194"/>
      <c r="BS661" s="194"/>
      <c r="BT661" s="194"/>
      <c r="BU661" s="194"/>
      <c r="BV661" s="194"/>
      <c r="BW661" s="194"/>
      <c r="BX661" s="194"/>
      <c r="BY661" s="194"/>
      <c r="BZ661" s="194"/>
      <c r="CA661" s="194"/>
      <c r="CB661" s="194"/>
      <c r="CC661" s="194"/>
      <c r="CD661" s="194"/>
      <c r="CE661" s="194"/>
      <c r="CF661" s="194"/>
      <c r="CG661" s="194"/>
      <c r="CH661" s="194"/>
      <c r="CI661" s="194"/>
      <c r="CJ661" s="194"/>
      <c r="CK661" s="194"/>
      <c r="CL661" s="194"/>
      <c r="CM661" s="194"/>
      <c r="CN661" s="194"/>
      <c r="CO661" s="194"/>
      <c r="CP661" s="194"/>
      <c r="CQ661" s="194"/>
      <c r="CR661" s="194"/>
      <c r="CS661" s="194"/>
      <c r="CT661" s="194"/>
      <c r="CU661" s="194"/>
      <c r="CV661" s="194"/>
      <c r="CW661" s="194"/>
      <c r="CX661" s="194"/>
      <c r="CY661" s="194"/>
      <c r="CZ661" s="194"/>
      <c r="DA661" s="194"/>
      <c r="DB661" s="194"/>
      <c r="DC661" s="194"/>
    </row>
    <row r="662" spans="2:110" s="192" customFormat="1" hidden="1" x14ac:dyDescent="0.2">
      <c r="B662" s="289"/>
      <c r="C662" s="289"/>
      <c r="Q662" s="193"/>
      <c r="R662" s="194"/>
      <c r="S662" s="194"/>
      <c r="T662" s="194"/>
      <c r="U662" s="194"/>
      <c r="V662" s="195"/>
      <c r="W662" s="195"/>
      <c r="Y662" s="196"/>
      <c r="AE662" s="269"/>
      <c r="AF662" s="197"/>
      <c r="AG662" s="197"/>
      <c r="AH662" s="194"/>
      <c r="AI662" s="194"/>
      <c r="AJ662" s="197"/>
      <c r="AK662" s="194"/>
      <c r="AL662" s="194"/>
      <c r="AM662" s="194"/>
      <c r="AN662" s="194"/>
      <c r="AO662" s="194"/>
      <c r="AP662" s="194"/>
      <c r="AQ662" s="194"/>
      <c r="AR662" s="194"/>
      <c r="AS662" s="194"/>
      <c r="AT662" s="194"/>
      <c r="AU662" s="194"/>
      <c r="AV662" s="194"/>
      <c r="AW662" s="194"/>
      <c r="AX662" s="194"/>
      <c r="AY662" s="197"/>
      <c r="AZ662" s="194"/>
      <c r="BA662" s="194"/>
      <c r="BB662" s="194"/>
      <c r="BC662" s="194"/>
      <c r="BD662" s="194"/>
      <c r="BE662" s="194"/>
      <c r="BF662" s="194"/>
      <c r="BG662" s="194"/>
      <c r="BH662" s="194"/>
      <c r="BI662" s="197"/>
      <c r="BJ662" s="194"/>
      <c r="BK662" s="194"/>
      <c r="BL662" s="194"/>
      <c r="BM662" s="194"/>
      <c r="BN662" s="194"/>
      <c r="BO662" s="194"/>
      <c r="BP662" s="194"/>
      <c r="BQ662" s="194"/>
      <c r="BR662" s="194"/>
      <c r="BS662" s="194"/>
      <c r="BT662" s="194"/>
      <c r="BU662" s="194"/>
      <c r="BV662" s="194"/>
      <c r="BW662" s="194"/>
      <c r="BX662" s="194"/>
      <c r="BY662" s="194"/>
      <c r="BZ662" s="194"/>
      <c r="CA662" s="194"/>
      <c r="CB662" s="194"/>
      <c r="CC662" s="194"/>
      <c r="CD662" s="194"/>
      <c r="CE662" s="194"/>
      <c r="CF662" s="194"/>
      <c r="CG662" s="194"/>
      <c r="CH662" s="194"/>
      <c r="CI662" s="194"/>
      <c r="CJ662" s="194"/>
      <c r="CK662" s="194"/>
      <c r="CL662" s="194"/>
      <c r="CM662" s="194"/>
      <c r="CN662" s="194"/>
      <c r="CO662" s="194"/>
      <c r="CP662" s="194"/>
      <c r="CQ662" s="194"/>
      <c r="CR662" s="194"/>
      <c r="CS662" s="194"/>
      <c r="CT662" s="194"/>
      <c r="CU662" s="194"/>
      <c r="CV662" s="194"/>
      <c r="CW662" s="194"/>
      <c r="CX662" s="194"/>
      <c r="CY662" s="194"/>
      <c r="CZ662" s="194"/>
      <c r="DA662" s="194"/>
      <c r="DB662" s="194"/>
      <c r="DC662" s="194"/>
    </row>
    <row r="663" spans="2:110" s="192" customFormat="1" hidden="1" x14ac:dyDescent="0.2">
      <c r="B663" s="289"/>
      <c r="C663" s="289"/>
      <c r="Q663" s="193"/>
      <c r="R663" s="194"/>
      <c r="S663" s="194"/>
      <c r="T663" s="194"/>
      <c r="U663" s="194"/>
      <c r="V663" s="195"/>
      <c r="W663" s="195"/>
      <c r="Y663" s="196"/>
      <c r="AE663" s="269"/>
      <c r="AF663" s="197"/>
      <c r="AG663" s="197"/>
      <c r="AH663" s="194"/>
      <c r="AI663" s="194"/>
      <c r="AJ663" s="197"/>
      <c r="AK663" s="194"/>
      <c r="AL663" s="194"/>
      <c r="AM663" s="194"/>
      <c r="AN663" s="194"/>
      <c r="AO663" s="194"/>
      <c r="AP663" s="194"/>
      <c r="AQ663" s="194"/>
      <c r="AR663" s="194"/>
      <c r="AS663" s="194"/>
      <c r="AT663" s="194"/>
      <c r="AU663" s="194"/>
      <c r="AV663" s="194"/>
      <c r="AW663" s="194"/>
      <c r="AX663" s="194"/>
      <c r="AY663" s="197"/>
      <c r="AZ663" s="194"/>
      <c r="BA663" s="194"/>
      <c r="BB663" s="194"/>
      <c r="BC663" s="194"/>
      <c r="BD663" s="194"/>
      <c r="BE663" s="194"/>
      <c r="BF663" s="194"/>
      <c r="BG663" s="194"/>
      <c r="BH663" s="194"/>
      <c r="BI663" s="197"/>
      <c r="BJ663" s="194"/>
      <c r="BK663" s="194"/>
      <c r="BL663" s="194"/>
      <c r="BM663" s="194"/>
      <c r="BN663" s="194"/>
      <c r="BO663" s="194"/>
      <c r="BP663" s="194"/>
      <c r="BQ663" s="194"/>
      <c r="BR663" s="194"/>
      <c r="BS663" s="194"/>
      <c r="BT663" s="194"/>
      <c r="BU663" s="194"/>
      <c r="BV663" s="194"/>
      <c r="BW663" s="194"/>
      <c r="BX663" s="194"/>
      <c r="BY663" s="194"/>
      <c r="BZ663" s="194"/>
      <c r="CA663" s="194"/>
      <c r="CB663" s="194"/>
      <c r="CC663" s="194"/>
      <c r="CD663" s="194"/>
      <c r="CE663" s="194"/>
      <c r="CF663" s="194"/>
      <c r="CG663" s="194"/>
      <c r="CH663" s="194"/>
      <c r="CI663" s="194"/>
      <c r="CJ663" s="194"/>
      <c r="CK663" s="194"/>
      <c r="CL663" s="194"/>
      <c r="CM663" s="194"/>
      <c r="CN663" s="194"/>
      <c r="CO663" s="194"/>
      <c r="CP663" s="194"/>
      <c r="CQ663" s="194"/>
      <c r="CR663" s="194"/>
      <c r="CS663" s="194"/>
      <c r="CT663" s="194"/>
      <c r="CU663" s="194"/>
      <c r="CV663" s="194"/>
      <c r="CW663" s="194"/>
      <c r="CX663" s="194"/>
      <c r="CY663" s="194"/>
      <c r="CZ663" s="194"/>
      <c r="DA663" s="194"/>
      <c r="DB663" s="194"/>
      <c r="DC663" s="194"/>
    </row>
    <row r="664" spans="2:110" s="192" customFormat="1" hidden="1" x14ac:dyDescent="0.2">
      <c r="B664" s="289"/>
      <c r="C664" s="289"/>
      <c r="Q664" s="193"/>
      <c r="R664" s="194"/>
      <c r="S664" s="194"/>
      <c r="T664" s="194"/>
      <c r="U664" s="194"/>
      <c r="V664" s="195"/>
      <c r="W664" s="195"/>
      <c r="Y664" s="196"/>
      <c r="AE664" s="269"/>
      <c r="AF664" s="197"/>
      <c r="AG664" s="197"/>
      <c r="AH664" s="194"/>
      <c r="AI664" s="194"/>
      <c r="AJ664" s="197"/>
      <c r="AK664" s="194"/>
      <c r="AL664" s="194"/>
      <c r="AM664" s="194"/>
      <c r="AN664" s="194"/>
      <c r="AO664" s="194"/>
      <c r="AP664" s="194"/>
      <c r="AQ664" s="194"/>
      <c r="AR664" s="194"/>
      <c r="AS664" s="194"/>
      <c r="AT664" s="194"/>
      <c r="AU664" s="194"/>
      <c r="AV664" s="194"/>
      <c r="AW664" s="194"/>
      <c r="AX664" s="194"/>
      <c r="AY664" s="197"/>
      <c r="AZ664" s="194"/>
      <c r="BA664" s="194"/>
      <c r="BB664" s="194"/>
      <c r="BC664" s="194"/>
      <c r="BD664" s="194"/>
      <c r="BE664" s="194"/>
      <c r="BF664" s="194"/>
      <c r="BG664" s="194"/>
      <c r="BH664" s="194"/>
      <c r="BI664" s="197"/>
      <c r="BJ664" s="194"/>
      <c r="BK664" s="194"/>
      <c r="BL664" s="194"/>
      <c r="BM664" s="194"/>
      <c r="BN664" s="194"/>
      <c r="BO664" s="194"/>
      <c r="BP664" s="194"/>
      <c r="BQ664" s="194"/>
      <c r="BR664" s="194"/>
      <c r="BS664" s="194"/>
      <c r="BT664" s="194"/>
      <c r="BU664" s="194"/>
      <c r="BV664" s="194"/>
      <c r="BW664" s="194"/>
      <c r="BX664" s="194"/>
      <c r="BY664" s="194"/>
      <c r="BZ664" s="194"/>
      <c r="CA664" s="194"/>
      <c r="CB664" s="194"/>
      <c r="CC664" s="194"/>
      <c r="CD664" s="194"/>
      <c r="CE664" s="194"/>
      <c r="CF664" s="194"/>
      <c r="CG664" s="194"/>
      <c r="CH664" s="194"/>
      <c r="CI664" s="194"/>
      <c r="CJ664" s="194"/>
      <c r="CK664" s="194"/>
      <c r="CL664" s="194"/>
      <c r="CM664" s="194"/>
      <c r="CN664" s="194"/>
      <c r="CO664" s="194"/>
      <c r="CP664" s="194"/>
      <c r="CQ664" s="194"/>
      <c r="CR664" s="194"/>
      <c r="CS664" s="194"/>
      <c r="CT664" s="194"/>
      <c r="CU664" s="194"/>
      <c r="CV664" s="194"/>
      <c r="CW664" s="194"/>
      <c r="CX664" s="194"/>
      <c r="CY664" s="194"/>
      <c r="CZ664" s="194"/>
      <c r="DA664" s="194"/>
      <c r="DB664" s="194"/>
      <c r="DC664" s="194"/>
    </row>
    <row r="665" spans="2:110" s="192" customFormat="1" hidden="1" x14ac:dyDescent="0.2">
      <c r="B665" s="289"/>
      <c r="C665" s="289"/>
      <c r="Q665" s="193"/>
      <c r="R665" s="194"/>
      <c r="S665" s="194"/>
      <c r="T665" s="194"/>
      <c r="U665" s="194"/>
      <c r="V665" s="195"/>
      <c r="W665" s="195"/>
      <c r="Y665" s="196"/>
      <c r="AE665" s="269"/>
      <c r="AF665" s="197"/>
      <c r="AG665" s="197"/>
      <c r="AH665" s="194"/>
      <c r="AI665" s="194"/>
      <c r="AJ665" s="197"/>
      <c r="AK665" s="194"/>
      <c r="AL665" s="194"/>
      <c r="AM665" s="194"/>
      <c r="AN665" s="194"/>
      <c r="AO665" s="194"/>
      <c r="AP665" s="194"/>
      <c r="AQ665" s="194"/>
      <c r="AR665" s="194"/>
      <c r="AS665" s="194"/>
      <c r="AT665" s="194"/>
      <c r="AU665" s="194"/>
      <c r="AV665" s="194"/>
      <c r="AW665" s="194"/>
      <c r="AX665" s="194"/>
      <c r="AY665" s="197"/>
      <c r="AZ665" s="194"/>
      <c r="BA665" s="194"/>
      <c r="BB665" s="194"/>
      <c r="BC665" s="194"/>
      <c r="BD665" s="194"/>
      <c r="BE665" s="194"/>
      <c r="BF665" s="194"/>
      <c r="BG665" s="194"/>
      <c r="BH665" s="194"/>
      <c r="BI665" s="197"/>
      <c r="BJ665" s="194"/>
      <c r="BK665" s="194"/>
      <c r="BL665" s="194"/>
      <c r="BM665" s="194"/>
      <c r="BN665" s="194"/>
      <c r="BO665" s="194"/>
      <c r="BP665" s="194"/>
      <c r="BQ665" s="194"/>
      <c r="BR665" s="194"/>
      <c r="BS665" s="194"/>
      <c r="BT665" s="194"/>
      <c r="BU665" s="194"/>
      <c r="BV665" s="194"/>
      <c r="BW665" s="194"/>
      <c r="BX665" s="194"/>
      <c r="BY665" s="194"/>
      <c r="BZ665" s="194"/>
      <c r="CA665" s="194"/>
      <c r="CB665" s="194"/>
      <c r="CC665" s="194"/>
      <c r="CD665" s="194"/>
      <c r="CE665" s="194"/>
      <c r="CF665" s="194"/>
      <c r="CG665" s="194"/>
      <c r="CH665" s="194"/>
      <c r="CI665" s="194"/>
      <c r="CJ665" s="194"/>
      <c r="CK665" s="194"/>
      <c r="CL665" s="194"/>
      <c r="CM665" s="194"/>
      <c r="CN665" s="194"/>
      <c r="CO665" s="194"/>
      <c r="CP665" s="194"/>
      <c r="CQ665" s="194"/>
      <c r="CR665" s="194"/>
      <c r="CS665" s="194"/>
      <c r="CT665" s="194"/>
      <c r="CU665" s="194"/>
      <c r="CV665" s="194"/>
      <c r="CW665" s="194"/>
      <c r="CX665" s="194"/>
      <c r="CY665" s="194"/>
      <c r="CZ665" s="194"/>
      <c r="DA665" s="194"/>
      <c r="DB665" s="194"/>
      <c r="DC665" s="194"/>
    </row>
    <row r="666" spans="2:110" s="192" customFormat="1" hidden="1" x14ac:dyDescent="0.2">
      <c r="B666" s="289"/>
      <c r="C666" s="289"/>
      <c r="Q666" s="193"/>
      <c r="R666" s="194"/>
      <c r="S666" s="194"/>
      <c r="T666" s="194"/>
      <c r="U666" s="194"/>
      <c r="V666" s="195"/>
      <c r="W666" s="195"/>
      <c r="Y666" s="196"/>
      <c r="AE666" s="269"/>
      <c r="AF666" s="197"/>
      <c r="AG666" s="197"/>
      <c r="AH666" s="194"/>
      <c r="AI666" s="194"/>
      <c r="AJ666" s="197"/>
      <c r="AK666" s="194"/>
      <c r="AL666" s="194"/>
      <c r="AM666" s="194"/>
      <c r="AN666" s="194"/>
      <c r="AO666" s="194"/>
      <c r="AP666" s="194"/>
      <c r="AQ666" s="194"/>
      <c r="AR666" s="194"/>
      <c r="AS666" s="194"/>
      <c r="AT666" s="194"/>
      <c r="AU666" s="194"/>
      <c r="AV666" s="194"/>
      <c r="AW666" s="194"/>
      <c r="AX666" s="194"/>
      <c r="AY666" s="197"/>
      <c r="AZ666" s="194"/>
      <c r="BA666" s="194"/>
      <c r="BB666" s="194"/>
      <c r="BC666" s="194"/>
      <c r="BD666" s="194"/>
      <c r="BE666" s="194"/>
      <c r="BF666" s="194"/>
      <c r="BG666" s="194"/>
      <c r="BH666" s="194"/>
      <c r="BI666" s="197"/>
      <c r="BJ666" s="194"/>
      <c r="BK666" s="194"/>
      <c r="BL666" s="194"/>
      <c r="BM666" s="194"/>
      <c r="BN666" s="194"/>
      <c r="BO666" s="194"/>
      <c r="BP666" s="194"/>
      <c r="BQ666" s="194"/>
      <c r="BR666" s="194"/>
      <c r="BS666" s="194"/>
      <c r="BT666" s="194"/>
      <c r="BU666" s="194"/>
      <c r="BV666" s="194"/>
      <c r="BW666" s="194"/>
      <c r="BX666" s="194"/>
      <c r="BY666" s="194"/>
      <c r="BZ666" s="194"/>
      <c r="CA666" s="194"/>
      <c r="CB666" s="194"/>
      <c r="CC666" s="194"/>
      <c r="CD666" s="194"/>
      <c r="CE666" s="194"/>
      <c r="CF666" s="194"/>
      <c r="CG666" s="194"/>
      <c r="CH666" s="194"/>
      <c r="CI666" s="194"/>
      <c r="CJ666" s="194"/>
      <c r="CK666" s="194"/>
      <c r="CL666" s="194"/>
      <c r="CM666" s="194"/>
      <c r="CN666" s="194"/>
      <c r="CO666" s="194"/>
      <c r="CP666" s="194"/>
      <c r="CQ666" s="194"/>
      <c r="CR666" s="194"/>
      <c r="CS666" s="194"/>
      <c r="CT666" s="194"/>
      <c r="CU666" s="194"/>
      <c r="CV666" s="194"/>
      <c r="CW666" s="194"/>
      <c r="CX666" s="194"/>
      <c r="CY666" s="194"/>
      <c r="CZ666" s="194"/>
      <c r="DA666" s="194"/>
      <c r="DB666" s="194"/>
      <c r="DC666" s="194"/>
    </row>
    <row r="667" spans="2:110" s="192" customFormat="1" hidden="1" x14ac:dyDescent="0.2">
      <c r="B667" s="289"/>
      <c r="C667" s="289"/>
      <c r="Q667" s="193"/>
      <c r="R667" s="194"/>
      <c r="S667" s="194"/>
      <c r="T667" s="194"/>
      <c r="U667" s="194"/>
      <c r="V667" s="195"/>
      <c r="W667" s="195"/>
      <c r="Y667" s="196"/>
      <c r="AE667" s="269"/>
      <c r="AF667" s="197"/>
      <c r="AG667" s="197"/>
      <c r="AH667" s="194"/>
      <c r="AI667" s="194"/>
      <c r="AJ667" s="197"/>
      <c r="AK667" s="194"/>
      <c r="AL667" s="194"/>
      <c r="AM667" s="194"/>
      <c r="AN667" s="194"/>
      <c r="AO667" s="194"/>
      <c r="AP667" s="194"/>
      <c r="AQ667" s="194"/>
      <c r="AR667" s="194"/>
      <c r="AS667" s="194"/>
      <c r="AT667" s="194"/>
      <c r="AU667" s="194"/>
      <c r="AV667" s="194"/>
      <c r="AW667" s="194"/>
      <c r="AX667" s="194"/>
      <c r="AY667" s="197"/>
      <c r="AZ667" s="194"/>
      <c r="BA667" s="194"/>
      <c r="BB667" s="194"/>
      <c r="BC667" s="194"/>
      <c r="BD667" s="194"/>
      <c r="BE667" s="194"/>
      <c r="BF667" s="194"/>
      <c r="BG667" s="194"/>
      <c r="BH667" s="194"/>
      <c r="BI667" s="197"/>
      <c r="BJ667" s="194"/>
      <c r="BK667" s="194"/>
      <c r="BL667" s="194"/>
      <c r="BM667" s="194"/>
      <c r="BN667" s="194"/>
      <c r="BO667" s="194"/>
      <c r="BP667" s="194"/>
      <c r="BQ667" s="194"/>
      <c r="BR667" s="194"/>
      <c r="BS667" s="194"/>
      <c r="BT667" s="194"/>
      <c r="BU667" s="194"/>
      <c r="BV667" s="194"/>
      <c r="BW667" s="194"/>
      <c r="BX667" s="194"/>
      <c r="BY667" s="194"/>
      <c r="BZ667" s="194"/>
      <c r="CA667" s="194"/>
      <c r="CB667" s="194"/>
      <c r="CC667" s="194"/>
      <c r="CD667" s="194"/>
      <c r="CE667" s="194"/>
      <c r="CF667" s="194"/>
      <c r="CG667" s="194"/>
      <c r="CH667" s="194"/>
      <c r="CI667" s="194"/>
      <c r="CJ667" s="194"/>
      <c r="CK667" s="194"/>
      <c r="CL667" s="194"/>
      <c r="CM667" s="194"/>
      <c r="CN667" s="194"/>
      <c r="CO667" s="194"/>
      <c r="CP667" s="194"/>
      <c r="CQ667" s="194"/>
      <c r="CR667" s="194"/>
      <c r="CS667" s="194"/>
      <c r="CT667" s="194"/>
      <c r="CU667" s="194"/>
      <c r="CV667" s="194"/>
      <c r="CW667" s="194"/>
      <c r="CX667" s="194"/>
      <c r="CY667" s="194"/>
      <c r="CZ667" s="194"/>
      <c r="DA667" s="194"/>
      <c r="DB667" s="194"/>
      <c r="DC667" s="194"/>
    </row>
    <row r="668" spans="2:110" s="192" customFormat="1" hidden="1" x14ac:dyDescent="0.2">
      <c r="B668" s="289"/>
      <c r="C668" s="289"/>
      <c r="Q668" s="193"/>
      <c r="R668" s="194"/>
      <c r="S668" s="194"/>
      <c r="T668" s="194"/>
      <c r="U668" s="194"/>
      <c r="V668" s="195"/>
      <c r="W668" s="195"/>
      <c r="Y668" s="196"/>
      <c r="AE668" s="269"/>
      <c r="AF668" s="197"/>
      <c r="AG668" s="197"/>
      <c r="AH668" s="194"/>
      <c r="AI668" s="194"/>
      <c r="AJ668" s="197"/>
      <c r="AK668" s="194"/>
      <c r="AL668" s="194"/>
      <c r="AM668" s="194"/>
      <c r="AN668" s="194"/>
      <c r="AO668" s="194"/>
      <c r="AP668" s="194"/>
      <c r="AQ668" s="194"/>
      <c r="AR668" s="194"/>
      <c r="AS668" s="194"/>
      <c r="AT668" s="194"/>
      <c r="AU668" s="194"/>
      <c r="AV668" s="194"/>
      <c r="AW668" s="194"/>
      <c r="AX668" s="194"/>
      <c r="AY668" s="197"/>
      <c r="AZ668" s="194"/>
      <c r="BA668" s="194"/>
      <c r="BB668" s="194"/>
      <c r="BC668" s="194"/>
      <c r="BD668" s="194"/>
      <c r="BE668" s="194"/>
      <c r="BF668" s="194"/>
      <c r="BG668" s="194"/>
      <c r="BH668" s="194"/>
      <c r="BI668" s="197"/>
      <c r="BJ668" s="194"/>
      <c r="BK668" s="194"/>
      <c r="BL668" s="194"/>
      <c r="BM668" s="194"/>
      <c r="BN668" s="194"/>
      <c r="BO668" s="194"/>
      <c r="BP668" s="194"/>
      <c r="BQ668" s="194"/>
      <c r="BR668" s="194"/>
      <c r="BS668" s="194"/>
      <c r="BT668" s="194"/>
      <c r="BU668" s="194"/>
      <c r="BV668" s="194"/>
      <c r="BW668" s="194"/>
      <c r="BX668" s="194"/>
      <c r="BY668" s="194"/>
      <c r="BZ668" s="194"/>
      <c r="CA668" s="194"/>
      <c r="CB668" s="194"/>
      <c r="CC668" s="194"/>
      <c r="CD668" s="194"/>
      <c r="CE668" s="194"/>
      <c r="CF668" s="194"/>
      <c r="CG668" s="194"/>
      <c r="CH668" s="194"/>
      <c r="CI668" s="194"/>
      <c r="CJ668" s="194"/>
      <c r="CK668" s="194"/>
      <c r="CL668" s="194"/>
      <c r="CM668" s="194"/>
      <c r="CN668" s="194"/>
      <c r="CO668" s="194"/>
      <c r="CP668" s="194"/>
      <c r="CQ668" s="194"/>
      <c r="CR668" s="194"/>
      <c r="CS668" s="194"/>
      <c r="CT668" s="194"/>
      <c r="CU668" s="194"/>
      <c r="CV668" s="194"/>
      <c r="CW668" s="194"/>
      <c r="CX668" s="194"/>
      <c r="CY668" s="194"/>
      <c r="CZ668" s="194"/>
      <c r="DA668" s="194"/>
      <c r="DB668" s="194"/>
      <c r="DC668" s="194"/>
    </row>
    <row r="669" spans="2:110" s="192" customFormat="1" hidden="1" x14ac:dyDescent="0.2">
      <c r="B669" s="289"/>
      <c r="C669" s="289"/>
      <c r="Q669" s="193"/>
      <c r="R669" s="194"/>
      <c r="S669" s="194"/>
      <c r="T669" s="194"/>
      <c r="U669" s="194"/>
      <c r="V669" s="195"/>
      <c r="W669" s="195"/>
      <c r="Y669" s="196"/>
      <c r="AE669" s="269"/>
      <c r="AF669" s="197"/>
      <c r="AG669" s="197"/>
      <c r="AH669" s="194"/>
      <c r="AI669" s="194"/>
      <c r="AJ669" s="197"/>
      <c r="AK669" s="194"/>
      <c r="AL669" s="194"/>
      <c r="AM669" s="194"/>
      <c r="AN669" s="194"/>
      <c r="AO669" s="194"/>
      <c r="AP669" s="194"/>
      <c r="AQ669" s="194"/>
      <c r="AR669" s="194"/>
      <c r="AS669" s="194"/>
      <c r="AT669" s="194"/>
      <c r="AU669" s="194"/>
      <c r="AV669" s="194"/>
      <c r="AW669" s="194"/>
      <c r="AX669" s="194"/>
      <c r="AY669" s="197"/>
      <c r="AZ669" s="194"/>
      <c r="BA669" s="194"/>
      <c r="BB669" s="194"/>
      <c r="BC669" s="194"/>
      <c r="BD669" s="194"/>
      <c r="BE669" s="194"/>
      <c r="BF669" s="194"/>
      <c r="BG669" s="194"/>
      <c r="BH669" s="194"/>
      <c r="BI669" s="197"/>
      <c r="BJ669" s="194"/>
      <c r="BK669" s="194"/>
      <c r="BL669" s="194"/>
      <c r="BM669" s="194"/>
      <c r="BN669" s="194"/>
      <c r="BO669" s="194"/>
      <c r="BP669" s="194"/>
      <c r="BQ669" s="194"/>
      <c r="BR669" s="194"/>
      <c r="BS669" s="194"/>
      <c r="BT669" s="194"/>
      <c r="BU669" s="194"/>
      <c r="BV669" s="194"/>
      <c r="BW669" s="194"/>
      <c r="BX669" s="194"/>
      <c r="BY669" s="194"/>
      <c r="BZ669" s="194"/>
      <c r="CA669" s="194"/>
      <c r="CB669" s="194"/>
      <c r="CC669" s="194"/>
      <c r="CD669" s="194"/>
      <c r="CE669" s="194"/>
      <c r="CF669" s="194"/>
      <c r="CG669" s="194"/>
      <c r="CH669" s="194"/>
      <c r="CI669" s="194"/>
      <c r="CJ669" s="194"/>
      <c r="CK669" s="194"/>
      <c r="CL669" s="194"/>
      <c r="CM669" s="194"/>
      <c r="CN669" s="194"/>
      <c r="CO669" s="194"/>
      <c r="CP669" s="194"/>
      <c r="CQ669" s="194"/>
      <c r="CR669" s="194"/>
      <c r="CS669" s="194"/>
      <c r="CT669" s="194"/>
      <c r="CU669" s="194"/>
      <c r="CV669" s="194"/>
      <c r="CW669" s="194"/>
      <c r="CX669" s="194"/>
      <c r="CY669" s="194"/>
      <c r="CZ669" s="194"/>
      <c r="DA669" s="194"/>
      <c r="DB669" s="194"/>
      <c r="DC669" s="194"/>
    </row>
    <row r="670" spans="2:110" s="192" customFormat="1" hidden="1" x14ac:dyDescent="0.2">
      <c r="B670" s="289"/>
      <c r="C670" s="289"/>
      <c r="Q670" s="193"/>
      <c r="R670" s="194"/>
      <c r="S670" s="194"/>
      <c r="T670" s="194"/>
      <c r="U670" s="194"/>
      <c r="V670" s="195"/>
      <c r="W670" s="195"/>
      <c r="Y670" s="196"/>
      <c r="AE670" s="269"/>
      <c r="AF670" s="197"/>
      <c r="AG670" s="197"/>
      <c r="AH670" s="194"/>
      <c r="AI670" s="194"/>
      <c r="AJ670" s="197"/>
      <c r="AK670" s="194"/>
      <c r="AL670" s="194"/>
      <c r="AM670" s="194"/>
      <c r="AN670" s="194"/>
      <c r="AO670" s="194"/>
      <c r="AP670" s="194"/>
      <c r="AQ670" s="194"/>
      <c r="AR670" s="194"/>
      <c r="AS670" s="194"/>
      <c r="AT670" s="194"/>
      <c r="AU670" s="194"/>
      <c r="AV670" s="194"/>
      <c r="AW670" s="194"/>
      <c r="AX670" s="194"/>
      <c r="AY670" s="197"/>
      <c r="AZ670" s="194"/>
      <c r="BA670" s="194"/>
      <c r="BB670" s="194"/>
      <c r="BC670" s="194"/>
      <c r="BD670" s="194"/>
      <c r="BE670" s="194"/>
      <c r="BF670" s="194"/>
      <c r="BG670" s="194"/>
      <c r="BH670" s="194"/>
      <c r="BI670" s="197"/>
      <c r="BJ670" s="194"/>
      <c r="BK670" s="194"/>
      <c r="BL670" s="194"/>
      <c r="BM670" s="194"/>
      <c r="BN670" s="194"/>
      <c r="BO670" s="194"/>
      <c r="BP670" s="194"/>
      <c r="BQ670" s="194"/>
      <c r="BR670" s="194"/>
      <c r="BS670" s="194"/>
      <c r="BT670" s="194"/>
      <c r="BU670" s="194"/>
      <c r="BV670" s="194"/>
      <c r="BW670" s="194"/>
      <c r="BX670" s="194"/>
      <c r="BY670" s="194"/>
      <c r="BZ670" s="194"/>
      <c r="CA670" s="194"/>
      <c r="CB670" s="194"/>
      <c r="CC670" s="194"/>
      <c r="CD670" s="194"/>
      <c r="CE670" s="194"/>
      <c r="CF670" s="194"/>
      <c r="CG670" s="194"/>
      <c r="CH670" s="194"/>
      <c r="CI670" s="194"/>
      <c r="CJ670" s="194"/>
      <c r="CK670" s="194"/>
      <c r="CL670" s="194"/>
      <c r="CM670" s="194"/>
      <c r="CN670" s="194"/>
      <c r="CO670" s="194"/>
      <c r="CP670" s="194"/>
      <c r="CQ670" s="194"/>
      <c r="CR670" s="194"/>
      <c r="CS670" s="194"/>
      <c r="CT670" s="194"/>
      <c r="CU670" s="194"/>
      <c r="CV670" s="194"/>
      <c r="CW670" s="194"/>
      <c r="CX670" s="194"/>
      <c r="CY670" s="194"/>
      <c r="CZ670" s="194"/>
      <c r="DA670" s="194"/>
      <c r="DB670" s="194"/>
      <c r="DC670" s="194"/>
    </row>
    <row r="671" spans="2:110" s="192" customFormat="1" hidden="1" x14ac:dyDescent="0.2">
      <c r="B671" s="289"/>
      <c r="C671" s="289"/>
      <c r="Q671" s="193"/>
      <c r="R671" s="194"/>
      <c r="S671" s="194"/>
      <c r="T671" s="194"/>
      <c r="U671" s="194"/>
      <c r="V671" s="195"/>
      <c r="W671" s="195"/>
      <c r="Y671" s="196"/>
      <c r="AE671" s="269"/>
      <c r="AF671" s="197"/>
      <c r="AG671" s="197"/>
      <c r="AH671" s="194"/>
      <c r="AI671" s="194"/>
      <c r="AJ671" s="197"/>
      <c r="AK671" s="194"/>
      <c r="AL671" s="194"/>
      <c r="AM671" s="194"/>
      <c r="AN671" s="194"/>
      <c r="AO671" s="194"/>
      <c r="AP671" s="194"/>
      <c r="AQ671" s="194"/>
      <c r="AR671" s="194"/>
      <c r="AS671" s="194"/>
      <c r="AT671" s="194"/>
      <c r="AU671" s="194"/>
      <c r="AV671" s="194"/>
      <c r="AW671" s="194"/>
      <c r="AX671" s="194"/>
      <c r="AY671" s="197"/>
      <c r="AZ671" s="194"/>
      <c r="BA671" s="194"/>
      <c r="BB671" s="194"/>
      <c r="BC671" s="194"/>
      <c r="BD671" s="194"/>
      <c r="BE671" s="194"/>
      <c r="BF671" s="194"/>
      <c r="BG671" s="194"/>
      <c r="BH671" s="194"/>
      <c r="BI671" s="197"/>
      <c r="BJ671" s="194"/>
      <c r="BK671" s="194"/>
      <c r="BL671" s="194"/>
      <c r="BM671" s="194"/>
      <c r="BN671" s="194"/>
      <c r="BO671" s="194"/>
      <c r="BP671" s="194"/>
      <c r="BQ671" s="194"/>
      <c r="BR671" s="194"/>
      <c r="BS671" s="194"/>
      <c r="BT671" s="194"/>
      <c r="BU671" s="194"/>
      <c r="BV671" s="194"/>
      <c r="BW671" s="194"/>
      <c r="BX671" s="194"/>
      <c r="BY671" s="194"/>
      <c r="BZ671" s="194"/>
      <c r="CA671" s="194"/>
      <c r="CB671" s="194"/>
      <c r="CC671" s="194"/>
      <c r="CD671" s="194"/>
      <c r="CE671" s="194"/>
      <c r="CF671" s="194"/>
      <c r="CG671" s="194"/>
      <c r="CH671" s="194"/>
      <c r="CI671" s="194"/>
      <c r="CJ671" s="194"/>
      <c r="CK671" s="194"/>
      <c r="CL671" s="194"/>
      <c r="CM671" s="194"/>
      <c r="CN671" s="194"/>
      <c r="CO671" s="194"/>
      <c r="CP671" s="194"/>
      <c r="CQ671" s="194"/>
      <c r="CR671" s="194"/>
      <c r="CS671" s="194"/>
      <c r="CT671" s="194"/>
      <c r="CU671" s="194"/>
      <c r="CV671" s="194"/>
      <c r="CW671" s="194"/>
      <c r="CX671" s="194"/>
      <c r="CY671" s="194"/>
      <c r="CZ671" s="194"/>
      <c r="DA671" s="194"/>
      <c r="DB671" s="194"/>
      <c r="DC671" s="194"/>
    </row>
  </sheetData>
  <sheetProtection sheet="1" objects="1" scenarios="1" selectLockedCells="1"/>
  <dataConsolidate function="count"/>
  <mergeCells count="13">
    <mergeCell ref="B42:E42"/>
    <mergeCell ref="C43:E43"/>
    <mergeCell ref="C44:D44"/>
    <mergeCell ref="B52:E52"/>
    <mergeCell ref="C53:E53"/>
    <mergeCell ref="C54:D54"/>
    <mergeCell ref="B58:E58"/>
    <mergeCell ref="B21:C21"/>
    <mergeCell ref="B22:C22"/>
    <mergeCell ref="B23:C23"/>
    <mergeCell ref="B27:E27"/>
    <mergeCell ref="C28:E28"/>
    <mergeCell ref="C29:D29"/>
  </mergeCells>
  <phoneticPr fontId="2" type="noConversion"/>
  <conditionalFormatting sqref="H33:K33">
    <cfRule type="expression" dxfId="16" priority="14" stopIfTrue="1">
      <formula>TJMAXMOS&lt;$J$33</formula>
    </cfRule>
  </conditionalFormatting>
  <conditionalFormatting sqref="H34:K34">
    <cfRule type="expression" dxfId="15" priority="15" stopIfTrue="1">
      <formula>TJMAXFW&lt;$J$34</formula>
    </cfRule>
  </conditionalFormatting>
  <conditionalFormatting sqref="H35:K35">
    <cfRule type="expression" dxfId="14" priority="16" stopIfTrue="1">
      <formula>TJMAX&lt;$J$35</formula>
    </cfRule>
  </conditionalFormatting>
  <conditionalFormatting sqref="H16:K16">
    <cfRule type="expression" dxfId="13" priority="11" stopIfTrue="1">
      <formula>(VRSMAX&gt;0.3)</formula>
    </cfRule>
  </conditionalFormatting>
  <conditionalFormatting sqref="H15:K15">
    <cfRule type="expression" dxfId="12" priority="9" stopIfTrue="1">
      <formula>(VRSMIN&lt;0.08)</formula>
    </cfRule>
  </conditionalFormatting>
  <conditionalFormatting sqref="B11:E11">
    <cfRule type="expression" dxfId="11" priority="7" stopIfTrue="1">
      <formula>(VINMIN&lt;5.4)</formula>
    </cfRule>
  </conditionalFormatting>
  <conditionalFormatting sqref="F26:F41">
    <cfRule type="expression" dxfId="10" priority="5" stopIfTrue="1">
      <formula>$C$28&lt;&gt;"CUSTOM"</formula>
    </cfRule>
  </conditionalFormatting>
  <conditionalFormatting sqref="F42:F51">
    <cfRule type="expression" dxfId="9" priority="2" stopIfTrue="1">
      <formula>$C$43&lt;&gt;"CUSTOM"</formula>
    </cfRule>
  </conditionalFormatting>
  <conditionalFormatting sqref="F52:F57">
    <cfRule type="expression" dxfId="8" priority="1" stopIfTrue="1">
      <formula>$C$53&lt;&gt;"CUSTOM"</formula>
    </cfRule>
  </conditionalFormatting>
  <conditionalFormatting sqref="H13:K13">
    <cfRule type="expression" dxfId="7" priority="27" stopIfTrue="1">
      <formula>(VLOOKUP($C$29,MOSFETS,4,FALSE)&lt;$J$13)</formula>
    </cfRule>
  </conditionalFormatting>
  <conditionalFormatting sqref="H14:K14">
    <cfRule type="expression" dxfId="6" priority="28" stopIfTrue="1">
      <formula>(VLOOKUP($C$44,SCHOTTKIES,4,FALSE)&lt;$J$14)</formula>
    </cfRule>
  </conditionalFormatting>
  <conditionalFormatting sqref="H17:K17">
    <cfRule type="expression" dxfId="5" priority="29" stopIfTrue="1">
      <formula>(VLOOKUP($C$54,COILS,6,FALSE)&lt;$J$17)</formula>
    </cfRule>
  </conditionalFormatting>
  <dataValidations xWindow="540" yWindow="333" count="15">
    <dataValidation type="decimal" allowBlank="1" showInputMessage="1" showErrorMessage="1" errorTitle="Temperature" error="Between -40 and +125" sqref="D17">
      <formula1>-40</formula1>
      <formula2>125</formula2>
    </dataValidation>
    <dataValidation type="decimal" allowBlank="1" showInputMessage="1" showErrorMessage="1" errorTitle="Minimum Input Voltage" error="5V to VINMAX-0.2" sqref="D11">
      <formula1>5</formula1>
      <formula2>VINMAX-0.2</formula2>
    </dataValidation>
    <dataValidation type="decimal" allowBlank="1" showInputMessage="1" showErrorMessage="1" errorTitle="Maximum Input Voltage" error="VINMIN+0.2V to 60V" sqref="D10">
      <formula1>VINMIN+0.2</formula1>
      <formula2>60</formula2>
    </dataValidation>
    <dataValidation type="decimal" allowBlank="1" showInputMessage="1" showErrorMessage="1" errorTitle="LED forward voltage" error="1 to 5V" sqref="D12">
      <formula1>1</formula1>
      <formula2>5</formula2>
    </dataValidation>
    <dataValidation type="whole" allowBlank="1" showInputMessage="1" showErrorMessage="1" errorTitle="Number of diodes" error="Whole number 1 to 30" sqref="D13">
      <formula1>1</formula1>
      <formula2>30</formula2>
    </dataValidation>
    <dataValidation type="decimal" allowBlank="1" showInputMessage="1" showErrorMessage="1" errorTitle="LED current" error="0.05 to 10A" sqref="D14">
      <formula1>0.05</formula1>
      <formula2>10</formula2>
    </dataValidation>
    <dataValidation type="decimal" allowBlank="1" showInputMessage="1" showErrorMessage="1" errorTitle="VRIPIN" error="0 to 1V" sqref="D15">
      <formula1>0</formula1>
      <formula2>1</formula2>
    </dataValidation>
    <dataValidation type="decimal" allowBlank="1" showInputMessage="1" showErrorMessage="1" errorTitle="VRIPOUT" error="0 to 1V" sqref="D16">
      <formula1>0</formula1>
      <formula2>1</formula2>
    </dataValidation>
    <dataValidation type="list" allowBlank="1" showErrorMessage="1" promptTitle="Schottky diode selection" prompt="Optimum choice first, then suitable alternatives in order of increasing size" sqref="C59">
      <formula1>GIRANGE</formula1>
    </dataValidation>
    <dataValidation type="list" allowBlank="1" showInputMessage="1" showErrorMessage="1" sqref="C20">
      <formula1>"AUTO, EXCLUDE"</formula1>
    </dataValidation>
    <dataValidation type="list" allowBlank="1" showErrorMessage="1" promptTitle="Coil selection" prompt="Suitable coils, optimum value first then higher and lower values, in order of increasing package size" sqref="C53">
      <formula1>COILS_NAMES</formula1>
    </dataValidation>
    <dataValidation type="list" allowBlank="1" showErrorMessage="1" promptTitle="Coil selection" prompt="Suitable coils, optimum value first then higher and lower values, in order of increasing package size" sqref="C28:E28">
      <formula1>MOSFET_NAMES</formula1>
    </dataValidation>
    <dataValidation type="list" allowBlank="1" showErrorMessage="1" promptTitle="Coil selection" prompt="Suitable coils, optimum value first then higher and lower values, in order of increasing package size" sqref="C43:E43">
      <formula1>SCHOTTKY_NAMES</formula1>
    </dataValidation>
    <dataValidation type="list" allowBlank="1" showInputMessage="1" showErrorMessage="1" sqref="C19">
      <formula1>OFFSET($T$103,1,0,MAX($R$104:$R$107),1)</formula1>
    </dataValidation>
    <dataValidation allowBlank="1" showErrorMessage="1" promptTitle="Coil selection" prompt="Suitable coils, optimum value first then higher and lower values, in order of increasing package size" sqref="B28 B43"/>
  </dataValidations>
  <pageMargins left="0.74803149606299213" right="0.74803149606299213" top="0.78740157480314965" bottom="0.78740157480314965" header="0.31496062992125984" footer="0.31496062992125984"/>
  <pageSetup paperSize="9" scale="90" orientation="landscape" r:id="rId1"/>
  <headerFooter alignWithMargins="0"/>
  <ignoredErrors>
    <ignoredError sqref="T5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27"/>
  </sheetPr>
  <dimension ref="A1:O116"/>
  <sheetViews>
    <sheetView showGridLines="0" showRowColHeaders="0" zoomScale="85" zoomScaleNormal="85" workbookViewId="0">
      <selection activeCell="R58" sqref="R58"/>
    </sheetView>
  </sheetViews>
  <sheetFormatPr defaultRowHeight="12.5" x14ac:dyDescent="0.25"/>
  <sheetData>
    <row r="1" spans="1:15" x14ac:dyDescent="0.25">
      <c r="A1" s="6"/>
      <c r="B1" s="6"/>
      <c r="C1" s="6"/>
      <c r="D1" s="6"/>
      <c r="E1" s="6"/>
      <c r="F1" s="6"/>
      <c r="G1" s="6"/>
      <c r="H1" s="6"/>
      <c r="I1" s="6"/>
      <c r="J1" s="6"/>
      <c r="K1" s="6"/>
      <c r="L1" s="6"/>
      <c r="M1" s="6"/>
      <c r="N1" s="6"/>
    </row>
    <row r="2" spans="1:15" ht="19" x14ac:dyDescent="0.45">
      <c r="A2" s="2"/>
      <c r="B2" s="1"/>
      <c r="C2" s="2"/>
      <c r="D2" s="2"/>
      <c r="E2" s="2"/>
      <c r="F2" s="7" t="str">
        <f>Calculator!D2&amp;": Explanatory Notes"</f>
        <v>AL8871Q Calculator: Explanatory Notes</v>
      </c>
      <c r="G2" s="2"/>
      <c r="H2" s="2"/>
      <c r="I2" s="2"/>
      <c r="J2" s="6"/>
      <c r="K2" s="6"/>
      <c r="L2" s="125" t="s">
        <v>6</v>
      </c>
      <c r="M2" s="146">
        <f>Calculator!H2</f>
        <v>1.2</v>
      </c>
    </row>
    <row r="3" spans="1:15" ht="13.5" x14ac:dyDescent="0.35">
      <c r="A3" s="2"/>
      <c r="B3" s="1"/>
      <c r="C3" s="2"/>
      <c r="D3" s="2"/>
      <c r="E3" s="2"/>
      <c r="F3" s="2"/>
      <c r="G3" s="2"/>
      <c r="H3" s="2"/>
      <c r="I3" s="2"/>
      <c r="J3" s="6"/>
      <c r="K3" s="6"/>
      <c r="M3" s="6" t="str">
        <f>T(Calculator!G3)</f>
        <v>October 2021</v>
      </c>
      <c r="N3" s="6"/>
      <c r="O3" s="29"/>
    </row>
    <row r="4" spans="1:15" ht="13.5" x14ac:dyDescent="0.35">
      <c r="A4" s="2"/>
      <c r="B4" s="1"/>
      <c r="C4" s="2"/>
      <c r="D4" s="2"/>
      <c r="E4" s="2"/>
      <c r="F4" s="2"/>
      <c r="G4" s="2"/>
      <c r="H4" s="2"/>
      <c r="I4" s="2"/>
      <c r="J4" s="6"/>
      <c r="K4" s="6"/>
      <c r="L4" s="6"/>
      <c r="M4" s="6"/>
      <c r="N4" s="6"/>
    </row>
    <row r="5" spans="1:15" ht="15.5" x14ac:dyDescent="0.35">
      <c r="A5" s="2"/>
      <c r="B5" s="82" t="s">
        <v>488</v>
      </c>
      <c r="C5" s="2"/>
      <c r="D5" s="2"/>
      <c r="E5" s="2"/>
      <c r="F5" s="2"/>
      <c r="G5" s="2"/>
      <c r="H5" s="2"/>
      <c r="I5" s="2"/>
      <c r="J5" s="6"/>
      <c r="K5" s="6"/>
      <c r="L5" s="6"/>
      <c r="M5" s="6"/>
      <c r="N5" s="6"/>
    </row>
    <row r="6" spans="1:15" ht="13.5" x14ac:dyDescent="0.35">
      <c r="A6" s="2"/>
      <c r="B6" s="1"/>
      <c r="C6" s="2"/>
      <c r="D6" s="2"/>
      <c r="E6" s="2"/>
      <c r="F6" s="2"/>
      <c r="G6" s="2"/>
      <c r="H6" s="2"/>
      <c r="I6" s="2"/>
      <c r="J6" s="6"/>
      <c r="K6" s="6"/>
      <c r="L6" s="6"/>
      <c r="M6" s="6"/>
      <c r="N6" s="6"/>
    </row>
    <row r="7" spans="1:15" ht="13.5" x14ac:dyDescent="0.35">
      <c r="A7" s="2"/>
      <c r="B7" s="1"/>
      <c r="C7" s="2"/>
      <c r="D7" s="2"/>
      <c r="E7" s="2"/>
      <c r="F7" s="2"/>
      <c r="G7" s="2"/>
      <c r="H7" s="2"/>
      <c r="I7" s="2"/>
      <c r="J7" s="6"/>
      <c r="K7" s="6"/>
      <c r="L7" s="6"/>
      <c r="M7" s="6"/>
      <c r="N7" s="6"/>
    </row>
    <row r="8" spans="1:15" ht="13.5" x14ac:dyDescent="0.35">
      <c r="A8" s="2"/>
      <c r="B8" s="1"/>
      <c r="C8" s="2"/>
      <c r="D8" s="2"/>
      <c r="E8" s="2"/>
      <c r="F8" s="2"/>
      <c r="G8" s="2"/>
      <c r="H8" s="2"/>
      <c r="I8" s="2"/>
      <c r="J8" s="6"/>
      <c r="K8" s="6"/>
      <c r="L8" s="6"/>
      <c r="M8" s="6"/>
      <c r="N8" s="6"/>
    </row>
    <row r="9" spans="1:15" ht="13.5" x14ac:dyDescent="0.35">
      <c r="A9" s="2"/>
      <c r="B9" s="1"/>
      <c r="C9" s="2"/>
      <c r="D9" s="2"/>
      <c r="E9" s="2"/>
      <c r="F9" s="2"/>
      <c r="G9" s="2"/>
      <c r="H9" s="2"/>
      <c r="I9" s="2"/>
      <c r="J9" s="6"/>
      <c r="K9" s="6"/>
      <c r="L9" s="6"/>
      <c r="M9" s="6"/>
      <c r="N9" s="6"/>
    </row>
    <row r="10" spans="1:15" ht="13.5" x14ac:dyDescent="0.35">
      <c r="A10" s="2"/>
      <c r="B10" s="1"/>
      <c r="C10" s="2"/>
      <c r="D10" s="2"/>
      <c r="E10" s="2"/>
      <c r="F10" s="2"/>
      <c r="G10" s="2"/>
      <c r="H10" s="2"/>
      <c r="I10" s="2"/>
      <c r="J10" s="6"/>
      <c r="K10" s="6"/>
      <c r="L10" s="6"/>
      <c r="M10" s="6"/>
      <c r="N10" s="6"/>
    </row>
    <row r="11" spans="1:15" x14ac:dyDescent="0.25">
      <c r="A11" s="6"/>
      <c r="B11" s="6"/>
      <c r="C11" s="6"/>
      <c r="D11" s="6"/>
      <c r="E11" s="6"/>
      <c r="F11" s="6"/>
      <c r="G11" s="6"/>
      <c r="H11" s="6"/>
      <c r="I11" s="6"/>
      <c r="J11" s="6"/>
      <c r="K11" s="6"/>
      <c r="L11" s="6"/>
      <c r="M11" s="6"/>
      <c r="N11" s="6"/>
    </row>
    <row r="12" spans="1:15" x14ac:dyDescent="0.25">
      <c r="A12" s="6"/>
      <c r="B12" s="6"/>
      <c r="C12" s="6"/>
      <c r="D12" s="6"/>
      <c r="E12" s="6"/>
      <c r="F12" s="6"/>
      <c r="G12" s="6"/>
      <c r="H12" s="6"/>
      <c r="I12" s="6"/>
      <c r="J12" s="6"/>
      <c r="K12" s="6"/>
      <c r="L12" s="6"/>
      <c r="M12" s="6"/>
      <c r="N12" s="6"/>
    </row>
    <row r="13" spans="1:15" x14ac:dyDescent="0.25">
      <c r="A13" s="6"/>
      <c r="B13" s="6"/>
      <c r="C13" s="6"/>
      <c r="D13" s="6"/>
      <c r="E13" s="6"/>
      <c r="F13" s="6"/>
      <c r="G13" s="6"/>
      <c r="H13" s="6"/>
      <c r="I13" s="6"/>
      <c r="J13" s="6"/>
      <c r="K13" s="6"/>
      <c r="L13" s="6"/>
      <c r="M13" s="6"/>
      <c r="N13" s="6"/>
    </row>
    <row r="14" spans="1:15" x14ac:dyDescent="0.25">
      <c r="A14" s="6"/>
      <c r="B14" s="6"/>
      <c r="C14" s="6"/>
      <c r="D14" s="6"/>
      <c r="E14" s="6"/>
      <c r="F14" s="6"/>
      <c r="G14" s="6"/>
      <c r="H14" s="6"/>
      <c r="I14" s="6"/>
      <c r="J14" s="6"/>
      <c r="K14" s="6"/>
      <c r="L14" s="6"/>
      <c r="M14" s="6"/>
      <c r="N14" s="6"/>
    </row>
    <row r="15" spans="1:15" x14ac:dyDescent="0.25">
      <c r="A15" s="6"/>
      <c r="B15" s="6"/>
      <c r="C15" s="6"/>
      <c r="D15" s="6"/>
      <c r="E15" s="6"/>
      <c r="F15" s="6"/>
      <c r="G15" s="6"/>
      <c r="H15" s="6"/>
      <c r="I15" s="6"/>
      <c r="J15" s="6"/>
      <c r="K15" s="6"/>
      <c r="L15" s="6"/>
      <c r="M15" s="6"/>
      <c r="N15" s="6"/>
    </row>
    <row r="16" spans="1:15" x14ac:dyDescent="0.25">
      <c r="A16" s="6"/>
      <c r="B16" s="6"/>
      <c r="C16" s="6"/>
      <c r="D16" s="6"/>
      <c r="E16" s="6"/>
      <c r="F16" s="6"/>
      <c r="G16" s="6"/>
      <c r="H16" s="6"/>
      <c r="I16" s="6"/>
      <c r="J16" s="6"/>
      <c r="K16" s="6"/>
      <c r="L16" s="6"/>
      <c r="M16" s="6"/>
      <c r="N16" s="6"/>
    </row>
    <row r="17" spans="1:14" x14ac:dyDescent="0.25">
      <c r="A17" s="6"/>
      <c r="B17" s="6"/>
      <c r="C17" s="6"/>
      <c r="D17" s="6"/>
      <c r="E17" s="6"/>
      <c r="F17" s="6"/>
      <c r="G17" s="6"/>
      <c r="H17" s="6"/>
      <c r="I17" s="6"/>
      <c r="J17" s="6"/>
      <c r="K17" s="6"/>
      <c r="L17" s="6"/>
      <c r="M17" s="6"/>
      <c r="N17" s="6"/>
    </row>
    <row r="18" spans="1:14" x14ac:dyDescent="0.25">
      <c r="A18" s="6"/>
      <c r="B18" s="6"/>
      <c r="C18" s="6"/>
      <c r="D18" s="6"/>
      <c r="E18" s="6"/>
      <c r="F18" s="6"/>
      <c r="G18" s="6"/>
      <c r="H18" s="6"/>
      <c r="I18" s="6"/>
      <c r="J18" s="6"/>
      <c r="K18" s="6"/>
      <c r="L18" s="6"/>
      <c r="M18" s="6"/>
      <c r="N18" s="6"/>
    </row>
    <row r="19" spans="1:14" x14ac:dyDescent="0.25">
      <c r="A19" s="6"/>
      <c r="B19" s="6"/>
      <c r="C19" s="6"/>
      <c r="D19" s="6"/>
      <c r="E19" s="6"/>
      <c r="F19" s="6"/>
      <c r="G19" s="6"/>
      <c r="H19" s="6"/>
      <c r="I19" s="6"/>
      <c r="J19" s="6"/>
      <c r="K19" s="6"/>
      <c r="L19" s="6"/>
      <c r="M19" s="6"/>
      <c r="N19" s="6"/>
    </row>
    <row r="20" spans="1:14" x14ac:dyDescent="0.25">
      <c r="A20" s="6"/>
      <c r="B20" s="6"/>
      <c r="C20" s="6"/>
      <c r="D20" s="6"/>
      <c r="E20" s="6"/>
      <c r="F20" s="6"/>
      <c r="G20" s="6"/>
      <c r="H20" s="6"/>
      <c r="I20" s="6"/>
      <c r="J20" s="6"/>
      <c r="K20" s="6"/>
      <c r="L20" s="6"/>
      <c r="M20" s="6"/>
      <c r="N20" s="6"/>
    </row>
    <row r="21" spans="1:14" x14ac:dyDescent="0.25">
      <c r="A21" s="6"/>
      <c r="B21" s="6"/>
      <c r="C21" s="6"/>
      <c r="D21" s="6"/>
      <c r="E21" s="6"/>
      <c r="F21" s="6"/>
      <c r="G21" s="6"/>
      <c r="H21" s="6"/>
      <c r="I21" s="6"/>
      <c r="J21" s="6"/>
      <c r="K21" s="6"/>
      <c r="L21" s="6"/>
      <c r="M21" s="6"/>
      <c r="N21" s="6"/>
    </row>
    <row r="22" spans="1:14" x14ac:dyDescent="0.25">
      <c r="A22" s="6"/>
      <c r="B22" s="6"/>
      <c r="C22" s="6"/>
      <c r="D22" s="6"/>
      <c r="E22" s="6"/>
      <c r="F22" s="6"/>
      <c r="G22" s="6"/>
      <c r="H22" s="6"/>
      <c r="I22" s="6"/>
      <c r="J22" s="6"/>
      <c r="K22" s="6"/>
      <c r="L22" s="6"/>
      <c r="M22" s="6"/>
      <c r="N22" s="6"/>
    </row>
    <row r="23" spans="1:14" x14ac:dyDescent="0.25">
      <c r="A23" s="6"/>
      <c r="B23" s="6"/>
      <c r="C23" s="6"/>
      <c r="D23" s="6"/>
      <c r="E23" s="6"/>
      <c r="F23" s="6"/>
      <c r="G23" s="6"/>
      <c r="H23" s="6"/>
      <c r="I23" s="6"/>
      <c r="J23" s="6"/>
      <c r="K23" s="6"/>
      <c r="L23" s="6"/>
      <c r="M23" s="6"/>
      <c r="N23" s="6"/>
    </row>
    <row r="24" spans="1:14" x14ac:dyDescent="0.25">
      <c r="A24" s="6"/>
      <c r="B24" s="6"/>
      <c r="C24" s="6"/>
      <c r="D24" s="6"/>
      <c r="E24" s="6"/>
      <c r="F24" s="6"/>
      <c r="G24" s="6"/>
      <c r="H24" s="6"/>
      <c r="I24" s="6"/>
      <c r="J24" s="6"/>
      <c r="K24" s="6"/>
      <c r="L24" s="6"/>
      <c r="M24" s="6"/>
      <c r="N24" s="6"/>
    </row>
    <row r="25" spans="1:14" x14ac:dyDescent="0.25">
      <c r="A25" s="6"/>
      <c r="B25" s="6"/>
      <c r="C25" s="6"/>
      <c r="D25" s="6"/>
      <c r="E25" s="6"/>
      <c r="F25" s="6"/>
      <c r="G25" s="6"/>
      <c r="H25" s="6"/>
      <c r="I25" s="6"/>
      <c r="J25" s="6"/>
      <c r="K25" s="6"/>
      <c r="L25" s="6"/>
      <c r="M25" s="6"/>
      <c r="N25" s="6"/>
    </row>
    <row r="26" spans="1:14" x14ac:dyDescent="0.25">
      <c r="A26" s="6"/>
      <c r="B26" s="6"/>
      <c r="C26" s="6"/>
      <c r="D26" s="6"/>
      <c r="E26" s="6"/>
      <c r="F26" s="6"/>
      <c r="G26" s="6"/>
      <c r="H26" s="6"/>
      <c r="I26" s="6"/>
      <c r="J26" s="6"/>
      <c r="K26" s="6"/>
      <c r="L26" s="6"/>
      <c r="M26" s="6"/>
      <c r="N26" s="6"/>
    </row>
    <row r="27" spans="1:14" x14ac:dyDescent="0.25">
      <c r="A27" s="6"/>
      <c r="B27" s="6"/>
      <c r="C27" s="6"/>
      <c r="D27" s="6"/>
      <c r="E27" s="6"/>
      <c r="F27" s="6"/>
      <c r="G27" s="6"/>
      <c r="H27" s="6"/>
      <c r="I27" s="6"/>
      <c r="J27" s="6"/>
      <c r="K27" s="6"/>
      <c r="L27" s="6"/>
      <c r="M27" s="6"/>
      <c r="N27" s="6"/>
    </row>
    <row r="28" spans="1:14" x14ac:dyDescent="0.25">
      <c r="A28" s="6"/>
      <c r="B28" s="6"/>
      <c r="C28" s="6"/>
      <c r="D28" s="6"/>
      <c r="E28" s="6"/>
      <c r="F28" s="6"/>
      <c r="G28" s="6"/>
      <c r="H28" s="6"/>
      <c r="I28" s="6"/>
      <c r="J28" s="6"/>
      <c r="K28" s="6"/>
      <c r="L28" s="6"/>
      <c r="M28" s="6"/>
      <c r="N28" s="6"/>
    </row>
    <row r="29" spans="1:14" x14ac:dyDescent="0.25">
      <c r="A29" s="6"/>
      <c r="B29" s="6"/>
      <c r="C29" s="6"/>
      <c r="D29" s="6"/>
      <c r="E29" s="6"/>
      <c r="F29" s="6"/>
      <c r="G29" s="6"/>
      <c r="H29" s="6"/>
      <c r="I29" s="6"/>
      <c r="J29" s="6"/>
      <c r="K29" s="6"/>
      <c r="L29" s="6"/>
      <c r="M29" s="6"/>
      <c r="N29" s="6"/>
    </row>
    <row r="30" spans="1:14" x14ac:dyDescent="0.25">
      <c r="A30" s="6"/>
      <c r="B30" s="6"/>
      <c r="C30" s="6"/>
      <c r="D30" s="6"/>
      <c r="E30" s="6"/>
      <c r="F30" s="6"/>
      <c r="G30" s="6"/>
      <c r="H30" s="6"/>
      <c r="I30" s="6"/>
      <c r="J30" s="6"/>
      <c r="K30" s="6"/>
      <c r="L30" s="6"/>
      <c r="M30" s="6"/>
      <c r="N30" s="6"/>
    </row>
    <row r="31" spans="1:14" ht="15.5" x14ac:dyDescent="0.35">
      <c r="A31" s="6"/>
      <c r="B31" s="86" t="s">
        <v>489</v>
      </c>
      <c r="C31" s="6"/>
      <c r="D31" s="6"/>
      <c r="E31" s="6"/>
      <c r="F31" s="6"/>
      <c r="G31" s="6"/>
      <c r="H31" s="6"/>
      <c r="I31" s="6"/>
      <c r="J31" s="6"/>
      <c r="K31" s="6"/>
      <c r="L31" s="6"/>
      <c r="M31" s="6"/>
      <c r="N31" s="6"/>
    </row>
    <row r="32" spans="1:14" x14ac:dyDescent="0.25">
      <c r="A32" s="6"/>
      <c r="C32" s="6"/>
      <c r="D32" s="6"/>
      <c r="E32" s="6"/>
      <c r="F32" s="6"/>
      <c r="G32" s="6"/>
      <c r="H32" s="6"/>
      <c r="I32" s="6"/>
      <c r="J32" s="6"/>
      <c r="K32" s="6"/>
      <c r="L32" s="6"/>
      <c r="M32" s="6"/>
      <c r="N32" s="6"/>
    </row>
    <row r="33" spans="1:14" x14ac:dyDescent="0.25">
      <c r="A33" s="6"/>
      <c r="B33" s="6"/>
      <c r="C33" s="6"/>
      <c r="D33" s="6"/>
      <c r="E33" s="6"/>
      <c r="F33" s="6"/>
      <c r="G33" s="6"/>
      <c r="H33" s="6"/>
      <c r="I33" s="6"/>
      <c r="J33" s="6"/>
      <c r="K33" s="6"/>
      <c r="L33" s="6"/>
      <c r="M33" s="6"/>
      <c r="N33" s="6"/>
    </row>
    <row r="34" spans="1:14" x14ac:dyDescent="0.25">
      <c r="A34" s="6"/>
      <c r="B34" s="6"/>
      <c r="C34" s="6"/>
      <c r="D34" s="6"/>
      <c r="E34" s="6"/>
      <c r="F34" s="6"/>
      <c r="G34" s="6"/>
      <c r="H34" s="6"/>
      <c r="I34" s="6"/>
      <c r="J34" s="6"/>
      <c r="K34" s="6"/>
      <c r="L34" s="6"/>
      <c r="M34" s="6"/>
      <c r="N34" s="6"/>
    </row>
    <row r="35" spans="1:14" x14ac:dyDescent="0.25">
      <c r="A35" s="6"/>
      <c r="B35" s="6"/>
      <c r="C35" s="6"/>
      <c r="D35" s="6"/>
      <c r="E35" s="6"/>
      <c r="F35" s="6"/>
      <c r="G35" s="6"/>
      <c r="H35" s="6"/>
      <c r="I35" s="6"/>
      <c r="J35" s="6"/>
      <c r="K35" s="6"/>
      <c r="L35" s="6"/>
      <c r="M35" s="6"/>
      <c r="N35" s="6"/>
    </row>
    <row r="36" spans="1:14" x14ac:dyDescent="0.25">
      <c r="A36" s="6"/>
      <c r="B36" s="6"/>
      <c r="C36" s="6"/>
      <c r="D36" s="6"/>
      <c r="E36" s="6"/>
      <c r="F36" s="6"/>
      <c r="G36" s="6"/>
      <c r="H36" s="6"/>
      <c r="I36" s="6"/>
      <c r="J36" s="6"/>
      <c r="K36" s="6"/>
      <c r="L36" s="6"/>
      <c r="M36" s="6"/>
      <c r="N36" s="6"/>
    </row>
    <row r="37" spans="1:14" x14ac:dyDescent="0.25">
      <c r="A37" s="6"/>
      <c r="B37" s="6"/>
      <c r="C37" s="6"/>
      <c r="D37" s="6"/>
      <c r="E37" s="6"/>
      <c r="F37" s="6"/>
      <c r="G37" s="6"/>
      <c r="H37" s="6"/>
      <c r="I37" s="6"/>
      <c r="J37" s="6"/>
      <c r="K37" s="6"/>
      <c r="L37" s="6"/>
      <c r="M37" s="6"/>
      <c r="N37" s="6"/>
    </row>
    <row r="38" spans="1:14" x14ac:dyDescent="0.25">
      <c r="A38" s="6"/>
      <c r="B38" s="6"/>
      <c r="C38" s="6"/>
      <c r="D38" s="6"/>
      <c r="E38" s="6"/>
      <c r="F38" s="6"/>
      <c r="G38" s="6"/>
      <c r="H38" s="6"/>
      <c r="I38" s="6"/>
      <c r="J38" s="6"/>
      <c r="K38" s="6"/>
      <c r="L38" s="6"/>
      <c r="M38" s="6"/>
      <c r="N38" s="6"/>
    </row>
    <row r="39" spans="1:14" x14ac:dyDescent="0.25">
      <c r="A39" s="6"/>
      <c r="B39" s="6"/>
      <c r="C39" s="6"/>
      <c r="D39" s="6"/>
      <c r="E39" s="6"/>
      <c r="F39" s="6"/>
      <c r="G39" s="6"/>
      <c r="H39" s="6"/>
      <c r="I39" s="6"/>
      <c r="J39" s="6"/>
      <c r="K39" s="6"/>
      <c r="L39" s="6"/>
      <c r="M39" s="6"/>
      <c r="N39" s="6"/>
    </row>
    <row r="40" spans="1:14" x14ac:dyDescent="0.25">
      <c r="A40" s="6"/>
      <c r="B40" s="6"/>
      <c r="C40" s="6"/>
      <c r="D40" s="6"/>
      <c r="E40" s="6"/>
      <c r="F40" s="6"/>
      <c r="G40" s="6"/>
      <c r="H40" s="6"/>
      <c r="I40" s="6"/>
      <c r="J40" s="6"/>
      <c r="K40" s="6"/>
      <c r="L40" s="6"/>
      <c r="M40" s="6"/>
      <c r="N40" s="6"/>
    </row>
    <row r="41" spans="1:14" x14ac:dyDescent="0.25">
      <c r="A41" s="6"/>
      <c r="B41" s="6"/>
      <c r="C41" s="6"/>
      <c r="D41" s="6"/>
      <c r="E41" s="6"/>
      <c r="F41" s="6"/>
      <c r="G41" s="6"/>
      <c r="H41" s="6"/>
      <c r="I41" s="6"/>
      <c r="J41" s="6"/>
      <c r="K41" s="6"/>
      <c r="L41" s="6"/>
      <c r="M41" s="6"/>
      <c r="N41" s="6"/>
    </row>
    <row r="42" spans="1:14" x14ac:dyDescent="0.25">
      <c r="A42" s="6"/>
      <c r="B42" s="6"/>
      <c r="C42" s="6"/>
      <c r="D42" s="6"/>
      <c r="E42" s="6"/>
      <c r="F42" s="6"/>
      <c r="G42" s="6"/>
      <c r="H42" s="6"/>
      <c r="I42" s="6"/>
      <c r="J42" s="6"/>
      <c r="K42" s="6"/>
      <c r="L42" s="6"/>
      <c r="M42" s="6"/>
      <c r="N42" s="6"/>
    </row>
    <row r="43" spans="1:14" x14ac:dyDescent="0.25">
      <c r="A43" s="6"/>
      <c r="B43" s="6"/>
      <c r="C43" s="6"/>
      <c r="D43" s="6"/>
      <c r="E43" s="6"/>
      <c r="F43" s="6"/>
      <c r="G43" s="6"/>
      <c r="H43" s="6"/>
      <c r="I43" s="6"/>
      <c r="J43" s="6"/>
      <c r="K43" s="6"/>
      <c r="L43" s="6"/>
      <c r="M43" s="6"/>
      <c r="N43" s="6"/>
    </row>
    <row r="44" spans="1:14" x14ac:dyDescent="0.25">
      <c r="A44" s="6"/>
      <c r="B44" s="6"/>
      <c r="C44" s="6"/>
      <c r="D44" s="6"/>
      <c r="E44" s="6"/>
      <c r="F44" s="6"/>
      <c r="G44" s="6"/>
      <c r="H44" s="6"/>
      <c r="I44" s="6"/>
      <c r="J44" s="6"/>
      <c r="K44" s="6"/>
      <c r="L44" s="6"/>
      <c r="M44" s="6"/>
      <c r="N44" s="6"/>
    </row>
    <row r="45" spans="1:14" x14ac:dyDescent="0.25">
      <c r="A45" s="6"/>
      <c r="B45" s="6"/>
      <c r="C45" s="6"/>
      <c r="D45" s="6"/>
      <c r="E45" s="6"/>
      <c r="F45" s="6"/>
      <c r="G45" s="6"/>
      <c r="H45" s="6"/>
      <c r="I45" s="6"/>
      <c r="J45" s="6"/>
      <c r="K45" s="6"/>
      <c r="L45" s="6"/>
      <c r="M45" s="6"/>
      <c r="N45" s="6"/>
    </row>
    <row r="46" spans="1:14" x14ac:dyDescent="0.25">
      <c r="A46" s="6"/>
      <c r="B46" s="6"/>
      <c r="C46" s="6"/>
      <c r="D46" s="6"/>
      <c r="E46" s="6"/>
      <c r="F46" s="6"/>
      <c r="G46" s="6"/>
      <c r="H46" s="6"/>
      <c r="I46" s="6"/>
      <c r="J46" s="6"/>
      <c r="K46" s="6"/>
      <c r="L46" s="6"/>
      <c r="M46" s="6"/>
      <c r="N46" s="6"/>
    </row>
    <row r="47" spans="1:14" x14ac:dyDescent="0.25">
      <c r="A47" s="6"/>
      <c r="B47" s="6"/>
      <c r="C47" s="6"/>
      <c r="D47" s="6"/>
      <c r="E47" s="6"/>
      <c r="F47" s="6"/>
      <c r="G47" s="6"/>
      <c r="H47" s="6"/>
      <c r="I47" s="6"/>
      <c r="J47" s="6"/>
      <c r="K47" s="6"/>
      <c r="L47" s="6"/>
      <c r="M47" s="6"/>
      <c r="N47" s="6"/>
    </row>
    <row r="48" spans="1:14" x14ac:dyDescent="0.25">
      <c r="A48" s="6"/>
      <c r="B48" s="6"/>
      <c r="C48" s="6"/>
      <c r="D48" s="6"/>
      <c r="E48" s="6"/>
      <c r="F48" s="6"/>
      <c r="G48" s="6"/>
      <c r="H48" s="6"/>
      <c r="I48" s="6"/>
      <c r="J48" s="6"/>
      <c r="K48" s="6"/>
      <c r="L48" s="6"/>
      <c r="M48" s="6"/>
      <c r="N48" s="6"/>
    </row>
    <row r="49" spans="1:14" x14ac:dyDescent="0.25">
      <c r="A49" s="6"/>
      <c r="B49" s="6"/>
      <c r="C49" s="6"/>
      <c r="D49" s="6"/>
      <c r="E49" s="6"/>
      <c r="F49" s="6"/>
      <c r="G49" s="6"/>
      <c r="H49" s="6"/>
      <c r="I49" s="6"/>
      <c r="J49" s="6"/>
      <c r="K49" s="6"/>
      <c r="L49" s="6"/>
      <c r="M49" s="6"/>
      <c r="N49" s="6"/>
    </row>
    <row r="50" spans="1:14" x14ac:dyDescent="0.25">
      <c r="A50" s="6"/>
      <c r="B50" s="6"/>
      <c r="C50" s="6"/>
      <c r="D50" s="6"/>
      <c r="E50" s="6"/>
      <c r="F50" s="6"/>
      <c r="G50" s="6"/>
      <c r="H50" s="6"/>
      <c r="I50" s="6"/>
      <c r="J50" s="6"/>
      <c r="K50" s="6"/>
      <c r="L50" s="6"/>
      <c r="M50" s="6"/>
      <c r="N50" s="6"/>
    </row>
    <row r="51" spans="1:14" x14ac:dyDescent="0.25">
      <c r="A51" s="6"/>
      <c r="B51" s="6"/>
      <c r="C51" s="6"/>
      <c r="D51" s="6"/>
      <c r="E51" s="6"/>
      <c r="F51" s="6"/>
      <c r="G51" s="6"/>
      <c r="H51" s="6"/>
      <c r="I51" s="6"/>
      <c r="J51" s="6"/>
      <c r="K51" s="6"/>
      <c r="L51" s="6"/>
      <c r="M51" s="6"/>
      <c r="N51" s="6"/>
    </row>
    <row r="52" spans="1:14" x14ac:dyDescent="0.25">
      <c r="A52" s="6"/>
      <c r="B52" s="6"/>
      <c r="C52" s="6"/>
      <c r="D52" s="6"/>
      <c r="E52" s="6"/>
      <c r="F52" s="6"/>
      <c r="G52" s="6"/>
      <c r="H52" s="6"/>
      <c r="I52" s="6"/>
      <c r="J52" s="6"/>
      <c r="K52" s="6"/>
      <c r="L52" s="6"/>
      <c r="M52" s="6"/>
      <c r="N52" s="6"/>
    </row>
    <row r="53" spans="1:14" x14ac:dyDescent="0.25">
      <c r="A53" s="6"/>
      <c r="B53" s="6"/>
      <c r="C53" s="6"/>
      <c r="D53" s="6"/>
      <c r="E53" s="6"/>
      <c r="F53" s="6"/>
      <c r="G53" s="6"/>
      <c r="H53" s="6"/>
      <c r="I53" s="6"/>
      <c r="J53" s="6"/>
      <c r="K53" s="6"/>
      <c r="L53" s="6"/>
      <c r="M53" s="6"/>
      <c r="N53" s="6"/>
    </row>
    <row r="54" spans="1:14" x14ac:dyDescent="0.25">
      <c r="A54" s="6"/>
      <c r="B54" s="6"/>
      <c r="C54" s="6"/>
      <c r="D54" s="6"/>
      <c r="E54" s="6"/>
      <c r="F54" s="6"/>
      <c r="G54" s="6"/>
      <c r="H54" s="6"/>
      <c r="I54" s="6"/>
      <c r="J54" s="6"/>
      <c r="K54" s="6"/>
      <c r="L54" s="6"/>
      <c r="M54" s="6"/>
      <c r="N54" s="6"/>
    </row>
    <row r="55" spans="1:14" x14ac:dyDescent="0.25">
      <c r="A55" s="6"/>
      <c r="B55" s="6"/>
      <c r="C55" s="6"/>
      <c r="D55" s="6"/>
      <c r="E55" s="6"/>
      <c r="F55" s="6"/>
      <c r="G55" s="6"/>
      <c r="H55" s="6"/>
      <c r="I55" s="6"/>
      <c r="J55" s="6"/>
      <c r="K55" s="6"/>
      <c r="L55" s="6"/>
      <c r="M55" s="6"/>
      <c r="N55" s="6"/>
    </row>
    <row r="56" spans="1:14" x14ac:dyDescent="0.25">
      <c r="A56" s="6"/>
      <c r="B56" s="6"/>
      <c r="C56" s="6"/>
      <c r="D56" s="6"/>
      <c r="E56" s="6"/>
      <c r="F56" s="6"/>
      <c r="G56" s="6"/>
      <c r="H56" s="6"/>
      <c r="I56" s="6"/>
      <c r="J56" s="6"/>
      <c r="K56" s="6"/>
      <c r="L56" s="6"/>
      <c r="M56" s="6"/>
      <c r="N56" s="6"/>
    </row>
    <row r="57" spans="1:14" x14ac:dyDescent="0.25">
      <c r="A57" s="6"/>
      <c r="B57" s="6"/>
      <c r="C57" s="6"/>
      <c r="D57" s="6"/>
      <c r="E57" s="6"/>
      <c r="F57" s="6"/>
      <c r="G57" s="6"/>
      <c r="H57" s="6"/>
      <c r="I57" s="6"/>
      <c r="J57" s="6"/>
      <c r="K57" s="6"/>
      <c r="L57" s="6"/>
      <c r="M57" s="6"/>
      <c r="N57" s="6"/>
    </row>
    <row r="58" spans="1:14" x14ac:dyDescent="0.25">
      <c r="A58" s="6"/>
      <c r="B58" s="6"/>
      <c r="C58" s="6"/>
      <c r="D58" s="6"/>
      <c r="E58" s="6"/>
      <c r="F58" s="6"/>
      <c r="G58" s="6"/>
      <c r="H58" s="6"/>
      <c r="I58" s="6"/>
      <c r="J58" s="6"/>
      <c r="K58" s="6"/>
      <c r="L58" s="6"/>
      <c r="M58" s="6"/>
      <c r="N58" s="6"/>
    </row>
    <row r="59" spans="1:14" x14ac:dyDescent="0.25">
      <c r="A59" s="6"/>
      <c r="B59" s="6"/>
      <c r="C59" s="6"/>
      <c r="D59" s="6"/>
      <c r="E59" s="6"/>
      <c r="F59" s="6"/>
      <c r="G59" s="6"/>
      <c r="H59" s="6"/>
      <c r="I59" s="6"/>
      <c r="J59" s="6"/>
      <c r="K59" s="6"/>
      <c r="L59" s="6"/>
      <c r="M59" s="6"/>
      <c r="N59" s="6"/>
    </row>
    <row r="60" spans="1:14" x14ac:dyDescent="0.25">
      <c r="A60" s="6"/>
      <c r="B60" s="6"/>
      <c r="C60" s="6"/>
      <c r="D60" s="6"/>
      <c r="E60" s="6"/>
      <c r="F60" s="6"/>
      <c r="G60" s="6"/>
      <c r="H60" s="6"/>
      <c r="I60" s="6"/>
      <c r="J60" s="6"/>
      <c r="K60" s="6"/>
      <c r="L60" s="6"/>
      <c r="M60" s="6"/>
      <c r="N60" s="6"/>
    </row>
    <row r="61" spans="1:14" x14ac:dyDescent="0.25">
      <c r="A61" s="6"/>
      <c r="B61" s="6"/>
      <c r="C61" s="6"/>
      <c r="D61" s="6"/>
      <c r="E61" s="6"/>
      <c r="F61" s="6"/>
      <c r="G61" s="6"/>
      <c r="H61" s="6"/>
      <c r="I61" s="6"/>
      <c r="J61" s="6"/>
      <c r="K61" s="6"/>
      <c r="L61" s="6"/>
      <c r="M61" s="6"/>
      <c r="N61" s="6"/>
    </row>
    <row r="62" spans="1:14" x14ac:dyDescent="0.25">
      <c r="A62" s="6"/>
      <c r="B62" s="6"/>
      <c r="C62" s="6"/>
      <c r="D62" s="6"/>
      <c r="E62" s="6"/>
      <c r="F62" s="6"/>
      <c r="G62" s="6"/>
      <c r="H62" s="6"/>
      <c r="I62" s="6"/>
      <c r="J62" s="6"/>
      <c r="K62" s="6"/>
      <c r="L62" s="6"/>
      <c r="M62" s="6"/>
      <c r="N62" s="6"/>
    </row>
    <row r="63" spans="1:14" x14ac:dyDescent="0.25">
      <c r="A63" s="6"/>
      <c r="B63" s="6"/>
      <c r="C63" s="6"/>
      <c r="D63" s="6"/>
      <c r="E63" s="6"/>
      <c r="F63" s="6"/>
      <c r="G63" s="6"/>
      <c r="H63" s="6"/>
      <c r="I63" s="6"/>
      <c r="J63" s="6"/>
      <c r="K63" s="6"/>
      <c r="L63" s="6"/>
      <c r="M63" s="6"/>
      <c r="N63" s="6"/>
    </row>
    <row r="64" spans="1:14" x14ac:dyDescent="0.25">
      <c r="A64" s="6"/>
      <c r="B64" s="6"/>
      <c r="C64" s="6"/>
      <c r="D64" s="6"/>
      <c r="E64" s="6"/>
      <c r="F64" s="6"/>
      <c r="G64" s="6"/>
      <c r="H64" s="6"/>
      <c r="I64" s="6"/>
      <c r="J64" s="6"/>
      <c r="K64" s="6"/>
      <c r="L64" s="6"/>
      <c r="M64" s="6"/>
      <c r="N64" s="6"/>
    </row>
    <row r="65" spans="1:14" ht="13.5" x14ac:dyDescent="0.35">
      <c r="A65" s="6"/>
      <c r="B65" s="3"/>
      <c r="C65" s="6"/>
      <c r="D65" s="6"/>
      <c r="E65" s="6"/>
      <c r="F65" s="6"/>
      <c r="G65" s="6"/>
      <c r="H65" s="6"/>
      <c r="I65" s="3"/>
      <c r="J65" s="6"/>
      <c r="K65" s="6"/>
      <c r="L65" s="6"/>
      <c r="M65" s="6"/>
      <c r="N65" s="6"/>
    </row>
    <row r="66" spans="1:14" ht="15.5" x14ac:dyDescent="0.35">
      <c r="A66" s="6"/>
      <c r="B66" s="86" t="s">
        <v>490</v>
      </c>
      <c r="C66" s="6"/>
      <c r="D66" s="6"/>
      <c r="E66" s="6"/>
      <c r="F66" s="6"/>
      <c r="G66" s="6"/>
      <c r="H66" s="6"/>
      <c r="I66" s="6"/>
      <c r="J66" s="6"/>
      <c r="K66" s="6"/>
      <c r="L66" s="6"/>
      <c r="M66" s="6"/>
      <c r="N66" s="6"/>
    </row>
    <row r="67" spans="1:14" ht="13.5" x14ac:dyDescent="0.35">
      <c r="A67" s="6"/>
      <c r="B67" s="83" t="s">
        <v>491</v>
      </c>
      <c r="C67" s="87"/>
      <c r="D67" s="87"/>
      <c r="E67" s="87"/>
      <c r="F67" s="87"/>
      <c r="G67" s="87"/>
      <c r="H67" s="87"/>
      <c r="I67" s="87"/>
      <c r="J67" s="87"/>
      <c r="K67" s="87"/>
      <c r="L67" s="87"/>
      <c r="M67" s="87"/>
      <c r="N67" s="88"/>
    </row>
    <row r="68" spans="1:14" ht="13.5" x14ac:dyDescent="0.35">
      <c r="A68" s="6"/>
      <c r="B68" s="89"/>
      <c r="C68" s="85"/>
      <c r="D68" s="85"/>
      <c r="E68" s="85"/>
      <c r="F68" s="85"/>
      <c r="G68" s="85"/>
      <c r="H68" s="85"/>
      <c r="I68" s="85"/>
      <c r="J68" s="85"/>
      <c r="K68" s="85"/>
      <c r="L68" s="85"/>
      <c r="M68" s="85"/>
      <c r="N68" s="90"/>
    </row>
    <row r="69" spans="1:14" ht="13.5" x14ac:dyDescent="0.35">
      <c r="A69" s="6"/>
      <c r="B69" s="84" t="s">
        <v>492</v>
      </c>
      <c r="C69" s="85" t="s">
        <v>493</v>
      </c>
      <c r="D69" s="85"/>
      <c r="E69" s="85"/>
      <c r="F69" s="85"/>
      <c r="G69" s="85"/>
      <c r="H69" s="85"/>
      <c r="I69" s="85"/>
      <c r="J69" s="85"/>
      <c r="K69" s="85"/>
      <c r="L69" s="85"/>
      <c r="M69" s="85"/>
      <c r="N69" s="90"/>
    </row>
    <row r="70" spans="1:14" ht="13.5" x14ac:dyDescent="0.35">
      <c r="A70" s="6"/>
      <c r="B70" s="89"/>
      <c r="C70" s="85" t="s">
        <v>570</v>
      </c>
      <c r="D70" s="85"/>
      <c r="E70" s="85"/>
      <c r="F70" s="85"/>
      <c r="G70" s="85"/>
      <c r="H70" s="85"/>
      <c r="I70" s="85"/>
      <c r="J70" s="85"/>
      <c r="K70" s="85"/>
      <c r="L70" s="85"/>
      <c r="M70" s="85"/>
      <c r="N70" s="90"/>
    </row>
    <row r="71" spans="1:14" ht="13.5" x14ac:dyDescent="0.35">
      <c r="A71" s="6"/>
      <c r="B71" s="89"/>
      <c r="C71" s="85"/>
      <c r="D71" s="85"/>
      <c r="E71" s="85"/>
      <c r="F71" s="85"/>
      <c r="G71" s="85"/>
      <c r="H71" s="85"/>
      <c r="I71" s="85"/>
      <c r="J71" s="85"/>
      <c r="K71" s="85"/>
      <c r="L71" s="85"/>
      <c r="M71" s="85"/>
      <c r="N71" s="90"/>
    </row>
    <row r="72" spans="1:14" ht="13.5" x14ac:dyDescent="0.35">
      <c r="A72" s="6"/>
      <c r="B72" s="84" t="s">
        <v>492</v>
      </c>
      <c r="C72" s="92" t="s">
        <v>571</v>
      </c>
      <c r="D72" s="92"/>
      <c r="E72" s="92"/>
      <c r="F72" s="92"/>
      <c r="G72" s="92"/>
      <c r="H72" s="92"/>
      <c r="I72" s="92"/>
      <c r="J72" s="92"/>
      <c r="K72" s="92"/>
      <c r="L72" s="92"/>
      <c r="M72" s="92"/>
      <c r="N72" s="93"/>
    </row>
    <row r="73" spans="1:14" ht="13.5" x14ac:dyDescent="0.35">
      <c r="A73" s="6"/>
      <c r="B73" s="91"/>
      <c r="C73" s="92"/>
      <c r="D73" s="92"/>
      <c r="E73" s="92"/>
      <c r="F73" s="92"/>
      <c r="G73" s="92"/>
      <c r="H73" s="92"/>
      <c r="I73" s="92"/>
      <c r="J73" s="92"/>
      <c r="K73" s="92"/>
      <c r="L73" s="92"/>
      <c r="M73" s="92"/>
      <c r="N73" s="93"/>
    </row>
    <row r="74" spans="1:14" ht="13.5" x14ac:dyDescent="0.35">
      <c r="A74" s="6"/>
      <c r="B74" s="84" t="s">
        <v>492</v>
      </c>
      <c r="C74" s="92" t="s">
        <v>574</v>
      </c>
      <c r="D74" s="85"/>
      <c r="E74" s="85"/>
      <c r="F74" s="85"/>
      <c r="G74" s="85"/>
      <c r="H74" s="85"/>
      <c r="I74" s="85"/>
      <c r="J74" s="85"/>
      <c r="K74" s="85"/>
      <c r="L74" s="92"/>
      <c r="M74" s="85"/>
      <c r="N74" s="90"/>
    </row>
    <row r="75" spans="1:14" ht="13.5" x14ac:dyDescent="0.35">
      <c r="A75" s="6"/>
      <c r="B75" s="89"/>
      <c r="C75" s="85"/>
      <c r="D75" s="85"/>
      <c r="E75" s="85"/>
      <c r="F75" s="85"/>
      <c r="G75" s="85"/>
      <c r="H75" s="85"/>
      <c r="I75" s="85"/>
      <c r="J75" s="85"/>
      <c r="K75" s="85"/>
      <c r="L75" s="85"/>
      <c r="M75" s="85"/>
      <c r="N75" s="90"/>
    </row>
    <row r="76" spans="1:14" ht="13.5" x14ac:dyDescent="0.35">
      <c r="A76" s="6"/>
      <c r="B76" s="84" t="s">
        <v>492</v>
      </c>
      <c r="C76" s="85" t="s">
        <v>572</v>
      </c>
      <c r="D76" s="85"/>
      <c r="E76" s="85"/>
      <c r="F76" s="85"/>
      <c r="G76" s="85"/>
      <c r="H76" s="85"/>
      <c r="I76" s="85"/>
      <c r="J76" s="85"/>
      <c r="K76" s="85"/>
      <c r="L76" s="85"/>
      <c r="M76" s="85"/>
      <c r="N76" s="90"/>
    </row>
    <row r="77" spans="1:14" ht="13.5" x14ac:dyDescent="0.35">
      <c r="A77" s="6"/>
      <c r="B77" s="89"/>
      <c r="C77" s="85" t="s">
        <v>494</v>
      </c>
      <c r="D77" s="85"/>
      <c r="E77" s="85"/>
      <c r="F77" s="85"/>
      <c r="G77" s="85"/>
      <c r="H77" s="85"/>
      <c r="I77" s="85"/>
      <c r="J77" s="85"/>
      <c r="K77" s="85"/>
      <c r="L77" s="85"/>
      <c r="M77" s="85"/>
      <c r="N77" s="90"/>
    </row>
    <row r="78" spans="1:14" ht="13.5" x14ac:dyDescent="0.35">
      <c r="A78" s="6"/>
      <c r="B78" s="91"/>
      <c r="C78" s="85" t="s">
        <v>575</v>
      </c>
      <c r="D78" s="85"/>
      <c r="E78" s="85"/>
      <c r="F78" s="85"/>
      <c r="G78" s="85"/>
      <c r="H78" s="85"/>
      <c r="I78" s="85"/>
      <c r="J78" s="85"/>
      <c r="K78" s="85"/>
      <c r="L78" s="85"/>
      <c r="M78" s="85"/>
      <c r="N78" s="90"/>
    </row>
    <row r="79" spans="1:14" ht="13.5" x14ac:dyDescent="0.35">
      <c r="A79" s="6"/>
      <c r="B79" s="89"/>
      <c r="C79" s="85"/>
      <c r="D79" s="85"/>
      <c r="E79" s="85"/>
      <c r="F79" s="85"/>
      <c r="G79" s="85"/>
      <c r="H79" s="85"/>
      <c r="I79" s="85"/>
      <c r="J79" s="85"/>
      <c r="K79" s="85"/>
      <c r="L79" s="85"/>
      <c r="M79" s="85"/>
      <c r="N79" s="90"/>
    </row>
    <row r="80" spans="1:14" ht="13.5" x14ac:dyDescent="0.35">
      <c r="A80" s="6"/>
      <c r="B80" s="84" t="s">
        <v>492</v>
      </c>
      <c r="C80" s="85" t="s">
        <v>576</v>
      </c>
      <c r="D80" s="85"/>
      <c r="E80" s="85"/>
      <c r="F80" s="85"/>
      <c r="G80" s="85"/>
      <c r="H80" s="85"/>
      <c r="I80" s="85"/>
      <c r="J80" s="85"/>
      <c r="K80" s="85"/>
      <c r="L80" s="85"/>
      <c r="M80" s="85"/>
      <c r="N80" s="90"/>
    </row>
    <row r="81" spans="1:14" ht="13.5" x14ac:dyDescent="0.35">
      <c r="A81" s="6"/>
      <c r="B81" s="89"/>
      <c r="C81" s="85"/>
      <c r="D81" s="85"/>
      <c r="E81" s="85"/>
      <c r="F81" s="85"/>
      <c r="G81" s="85"/>
      <c r="H81" s="85"/>
      <c r="I81" s="85"/>
      <c r="J81" s="85"/>
      <c r="K81" s="85"/>
      <c r="L81" s="85"/>
      <c r="M81" s="85"/>
      <c r="N81" s="90"/>
    </row>
    <row r="82" spans="1:14" ht="13.5" x14ac:dyDescent="0.35">
      <c r="A82" s="6"/>
      <c r="B82" s="84" t="s">
        <v>492</v>
      </c>
      <c r="C82" s="97" t="s">
        <v>573</v>
      </c>
      <c r="D82" s="85"/>
      <c r="E82" s="85"/>
      <c r="F82" s="85"/>
      <c r="G82" s="85"/>
      <c r="H82" s="85"/>
      <c r="I82" s="85"/>
      <c r="J82" s="85"/>
      <c r="K82" s="85"/>
      <c r="L82" s="85"/>
      <c r="M82" s="85"/>
      <c r="N82" s="90"/>
    </row>
    <row r="83" spans="1:14" ht="13.5" x14ac:dyDescent="0.35">
      <c r="A83" s="6"/>
      <c r="B83" s="89"/>
      <c r="C83" s="97" t="s">
        <v>495</v>
      </c>
      <c r="D83" s="85"/>
      <c r="E83" s="85"/>
      <c r="F83" s="85"/>
      <c r="G83" s="85"/>
      <c r="H83" s="85"/>
      <c r="I83" s="85"/>
      <c r="J83" s="85"/>
      <c r="K83" s="85"/>
      <c r="L83" s="85"/>
      <c r="M83" s="85"/>
      <c r="N83" s="90"/>
    </row>
    <row r="84" spans="1:14" ht="13.5" x14ac:dyDescent="0.35">
      <c r="A84" s="6"/>
      <c r="B84" s="89"/>
      <c r="C84" s="85"/>
      <c r="D84" s="85"/>
      <c r="E84" s="85"/>
      <c r="F84" s="85"/>
      <c r="G84" s="85"/>
      <c r="H84" s="85"/>
      <c r="I84" s="85"/>
      <c r="J84" s="85"/>
      <c r="K84" s="85"/>
      <c r="L84" s="85"/>
      <c r="M84" s="85"/>
      <c r="N84" s="90"/>
    </row>
    <row r="85" spans="1:14" ht="13.5" x14ac:dyDescent="0.35">
      <c r="A85" s="6"/>
      <c r="B85" s="84" t="s">
        <v>492</v>
      </c>
      <c r="C85" s="97" t="s">
        <v>497</v>
      </c>
      <c r="D85" s="85"/>
      <c r="E85" s="85"/>
      <c r="F85" s="85"/>
      <c r="G85" s="85"/>
      <c r="H85" s="85"/>
      <c r="I85" s="85"/>
      <c r="J85" s="85"/>
      <c r="K85" s="85"/>
      <c r="L85" s="85"/>
      <c r="M85" s="85"/>
      <c r="N85" s="90"/>
    </row>
    <row r="86" spans="1:14" ht="13.5" x14ac:dyDescent="0.35">
      <c r="A86" s="6"/>
      <c r="B86" s="94"/>
      <c r="C86" s="95"/>
      <c r="D86" s="95"/>
      <c r="E86" s="95"/>
      <c r="F86" s="95"/>
      <c r="G86" s="95"/>
      <c r="H86" s="95"/>
      <c r="I86" s="95"/>
      <c r="J86" s="95"/>
      <c r="K86" s="95"/>
      <c r="L86" s="95"/>
      <c r="M86" s="95" t="s">
        <v>496</v>
      </c>
      <c r="N86" s="96"/>
    </row>
    <row r="87" spans="1:14" ht="13" x14ac:dyDescent="0.3">
      <c r="A87" s="6"/>
      <c r="B87" s="15"/>
      <c r="C87" s="6"/>
      <c r="D87" s="6"/>
      <c r="E87" s="6"/>
      <c r="F87" s="6"/>
      <c r="G87" s="6"/>
      <c r="H87" s="6"/>
      <c r="I87" s="6"/>
      <c r="J87" s="6"/>
      <c r="K87" s="6"/>
      <c r="L87" s="6"/>
      <c r="M87" s="6"/>
      <c r="N87" s="6"/>
    </row>
    <row r="88" spans="1:14" x14ac:dyDescent="0.25">
      <c r="A88" s="6"/>
      <c r="B88" s="6"/>
      <c r="C88" s="6"/>
      <c r="D88" s="6"/>
      <c r="E88" s="6"/>
      <c r="F88" s="6"/>
      <c r="G88" s="6"/>
      <c r="H88" s="6"/>
      <c r="I88" s="6"/>
      <c r="L88" s="6"/>
      <c r="M88" s="6"/>
      <c r="N88" s="6"/>
    </row>
    <row r="110" spans="1:14" x14ac:dyDescent="0.25">
      <c r="A110" s="6"/>
      <c r="B110" s="6"/>
      <c r="C110" s="6"/>
      <c r="D110" s="6"/>
      <c r="E110" s="6"/>
      <c r="F110" s="6"/>
      <c r="G110" s="6"/>
      <c r="H110" s="6"/>
      <c r="I110" s="6"/>
      <c r="J110" s="6"/>
      <c r="K110" s="6"/>
      <c r="L110" s="6"/>
      <c r="M110" s="6"/>
      <c r="N110" s="6"/>
    </row>
    <row r="111" spans="1:14" x14ac:dyDescent="0.25">
      <c r="A111" s="6"/>
      <c r="B111" s="6"/>
      <c r="C111" s="6"/>
      <c r="D111" s="6"/>
      <c r="E111" s="6"/>
      <c r="F111" s="6"/>
      <c r="G111" s="6"/>
      <c r="H111" s="6"/>
      <c r="I111" s="6"/>
      <c r="J111" s="6"/>
      <c r="K111" s="6"/>
      <c r="L111" s="6"/>
      <c r="M111" s="6"/>
      <c r="N111" s="6"/>
    </row>
    <row r="112" spans="1:14" x14ac:dyDescent="0.25">
      <c r="A112" s="6"/>
      <c r="B112" s="6"/>
      <c r="C112" s="6"/>
      <c r="D112" s="6"/>
      <c r="E112" s="6"/>
      <c r="F112" s="6"/>
      <c r="G112" s="6"/>
      <c r="H112" s="6"/>
      <c r="I112" s="6"/>
      <c r="J112" s="6"/>
      <c r="K112" s="6"/>
      <c r="L112" s="6"/>
      <c r="M112" s="6"/>
      <c r="N112" s="6"/>
    </row>
    <row r="113" spans="1:14" x14ac:dyDescent="0.25">
      <c r="A113" s="6"/>
      <c r="B113" s="6"/>
      <c r="C113" s="6"/>
      <c r="D113" s="6"/>
      <c r="E113" s="6"/>
      <c r="F113" s="6"/>
      <c r="G113" s="6"/>
      <c r="H113" s="6"/>
      <c r="I113" s="6"/>
      <c r="J113" s="6"/>
      <c r="K113" s="6"/>
      <c r="L113" s="6"/>
      <c r="M113" s="6"/>
      <c r="N113" s="6"/>
    </row>
    <row r="114" spans="1:14" x14ac:dyDescent="0.25">
      <c r="A114" s="6"/>
      <c r="B114" s="6"/>
      <c r="C114" s="6"/>
      <c r="D114" s="6"/>
      <c r="E114" s="6"/>
      <c r="F114" s="6"/>
      <c r="G114" s="6"/>
      <c r="H114" s="6"/>
      <c r="I114" s="6"/>
      <c r="J114" s="6"/>
      <c r="K114" s="6"/>
      <c r="L114" s="6"/>
      <c r="M114" s="6"/>
      <c r="N114" s="6"/>
    </row>
    <row r="115" spans="1:14" x14ac:dyDescent="0.25">
      <c r="A115" s="6"/>
      <c r="B115" s="6"/>
      <c r="C115" s="6"/>
      <c r="D115" s="6"/>
      <c r="E115" s="6"/>
      <c r="F115" s="6"/>
      <c r="G115" s="6"/>
      <c r="H115" s="6"/>
      <c r="I115" s="6"/>
      <c r="J115" s="6"/>
      <c r="K115" s="6"/>
      <c r="L115" s="6"/>
      <c r="M115" s="6"/>
      <c r="N115" s="6"/>
    </row>
    <row r="116" spans="1:14" x14ac:dyDescent="0.25">
      <c r="A116" s="6"/>
      <c r="B116" s="6"/>
      <c r="C116" s="6"/>
      <c r="D116" s="6"/>
      <c r="E116" s="6"/>
      <c r="F116" s="6"/>
      <c r="G116" s="6"/>
      <c r="H116" s="6"/>
      <c r="I116" s="6"/>
      <c r="J116" s="6"/>
      <c r="K116" s="6"/>
      <c r="L116" s="6"/>
      <c r="M116" s="6"/>
      <c r="N116" s="6"/>
    </row>
  </sheetData>
  <sheetProtection selectLockedCells="1" selectUnlockedCells="1"/>
  <phoneticPr fontId="2" type="noConversion"/>
  <pageMargins left="0.74803149606299213" right="0.74803149606299213" top="0.98425196850393704" bottom="0.98425196850393704"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1"/>
  </sheetPr>
  <dimension ref="A3:O45"/>
  <sheetViews>
    <sheetView showGridLines="0" showRowColHeaders="0" zoomScale="70" zoomScaleNormal="70" workbookViewId="0">
      <selection activeCell="Q18" sqref="Q18"/>
    </sheetView>
  </sheetViews>
  <sheetFormatPr defaultRowHeight="12.5" x14ac:dyDescent="0.25"/>
  <cols>
    <col min="3" max="3" width="13.81640625" customWidth="1"/>
    <col min="4" max="4" width="15" customWidth="1"/>
    <col min="8" max="8" width="25.7265625" customWidth="1"/>
    <col min="10" max="10" width="7.453125" customWidth="1"/>
    <col min="11" max="11" width="10.1796875" customWidth="1"/>
    <col min="12" max="12" width="11" customWidth="1"/>
    <col min="13" max="13" width="7.453125" customWidth="1"/>
    <col min="14" max="14" width="6.26953125" customWidth="1"/>
    <col min="15" max="15" width="21.7265625" customWidth="1"/>
    <col min="16" max="16" width="15.81640625" customWidth="1"/>
  </cols>
  <sheetData>
    <row r="3" spans="3:15" ht="20.5" x14ac:dyDescent="0.35">
      <c r="F3" s="31" t="str">
        <f>Calculator!$D$2</f>
        <v>AL8871Q Calculator</v>
      </c>
      <c r="G3" s="4"/>
      <c r="H3" s="4"/>
      <c r="I3" s="32" t="s">
        <v>6</v>
      </c>
      <c r="J3" s="147">
        <f>Calculator!H2</f>
        <v>1.2</v>
      </c>
      <c r="K3" s="102" t="str">
        <f>T(Calculator!G3)</f>
        <v>October 2021</v>
      </c>
      <c r="L3" s="99"/>
      <c r="M3" s="99"/>
      <c r="N3" s="103" t="s">
        <v>443</v>
      </c>
      <c r="O3" s="104">
        <v>1</v>
      </c>
    </row>
    <row r="4" spans="3:15" ht="20.25" customHeight="1" x14ac:dyDescent="0.25"/>
    <row r="5" spans="3:15" ht="21" customHeight="1" x14ac:dyDescent="0.45">
      <c r="C5" s="105" t="str">
        <f>IF(SCHEM=O3,"Congratulations, here is your design","Sorry, but this is the wrong schematic - please go back to the calculator tab")</f>
        <v>Sorry, but this is the wrong schematic - please go back to the calculator tab</v>
      </c>
    </row>
    <row r="6" spans="3:15" ht="18" x14ac:dyDescent="0.4">
      <c r="K6" s="77"/>
    </row>
    <row r="7" spans="3:15" s="75" customFormat="1" ht="19" x14ac:dyDescent="0.45">
      <c r="C7" s="106" t="s">
        <v>424</v>
      </c>
      <c r="D7" s="105" t="s">
        <v>425</v>
      </c>
      <c r="K7" s="98" t="s">
        <v>412</v>
      </c>
      <c r="L7" s="99"/>
      <c r="M7" s="99"/>
      <c r="N7" s="99"/>
      <c r="O7" s="99"/>
    </row>
    <row r="8" spans="3:15" ht="13.5" x14ac:dyDescent="0.35">
      <c r="K8" s="100" t="s">
        <v>413</v>
      </c>
      <c r="L8" s="100" t="s">
        <v>414</v>
      </c>
      <c r="M8" s="100" t="s">
        <v>415</v>
      </c>
      <c r="N8" s="100"/>
      <c r="O8" s="100"/>
    </row>
    <row r="9" spans="3:15" ht="13.5" x14ac:dyDescent="0.35">
      <c r="K9" s="101">
        <v>1</v>
      </c>
      <c r="L9" s="100" t="s">
        <v>416</v>
      </c>
      <c r="M9" s="100" t="str">
        <f>"IC, Diodes Inc., "&amp;[0]!DRIVER</f>
        <v>IC, Diodes Inc., AL8871Q</v>
      </c>
      <c r="N9" s="100"/>
      <c r="O9" s="100"/>
    </row>
    <row r="10" spans="3:15" ht="13.5" x14ac:dyDescent="0.35">
      <c r="K10" s="101">
        <v>1</v>
      </c>
      <c r="L10" s="100" t="s">
        <v>417</v>
      </c>
      <c r="M10" s="100" t="str">
        <f>IF(Calculator!C28="CUSTOM","MOSFET, "&amp;Calculator!F29,"MOSFET, Diodes Inc., "&amp;Calculator!C29)</f>
        <v xml:space="preserve">MOSFET, Diodes Inc., DMT3006LFDFQ	</v>
      </c>
      <c r="N10" s="100"/>
      <c r="O10" s="100"/>
    </row>
    <row r="11" spans="3:15" ht="13.5" x14ac:dyDescent="0.35">
      <c r="K11" s="101">
        <v>1</v>
      </c>
      <c r="L11" s="100" t="s">
        <v>440</v>
      </c>
      <c r="M11" s="100" t="str">
        <f>IF(Calculator!C43="CUSTOM","Diode, Schottky, "&amp;Calculator!F44,"Diode, Schottky, Diodes Inc., "&amp;Calculator!C44)</f>
        <v>Diode, Schottky, Diodes Inc., B2100Q</v>
      </c>
      <c r="N11" s="100"/>
      <c r="O11" s="100"/>
    </row>
    <row r="12" spans="3:15" ht="13.5" x14ac:dyDescent="0.35">
      <c r="K12" s="101">
        <v>1</v>
      </c>
      <c r="L12" s="100" t="s">
        <v>418</v>
      </c>
      <c r="M12" s="100" t="str">
        <f>IF(Calculator!C53="CUSTOM","Inductor, "&amp;Calculator!F54,"Inductor, "&amp;Calculator!C54)</f>
        <v>Inductor, Coilcraft MSS1246-683ML [68µH]</v>
      </c>
      <c r="N12" s="100"/>
      <c r="O12" s="100"/>
    </row>
    <row r="13" spans="3:15" ht="13.5" x14ac:dyDescent="0.35">
      <c r="K13" s="101">
        <v>1</v>
      </c>
      <c r="L13" s="100" t="s">
        <v>419</v>
      </c>
      <c r="M13" s="100" t="s">
        <v>568</v>
      </c>
      <c r="N13" s="100"/>
      <c r="O13" s="100"/>
    </row>
    <row r="14" spans="3:15" ht="13.5" x14ac:dyDescent="0.35">
      <c r="K14" s="101">
        <v>2</v>
      </c>
      <c r="L14" s="100" t="s">
        <v>482</v>
      </c>
      <c r="M14" s="100" t="s">
        <v>420</v>
      </c>
      <c r="N14" s="100"/>
      <c r="O14" s="100"/>
    </row>
    <row r="15" spans="3:15" ht="13.5" x14ac:dyDescent="0.35">
      <c r="K15" s="101">
        <v>2</v>
      </c>
      <c r="L15" s="100" t="s">
        <v>423</v>
      </c>
      <c r="M15" s="100" t="str">
        <f>"Capacitor, "&amp;VALC3&amp;"µF, X7R, 100V"</f>
        <v>Capacitor, 0.47µF, X7R, 100V</v>
      </c>
      <c r="N15" s="100"/>
      <c r="O15" s="100"/>
    </row>
    <row r="16" spans="3:15" ht="13.5" x14ac:dyDescent="0.35">
      <c r="K16" s="101">
        <v>1</v>
      </c>
      <c r="L16" s="100" t="s">
        <v>427</v>
      </c>
      <c r="M16" s="100" t="s">
        <v>428</v>
      </c>
      <c r="N16" s="100"/>
      <c r="O16" s="100"/>
    </row>
    <row r="17" spans="1:15" ht="13.5" x14ac:dyDescent="0.35">
      <c r="K17" s="101">
        <v>1</v>
      </c>
      <c r="L17" s="100" t="s">
        <v>396</v>
      </c>
      <c r="M17" s="100" t="str">
        <f>"Resistor, "&amp;VALR1&amp;" ohm, "&amp;Calculator!F60</f>
        <v>Resistor, 0.5 ohm, 0.125W, 0805</v>
      </c>
      <c r="N17" s="100"/>
      <c r="O17" s="100"/>
    </row>
    <row r="18" spans="1:15" ht="13.5" x14ac:dyDescent="0.35">
      <c r="K18" s="101">
        <v>1</v>
      </c>
      <c r="L18" s="100" t="s">
        <v>397</v>
      </c>
      <c r="M18" s="100" t="str">
        <f>"Resistor, "&amp;VALR2&amp;" ohm, "&amp;Calculator!F61</f>
        <v>Resistor, 0.56 ohm, 0.125W, 0805</v>
      </c>
      <c r="N18" s="100"/>
      <c r="O18" s="100"/>
    </row>
    <row r="19" spans="1:15" ht="15.5" x14ac:dyDescent="0.35">
      <c r="K19" s="101">
        <v>1</v>
      </c>
      <c r="L19" s="100" t="s">
        <v>501</v>
      </c>
      <c r="M19" s="100" t="s">
        <v>468</v>
      </c>
      <c r="N19" s="100"/>
      <c r="O19" s="100"/>
    </row>
    <row r="20" spans="1:15" ht="15.5" x14ac:dyDescent="0.35">
      <c r="K20" s="101">
        <v>1</v>
      </c>
      <c r="L20" s="100" t="s">
        <v>502</v>
      </c>
      <c r="M20" s="100" t="s">
        <v>469</v>
      </c>
      <c r="N20" s="100"/>
      <c r="O20" s="100"/>
    </row>
    <row r="21" spans="1:15" ht="15.5" x14ac:dyDescent="0.35">
      <c r="K21" s="101">
        <v>1</v>
      </c>
      <c r="L21" s="100" t="s">
        <v>503</v>
      </c>
      <c r="M21" s="100" t="s">
        <v>449</v>
      </c>
      <c r="N21" s="100"/>
      <c r="O21" s="100"/>
    </row>
    <row r="22" spans="1:15" ht="15.5" x14ac:dyDescent="0.35">
      <c r="K22" s="101">
        <v>1</v>
      </c>
      <c r="L22" s="100" t="s">
        <v>504</v>
      </c>
      <c r="M22" s="100" t="s">
        <v>470</v>
      </c>
      <c r="N22" s="100"/>
      <c r="O22" s="100"/>
    </row>
    <row r="23" spans="1:15" x14ac:dyDescent="0.25">
      <c r="K23" s="81"/>
      <c r="L23" s="81"/>
      <c r="M23" s="81"/>
      <c r="N23" s="81"/>
      <c r="O23" s="81"/>
    </row>
    <row r="24" spans="1:15" x14ac:dyDescent="0.25">
      <c r="K24" s="81"/>
      <c r="L24" s="81"/>
      <c r="M24" s="81"/>
      <c r="N24" s="81"/>
      <c r="O24" s="81"/>
    </row>
    <row r="26" spans="1:15" ht="13.5" x14ac:dyDescent="0.35">
      <c r="K26" s="107" t="s">
        <v>429</v>
      </c>
      <c r="L26" s="108"/>
      <c r="M26" s="108"/>
      <c r="N26" s="108"/>
    </row>
    <row r="27" spans="1:15" ht="13.5" x14ac:dyDescent="0.35">
      <c r="K27" s="109" t="s">
        <v>14</v>
      </c>
      <c r="L27" s="109"/>
      <c r="M27" s="109">
        <f>VINMAX</f>
        <v>18</v>
      </c>
      <c r="N27" s="109" t="s">
        <v>0</v>
      </c>
    </row>
    <row r="28" spans="1:15" ht="13.5" x14ac:dyDescent="0.35">
      <c r="K28" s="109" t="s">
        <v>13</v>
      </c>
      <c r="L28" s="109"/>
      <c r="M28" s="109">
        <f>VINMIN</f>
        <v>8</v>
      </c>
      <c r="N28" s="109" t="s">
        <v>0</v>
      </c>
      <c r="O28" s="99"/>
    </row>
    <row r="29" spans="1:15" ht="13.5" x14ac:dyDescent="0.35">
      <c r="A29" s="99"/>
      <c r="B29" s="99"/>
      <c r="C29" s="99"/>
      <c r="D29" s="99"/>
      <c r="E29" s="99"/>
      <c r="F29" s="99"/>
      <c r="G29" s="99"/>
      <c r="H29" s="99"/>
      <c r="I29" s="99"/>
      <c r="J29" s="99"/>
      <c r="K29" s="109" t="s">
        <v>20</v>
      </c>
      <c r="L29" s="109"/>
      <c r="M29" s="109">
        <f>VFLED</f>
        <v>3.5</v>
      </c>
      <c r="N29" s="109" t="s">
        <v>0</v>
      </c>
      <c r="O29" s="99"/>
    </row>
    <row r="30" spans="1:15" ht="13.5" x14ac:dyDescent="0.35">
      <c r="A30" s="99"/>
      <c r="B30" s="99"/>
      <c r="C30" s="99"/>
      <c r="D30" s="99"/>
      <c r="E30" s="99"/>
      <c r="F30" s="99"/>
      <c r="G30" s="99"/>
      <c r="H30" s="99"/>
      <c r="I30" s="99"/>
      <c r="J30" s="99"/>
      <c r="K30" s="109" t="s">
        <v>433</v>
      </c>
      <c r="L30" s="109"/>
      <c r="M30" s="109">
        <f>VLEDS</f>
        <v>21</v>
      </c>
      <c r="N30" s="109" t="s">
        <v>0</v>
      </c>
      <c r="O30" s="99"/>
    </row>
    <row r="31" spans="1:15" ht="13.5" x14ac:dyDescent="0.35">
      <c r="A31" s="99"/>
      <c r="B31" s="99"/>
      <c r="C31" s="99"/>
      <c r="D31" s="99"/>
      <c r="E31" s="99"/>
      <c r="F31" s="99"/>
      <c r="G31" s="99"/>
      <c r="H31" s="99"/>
      <c r="I31" s="99"/>
      <c r="J31" s="99"/>
      <c r="K31" s="109" t="s">
        <v>441</v>
      </c>
      <c r="L31" s="109"/>
      <c r="M31" s="109">
        <f>N</f>
        <v>6</v>
      </c>
      <c r="N31" s="109"/>
      <c r="O31" s="99"/>
    </row>
    <row r="32" spans="1:15" ht="13.5" x14ac:dyDescent="0.35">
      <c r="A32" s="99"/>
      <c r="B32" s="99"/>
      <c r="C32" s="99"/>
      <c r="D32" s="99"/>
      <c r="E32" s="99"/>
      <c r="F32" s="99"/>
      <c r="G32" s="99"/>
      <c r="H32" s="99"/>
      <c r="I32" s="99"/>
      <c r="J32" s="99"/>
      <c r="K32" s="109" t="s">
        <v>432</v>
      </c>
      <c r="L32" s="109"/>
      <c r="M32" s="109">
        <f>TAMB</f>
        <v>50</v>
      </c>
      <c r="N32" s="109" t="s">
        <v>37</v>
      </c>
      <c r="O32" s="99"/>
    </row>
    <row r="33" spans="1:15" ht="13.5" x14ac:dyDescent="0.35">
      <c r="A33" s="99"/>
      <c r="B33" s="99"/>
      <c r="C33" s="98" t="s">
        <v>467</v>
      </c>
      <c r="D33" s="99"/>
      <c r="F33" s="99"/>
      <c r="G33" s="99"/>
      <c r="H33" s="99"/>
      <c r="I33" s="99"/>
      <c r="J33" s="99"/>
      <c r="O33" s="99"/>
    </row>
    <row r="34" spans="1:15" ht="13.5" x14ac:dyDescent="0.35">
      <c r="A34" s="99"/>
      <c r="B34" s="99"/>
      <c r="C34" s="110" t="s">
        <v>577</v>
      </c>
      <c r="D34" s="99"/>
      <c r="F34" s="99"/>
      <c r="G34" s="99"/>
      <c r="H34" s="99"/>
      <c r="I34" s="99"/>
      <c r="J34" s="99"/>
      <c r="K34" s="107" t="s">
        <v>430</v>
      </c>
      <c r="L34" s="108"/>
      <c r="M34" s="108"/>
      <c r="N34" s="108"/>
      <c r="O34" s="99"/>
    </row>
    <row r="35" spans="1:15" ht="13.5" x14ac:dyDescent="0.35">
      <c r="A35" s="99"/>
      <c r="B35" s="99"/>
      <c r="C35" s="99" t="s">
        <v>465</v>
      </c>
      <c r="D35" s="99"/>
      <c r="F35" s="99"/>
      <c r="G35" s="99"/>
      <c r="H35" s="99"/>
      <c r="I35" s="99"/>
      <c r="J35" s="99"/>
      <c r="K35" s="111" t="s">
        <v>434</v>
      </c>
      <c r="L35" s="111"/>
      <c r="M35" s="112" t="str">
        <f>IF(SCHEM=O3,ILEDF,"")</f>
        <v/>
      </c>
      <c r="N35" s="111" t="s">
        <v>2</v>
      </c>
    </row>
    <row r="36" spans="1:15" ht="13.5" x14ac:dyDescent="0.35">
      <c r="A36" s="99"/>
      <c r="B36" s="99"/>
      <c r="C36" s="99" t="s">
        <v>466</v>
      </c>
      <c r="D36" s="99"/>
      <c r="F36" s="99"/>
      <c r="G36" s="99"/>
      <c r="H36" s="99"/>
      <c r="I36" s="99"/>
      <c r="J36" s="99"/>
      <c r="K36" s="111" t="s">
        <v>359</v>
      </c>
      <c r="L36" s="111"/>
      <c r="M36" s="111" t="str">
        <f>IF(SCHEM=O3,VRIPIN,"")</f>
        <v/>
      </c>
      <c r="N36" s="111" t="s">
        <v>431</v>
      </c>
    </row>
    <row r="37" spans="1:15" ht="13.5" x14ac:dyDescent="0.35">
      <c r="A37" s="99"/>
      <c r="B37" s="99"/>
      <c r="D37" s="99"/>
      <c r="G37" s="99"/>
      <c r="H37" s="99"/>
      <c r="I37" s="99"/>
      <c r="J37" s="99"/>
      <c r="K37" s="111" t="s">
        <v>360</v>
      </c>
      <c r="L37" s="111"/>
      <c r="M37" s="111" t="str">
        <f>IF(SCHEM=O3,VRIPOUT,"")</f>
        <v/>
      </c>
      <c r="N37" s="111" t="s">
        <v>431</v>
      </c>
      <c r="O37" s="99"/>
    </row>
    <row r="38" spans="1:15" ht="13.5" x14ac:dyDescent="0.35">
      <c r="A38" s="99"/>
      <c r="B38" s="99"/>
      <c r="D38" s="99"/>
      <c r="G38" s="99"/>
      <c r="H38" s="99"/>
      <c r="I38" s="99"/>
      <c r="J38" s="99"/>
      <c r="K38" s="111" t="s">
        <v>276</v>
      </c>
      <c r="L38" s="111"/>
      <c r="M38" s="113" t="str">
        <f>IF(SCHEM=O3,PIN,"")</f>
        <v/>
      </c>
      <c r="N38" s="111" t="s">
        <v>27</v>
      </c>
      <c r="O38" s="99"/>
    </row>
    <row r="39" spans="1:15" ht="13.5" x14ac:dyDescent="0.35">
      <c r="A39" s="99"/>
      <c r="B39" s="99"/>
      <c r="C39" s="98" t="s">
        <v>498</v>
      </c>
      <c r="D39" s="99"/>
      <c r="F39" s="99"/>
      <c r="G39" s="99"/>
      <c r="H39" s="99"/>
      <c r="I39" s="99"/>
      <c r="J39" s="99"/>
      <c r="K39" s="111" t="s">
        <v>277</v>
      </c>
      <c r="L39" s="111"/>
      <c r="M39" s="113" t="str">
        <f>IF(SCHEM=O3,PLEDS,"")</f>
        <v/>
      </c>
      <c r="N39" s="111" t="s">
        <v>27</v>
      </c>
      <c r="O39" s="99"/>
    </row>
    <row r="40" spans="1:15" ht="13.5" x14ac:dyDescent="0.35">
      <c r="A40" s="99"/>
      <c r="B40" s="99"/>
      <c r="C40" s="99" t="s">
        <v>500</v>
      </c>
      <c r="D40" s="99"/>
      <c r="F40" s="99"/>
      <c r="G40" s="99"/>
      <c r="H40" s="99"/>
      <c r="I40" s="99"/>
      <c r="J40" s="99"/>
      <c r="K40" s="114" t="s">
        <v>435</v>
      </c>
      <c r="L40" s="114"/>
      <c r="M40" s="115" t="str">
        <f>IF(SCHEM=O3,EFFVINMAX,"")</f>
        <v/>
      </c>
      <c r="N40" s="114"/>
      <c r="O40" s="99"/>
    </row>
    <row r="41" spans="1:15" ht="13.5" x14ac:dyDescent="0.35">
      <c r="A41" s="99"/>
      <c r="B41" s="99"/>
      <c r="C41" s="99"/>
      <c r="D41" s="99"/>
      <c r="F41" s="99"/>
      <c r="G41" s="99"/>
      <c r="H41" s="99"/>
      <c r="I41" s="99"/>
      <c r="J41" s="99"/>
      <c r="K41" s="114" t="s">
        <v>436</v>
      </c>
      <c r="L41" s="114"/>
      <c r="M41" s="115" t="str">
        <f>IF(SCHEM=O3,EFFVINMIN,"")</f>
        <v/>
      </c>
      <c r="N41" s="114"/>
      <c r="O41" s="99"/>
    </row>
    <row r="42" spans="1:15" ht="13.5" x14ac:dyDescent="0.35">
      <c r="A42" s="99"/>
      <c r="B42" s="99"/>
      <c r="C42" s="99"/>
      <c r="D42" s="99"/>
      <c r="F42" s="99"/>
      <c r="G42" s="99"/>
      <c r="H42" s="99"/>
      <c r="I42" s="99"/>
      <c r="J42" s="99"/>
      <c r="O42" s="99"/>
    </row>
    <row r="43" spans="1:15" ht="13.5" x14ac:dyDescent="0.35">
      <c r="A43" s="99"/>
      <c r="B43" s="99"/>
      <c r="C43" s="99"/>
      <c r="D43" s="99"/>
      <c r="E43" s="99"/>
      <c r="F43" s="99"/>
      <c r="G43" s="99"/>
      <c r="H43" s="99"/>
      <c r="I43" s="99"/>
      <c r="J43" s="99"/>
      <c r="O43" s="99"/>
    </row>
    <row r="44" spans="1:15" ht="13.5" x14ac:dyDescent="0.35">
      <c r="A44" s="99"/>
      <c r="B44" s="99"/>
      <c r="C44" s="99"/>
      <c r="D44" s="99"/>
      <c r="E44" s="99"/>
      <c r="F44" s="99"/>
      <c r="G44" s="99"/>
      <c r="H44" s="99"/>
      <c r="I44" s="99"/>
      <c r="J44" s="99"/>
      <c r="O44" s="99"/>
    </row>
    <row r="45" spans="1:15" ht="13.5" x14ac:dyDescent="0.35">
      <c r="A45" s="99"/>
      <c r="B45" s="99"/>
      <c r="C45" s="99"/>
      <c r="D45" s="99"/>
      <c r="E45" s="99"/>
      <c r="F45" s="99"/>
      <c r="G45" s="99"/>
      <c r="H45" s="99"/>
      <c r="I45" s="99"/>
      <c r="J45" s="99"/>
      <c r="O45" s="99"/>
    </row>
  </sheetData>
  <sheetProtection selectLockedCells="1" selectUnlockedCells="1"/>
  <phoneticPr fontId="2" type="noConversion"/>
  <conditionalFormatting sqref="C5">
    <cfRule type="expression" dxfId="4" priority="1" stopIfTrue="1">
      <formula>(SCHEM&lt;&gt;O3)</formula>
    </cfRule>
  </conditionalFormatting>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1"/>
  </sheetPr>
  <dimension ref="C1:O41"/>
  <sheetViews>
    <sheetView showGridLines="0" showRowColHeaders="0" zoomScale="70" zoomScaleNormal="70" workbookViewId="0">
      <selection activeCell="M14" sqref="M14"/>
    </sheetView>
  </sheetViews>
  <sheetFormatPr defaultColWidth="9.1796875" defaultRowHeight="13.5" x14ac:dyDescent="0.35"/>
  <cols>
    <col min="1" max="2" width="9.1796875" style="99"/>
    <col min="3" max="3" width="14.453125" style="99" customWidth="1"/>
    <col min="4" max="4" width="15" style="99" customWidth="1"/>
    <col min="5" max="7" width="9.1796875" style="99"/>
    <col min="8" max="8" width="26" style="99" customWidth="1"/>
    <col min="9" max="9" width="9.1796875" style="99"/>
    <col min="10" max="10" width="7.453125" style="99" customWidth="1"/>
    <col min="11" max="11" width="10.1796875" style="99" customWidth="1"/>
    <col min="12" max="12" width="11" style="99" customWidth="1"/>
    <col min="13" max="13" width="7.7265625" style="99" customWidth="1"/>
    <col min="14" max="14" width="6.26953125" style="99" customWidth="1"/>
    <col min="15" max="15" width="21.7265625" style="99" customWidth="1"/>
    <col min="16" max="16" width="15.81640625" style="99" customWidth="1"/>
    <col min="17" max="16384" width="9.1796875" style="99"/>
  </cols>
  <sheetData>
    <row r="1" spans="3:15" ht="12" customHeight="1" x14ac:dyDescent="0.35"/>
    <row r="2" spans="3:15" ht="11.25" customHeight="1" x14ac:dyDescent="0.35"/>
    <row r="3" spans="3:15" ht="21.75" customHeight="1" x14ac:dyDescent="0.35">
      <c r="F3" s="31" t="str">
        <f>Calculator!$D$2</f>
        <v>AL8871Q Calculator</v>
      </c>
      <c r="G3" s="4"/>
      <c r="H3" s="4"/>
      <c r="I3" s="32" t="s">
        <v>6</v>
      </c>
      <c r="J3" s="147">
        <f>Calculator!H2</f>
        <v>1.2</v>
      </c>
      <c r="K3" s="102" t="str">
        <f>T(Calculator!G3)</f>
        <v>October 2021</v>
      </c>
      <c r="M3" s="116"/>
      <c r="N3" s="103" t="s">
        <v>443</v>
      </c>
      <c r="O3" s="104">
        <v>2</v>
      </c>
    </row>
    <row r="4" spans="3:15" ht="22.5" customHeight="1" x14ac:dyDescent="0.35"/>
    <row r="5" spans="3:15" ht="19" x14ac:dyDescent="0.45">
      <c r="C5" s="105" t="str">
        <f>IF(SCHEM=O3,"Congratulations, here is your design","Sorry, but this is the wrong schematic - please go back to the calculator tab")</f>
        <v>Sorry, but this is the wrong schematic - please go back to the calculator tab</v>
      </c>
    </row>
    <row r="6" spans="3:15" ht="19" x14ac:dyDescent="0.45">
      <c r="K6" s="117"/>
      <c r="L6" s="118"/>
    </row>
    <row r="7" spans="3:15" s="106" customFormat="1" ht="19" x14ac:dyDescent="0.45">
      <c r="C7" s="106" t="s">
        <v>424</v>
      </c>
      <c r="D7" s="105" t="s">
        <v>437</v>
      </c>
      <c r="K7" s="98" t="s">
        <v>412</v>
      </c>
      <c r="L7" s="99"/>
      <c r="M7" s="99"/>
      <c r="N7" s="99"/>
      <c r="O7" s="99"/>
    </row>
    <row r="8" spans="3:15" x14ac:dyDescent="0.35">
      <c r="K8" s="119" t="s">
        <v>413</v>
      </c>
      <c r="L8" s="120" t="s">
        <v>414</v>
      </c>
      <c r="M8" s="120" t="s">
        <v>415</v>
      </c>
      <c r="N8" s="120"/>
      <c r="O8" s="120"/>
    </row>
    <row r="9" spans="3:15" x14ac:dyDescent="0.35">
      <c r="K9" s="101">
        <v>1</v>
      </c>
      <c r="L9" s="100" t="s">
        <v>416</v>
      </c>
      <c r="M9" s="100" t="str">
        <f>"IC, Diodes Inc., "&amp;[0]!DRIVER</f>
        <v>IC, Diodes Inc., AL8871Q</v>
      </c>
      <c r="N9" s="100"/>
      <c r="O9" s="100"/>
    </row>
    <row r="10" spans="3:15" x14ac:dyDescent="0.35">
      <c r="K10" s="101">
        <v>1</v>
      </c>
      <c r="L10" s="100" t="s">
        <v>417</v>
      </c>
      <c r="M10" s="100" t="str">
        <f>IF(Calculator!C28="CUSTOM","MOSFET, "&amp;Calculator!F29,"MOSFET, Diodes Inc., "&amp;Calculator!C29)</f>
        <v xml:space="preserve">MOSFET, Diodes Inc., DMT3006LFDFQ	</v>
      </c>
      <c r="N10" s="100"/>
      <c r="O10" s="100"/>
    </row>
    <row r="11" spans="3:15" x14ac:dyDescent="0.35">
      <c r="K11" s="101">
        <v>1</v>
      </c>
      <c r="L11" s="100" t="s">
        <v>440</v>
      </c>
      <c r="M11" s="100" t="str">
        <f>IF(Calculator!C43="CUSTOM","Diode, Schottky, "&amp;Calculator!F44,"Diode, Schottky, Diodes Inc., "&amp;Calculator!C44)</f>
        <v>Diode, Schottky, Diodes Inc., B2100Q</v>
      </c>
      <c r="N11" s="100"/>
      <c r="O11" s="100"/>
    </row>
    <row r="12" spans="3:15" x14ac:dyDescent="0.35">
      <c r="K12" s="101">
        <v>1</v>
      </c>
      <c r="L12" s="100" t="s">
        <v>456</v>
      </c>
      <c r="M12" s="100" t="s">
        <v>604</v>
      </c>
      <c r="N12" s="100"/>
      <c r="O12" s="100"/>
    </row>
    <row r="13" spans="3:15" x14ac:dyDescent="0.35">
      <c r="K13" s="101">
        <v>1</v>
      </c>
      <c r="L13" s="100" t="s">
        <v>418</v>
      </c>
      <c r="M13" s="100" t="str">
        <f>IF(Calculator!C53="CUSTOM","Inductor, "&amp;Calculator!F54,"Inductor, "&amp;Calculator!C54)</f>
        <v>Inductor, Coilcraft MSS1246-683ML [68µH]</v>
      </c>
      <c r="N13" s="100"/>
      <c r="O13" s="100"/>
    </row>
    <row r="14" spans="3:15" x14ac:dyDescent="0.35">
      <c r="K14" s="101">
        <v>1</v>
      </c>
      <c r="L14" s="100" t="s">
        <v>419</v>
      </c>
      <c r="M14" s="100" t="s">
        <v>568</v>
      </c>
      <c r="N14" s="100"/>
      <c r="O14" s="100"/>
    </row>
    <row r="15" spans="3:15" x14ac:dyDescent="0.35">
      <c r="K15" s="101">
        <v>3</v>
      </c>
      <c r="L15" s="100" t="s">
        <v>481</v>
      </c>
      <c r="M15" s="100" t="s">
        <v>420</v>
      </c>
      <c r="N15" s="100"/>
      <c r="O15" s="100"/>
    </row>
    <row r="16" spans="3:15" x14ac:dyDescent="0.35">
      <c r="K16" s="101">
        <v>2</v>
      </c>
      <c r="L16" s="100" t="s">
        <v>423</v>
      </c>
      <c r="M16" s="100" t="str">
        <f>"Capacitor, "&amp;VALC3&amp;"µF, X7R, 100V"</f>
        <v>Capacitor, 0.47µF, X7R, 100V</v>
      </c>
      <c r="N16" s="100"/>
      <c r="O16" s="100"/>
    </row>
    <row r="17" spans="11:15" x14ac:dyDescent="0.35">
      <c r="K17" s="101">
        <v>1</v>
      </c>
      <c r="L17" s="100" t="s">
        <v>427</v>
      </c>
      <c r="M17" s="100" t="s">
        <v>428</v>
      </c>
      <c r="N17" s="100"/>
      <c r="O17" s="100"/>
    </row>
    <row r="18" spans="11:15" x14ac:dyDescent="0.35">
      <c r="K18" s="101">
        <v>1</v>
      </c>
      <c r="L18" s="100" t="s">
        <v>396</v>
      </c>
      <c r="M18" s="100" t="str">
        <f>"Resistor, "&amp;VALR1&amp;" ohm, "&amp;Calculator!F60</f>
        <v>Resistor, 0.5 ohm, 0.125W, 0805</v>
      </c>
      <c r="N18" s="100"/>
      <c r="O18" s="100"/>
    </row>
    <row r="19" spans="11:15" x14ac:dyDescent="0.35">
      <c r="K19" s="101">
        <v>1</v>
      </c>
      <c r="L19" s="100" t="s">
        <v>397</v>
      </c>
      <c r="M19" s="100" t="str">
        <f>"Resistor, "&amp;VALR2&amp;" ohm, "&amp;Calculator!F61</f>
        <v>Resistor, 0.56 ohm, 0.125W, 0805</v>
      </c>
      <c r="N19" s="100"/>
      <c r="O19" s="100"/>
    </row>
    <row r="20" spans="11:15" ht="15.5" x14ac:dyDescent="0.35">
      <c r="K20" s="101">
        <v>1</v>
      </c>
      <c r="L20" s="100" t="s">
        <v>501</v>
      </c>
      <c r="M20" s="100" t="s">
        <v>468</v>
      </c>
      <c r="N20" s="100"/>
      <c r="O20" s="100"/>
    </row>
    <row r="21" spans="11:15" ht="15.5" x14ac:dyDescent="0.35">
      <c r="K21" s="101">
        <v>1</v>
      </c>
      <c r="L21" s="100" t="s">
        <v>502</v>
      </c>
      <c r="M21" s="100" t="s">
        <v>469</v>
      </c>
      <c r="N21" s="100"/>
      <c r="O21" s="100"/>
    </row>
    <row r="22" spans="11:15" x14ac:dyDescent="0.35">
      <c r="K22" s="101">
        <v>2</v>
      </c>
      <c r="L22" s="100" t="s">
        <v>438</v>
      </c>
      <c r="M22" s="100" t="s">
        <v>439</v>
      </c>
      <c r="N22" s="100"/>
      <c r="O22" s="100"/>
    </row>
    <row r="23" spans="11:15" ht="15.5" x14ac:dyDescent="0.35">
      <c r="K23" s="101">
        <v>1</v>
      </c>
      <c r="L23" s="100" t="s">
        <v>503</v>
      </c>
      <c r="M23" s="100" t="s">
        <v>449</v>
      </c>
      <c r="N23" s="100"/>
      <c r="O23" s="100"/>
    </row>
    <row r="24" spans="11:15" ht="15.5" x14ac:dyDescent="0.35">
      <c r="K24" s="101">
        <v>1</v>
      </c>
      <c r="L24" s="100" t="s">
        <v>504</v>
      </c>
      <c r="M24" s="100" t="s">
        <v>470</v>
      </c>
      <c r="N24" s="100"/>
      <c r="O24" s="100"/>
    </row>
    <row r="25" spans="11:15" x14ac:dyDescent="0.35">
      <c r="K25" s="121"/>
      <c r="L25" s="121"/>
      <c r="M25" s="121"/>
      <c r="N25" s="121"/>
      <c r="O25" s="121"/>
    </row>
    <row r="26" spans="11:15" x14ac:dyDescent="0.35">
      <c r="K26" s="107" t="s">
        <v>429</v>
      </c>
      <c r="L26" s="108"/>
      <c r="M26" s="108"/>
      <c r="N26" s="108"/>
    </row>
    <row r="27" spans="11:15" x14ac:dyDescent="0.35">
      <c r="K27" s="109" t="s">
        <v>14</v>
      </c>
      <c r="L27" s="109"/>
      <c r="M27" s="109">
        <f>VINMAX</f>
        <v>18</v>
      </c>
      <c r="N27" s="109" t="s">
        <v>0</v>
      </c>
    </row>
    <row r="28" spans="11:15" x14ac:dyDescent="0.35">
      <c r="K28" s="109" t="s">
        <v>13</v>
      </c>
      <c r="L28" s="109"/>
      <c r="M28" s="109">
        <f>VINMIN</f>
        <v>8</v>
      </c>
      <c r="N28" s="109" t="s">
        <v>0</v>
      </c>
    </row>
    <row r="29" spans="11:15" x14ac:dyDescent="0.35">
      <c r="K29" s="109" t="s">
        <v>20</v>
      </c>
      <c r="L29" s="109"/>
      <c r="M29" s="109">
        <f>VFLED</f>
        <v>3.5</v>
      </c>
      <c r="N29" s="109" t="s">
        <v>0</v>
      </c>
    </row>
    <row r="30" spans="11:15" x14ac:dyDescent="0.35">
      <c r="K30" s="109" t="s">
        <v>433</v>
      </c>
      <c r="L30" s="109"/>
      <c r="M30" s="109">
        <f>VLEDS</f>
        <v>21</v>
      </c>
      <c r="N30" s="109" t="s">
        <v>0</v>
      </c>
    </row>
    <row r="31" spans="11:15" x14ac:dyDescent="0.35">
      <c r="K31" s="109" t="s">
        <v>441</v>
      </c>
      <c r="L31" s="109"/>
      <c r="M31" s="109">
        <f>N</f>
        <v>6</v>
      </c>
      <c r="N31" s="109"/>
    </row>
    <row r="32" spans="11:15" x14ac:dyDescent="0.35">
      <c r="K32" s="109" t="s">
        <v>432</v>
      </c>
      <c r="L32" s="109"/>
      <c r="M32" s="109">
        <f>TAMB</f>
        <v>50</v>
      </c>
      <c r="N32" s="109" t="s">
        <v>37</v>
      </c>
    </row>
    <row r="34" spans="3:14" x14ac:dyDescent="0.35">
      <c r="C34" s="98" t="s">
        <v>467</v>
      </c>
      <c r="K34" s="107" t="s">
        <v>430</v>
      </c>
      <c r="L34" s="108"/>
      <c r="M34" s="108"/>
      <c r="N34" s="108"/>
    </row>
    <row r="35" spans="3:14" x14ac:dyDescent="0.35">
      <c r="C35" s="110" t="s">
        <v>577</v>
      </c>
      <c r="K35" s="111" t="s">
        <v>434</v>
      </c>
      <c r="L35" s="111"/>
      <c r="M35" s="112" t="str">
        <f>IF(SCHEM=O3,ILEDF,"")</f>
        <v/>
      </c>
      <c r="N35" s="111" t="s">
        <v>2</v>
      </c>
    </row>
    <row r="36" spans="3:14" x14ac:dyDescent="0.35">
      <c r="C36" s="99" t="s">
        <v>465</v>
      </c>
      <c r="K36" s="111" t="s">
        <v>359</v>
      </c>
      <c r="L36" s="111"/>
      <c r="M36" s="111" t="str">
        <f>IF(SCHEM=O3,VRIPIN,"")</f>
        <v/>
      </c>
      <c r="N36" s="111" t="s">
        <v>431</v>
      </c>
    </row>
    <row r="37" spans="3:14" x14ac:dyDescent="0.35">
      <c r="C37" s="99" t="s">
        <v>466</v>
      </c>
      <c r="K37" s="111" t="s">
        <v>360</v>
      </c>
      <c r="L37" s="111"/>
      <c r="M37" s="111" t="str">
        <f>IF(SCHEM=O3,VRIPOUT,"")</f>
        <v/>
      </c>
      <c r="N37" s="111" t="s">
        <v>431</v>
      </c>
    </row>
    <row r="38" spans="3:14" x14ac:dyDescent="0.35">
      <c r="K38" s="111" t="s">
        <v>276</v>
      </c>
      <c r="L38" s="111"/>
      <c r="M38" s="113" t="str">
        <f>IF(SCHEM=O3,PIN,"")</f>
        <v/>
      </c>
      <c r="N38" s="111" t="s">
        <v>27</v>
      </c>
    </row>
    <row r="39" spans="3:14" x14ac:dyDescent="0.35">
      <c r="K39" s="111" t="s">
        <v>277</v>
      </c>
      <c r="L39" s="111"/>
      <c r="M39" s="113" t="str">
        <f>IF(SCHEM=O3,PLEDS,"")</f>
        <v/>
      </c>
      <c r="N39" s="111" t="s">
        <v>27</v>
      </c>
    </row>
    <row r="40" spans="3:14" x14ac:dyDescent="0.35">
      <c r="C40" s="98" t="s">
        <v>498</v>
      </c>
      <c r="K40" s="114" t="s">
        <v>435</v>
      </c>
      <c r="L40" s="114"/>
      <c r="M40" s="115" t="str">
        <f>IF(SCHEM=O3,EFFVINMAX,"")</f>
        <v/>
      </c>
      <c r="N40" s="114"/>
    </row>
    <row r="41" spans="3:14" x14ac:dyDescent="0.35">
      <c r="C41" s="99" t="s">
        <v>500</v>
      </c>
      <c r="K41" s="114" t="s">
        <v>436</v>
      </c>
      <c r="L41" s="114"/>
      <c r="M41" s="115" t="str">
        <f>IF(SCHEM=O3,EFFVINMIN,"")</f>
        <v/>
      </c>
      <c r="N41" s="114"/>
    </row>
  </sheetData>
  <sheetProtection selectLockedCells="1" selectUnlockedCells="1"/>
  <phoneticPr fontId="2" type="noConversion"/>
  <conditionalFormatting sqref="C5">
    <cfRule type="expression" dxfId="3" priority="1" stopIfTrue="1">
      <formula>(SCHEM&lt;&gt;O3)</formula>
    </cfRule>
  </conditionalFormatting>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B1:O40"/>
  <sheetViews>
    <sheetView showGridLines="0" showRowColHeaders="0" zoomScale="70" zoomScaleNormal="70" workbookViewId="0">
      <selection activeCell="M15" sqref="M15"/>
    </sheetView>
  </sheetViews>
  <sheetFormatPr defaultColWidth="9.1796875" defaultRowHeight="13.5" x14ac:dyDescent="0.35"/>
  <cols>
    <col min="1" max="2" width="9.1796875" style="99"/>
    <col min="3" max="3" width="14.54296875" style="99" customWidth="1"/>
    <col min="4" max="4" width="15" style="99" customWidth="1"/>
    <col min="5" max="5" width="24.81640625" style="99" customWidth="1"/>
    <col min="6" max="6" width="17" style="99" customWidth="1"/>
    <col min="7" max="7" width="3.7265625" style="99" customWidth="1"/>
    <col min="8" max="8" width="6.1796875" style="99" customWidth="1"/>
    <col min="9" max="9" width="9.1796875" style="99"/>
    <col min="10" max="10" width="7.453125" style="99" customWidth="1"/>
    <col min="11" max="11" width="10.1796875" style="99" customWidth="1"/>
    <col min="12" max="12" width="11" style="99" customWidth="1"/>
    <col min="13" max="13" width="7.7265625" style="99" customWidth="1"/>
    <col min="14" max="14" width="6.26953125" style="99" customWidth="1"/>
    <col min="15" max="15" width="21.7265625" style="99" customWidth="1"/>
    <col min="16" max="16" width="15.81640625" style="99" customWidth="1"/>
    <col min="17" max="16384" width="9.1796875" style="99"/>
  </cols>
  <sheetData>
    <row r="1" spans="3:15" ht="12" customHeight="1" x14ac:dyDescent="0.35"/>
    <row r="2" spans="3:15" ht="11.25" customHeight="1" x14ac:dyDescent="0.35"/>
    <row r="3" spans="3:15" ht="20.5" x14ac:dyDescent="0.35">
      <c r="E3" s="31" t="str">
        <f>Calculator!$D$2</f>
        <v>AL8871Q Calculator</v>
      </c>
      <c r="G3" s="4"/>
      <c r="H3" s="4"/>
      <c r="I3" s="32" t="s">
        <v>6</v>
      </c>
      <c r="J3" s="147">
        <f>Calculator!H2</f>
        <v>1.2</v>
      </c>
      <c r="K3" s="102" t="str">
        <f>T(Calculator!G3)</f>
        <v>October 2021</v>
      </c>
      <c r="M3" s="116"/>
      <c r="N3" s="103" t="s">
        <v>443</v>
      </c>
      <c r="O3" s="104">
        <v>3</v>
      </c>
    </row>
    <row r="4" spans="3:15" ht="22.5" customHeight="1" x14ac:dyDescent="0.35"/>
    <row r="5" spans="3:15" ht="19" x14ac:dyDescent="0.45">
      <c r="C5" s="105" t="str">
        <f>IF(SCHEM=O3,"Congratulations, here is your design","Sorry, but this is the wrong schematic - please go back to the calculator tab")</f>
        <v>Sorry, but this is the wrong schematic - please go back to the calculator tab</v>
      </c>
    </row>
    <row r="6" spans="3:15" ht="19" x14ac:dyDescent="0.45">
      <c r="K6" s="117"/>
      <c r="L6" s="118"/>
    </row>
    <row r="7" spans="3:15" s="106" customFormat="1" ht="19" x14ac:dyDescent="0.45">
      <c r="C7" s="106" t="s">
        <v>424</v>
      </c>
      <c r="D7" s="105" t="str">
        <f>IF(CONFIG="BUCK","",CONFIG)</f>
        <v>BOOST</v>
      </c>
      <c r="K7" s="98" t="s">
        <v>412</v>
      </c>
      <c r="L7" s="99"/>
      <c r="M7" s="99"/>
      <c r="N7" s="99"/>
      <c r="O7" s="99"/>
    </row>
    <row r="8" spans="3:15" x14ac:dyDescent="0.35">
      <c r="K8" s="120" t="s">
        <v>413</v>
      </c>
      <c r="L8" s="120" t="s">
        <v>414</v>
      </c>
      <c r="M8" s="120" t="s">
        <v>415</v>
      </c>
      <c r="N8" s="120"/>
      <c r="O8" s="120"/>
    </row>
    <row r="9" spans="3:15" x14ac:dyDescent="0.35">
      <c r="K9" s="100">
        <v>1</v>
      </c>
      <c r="L9" s="100" t="s">
        <v>416</v>
      </c>
      <c r="M9" s="100" t="str">
        <f>"IC, Diodes Inc., "&amp;[0]!DRIVER</f>
        <v>IC, Diodes Inc., AL8871Q</v>
      </c>
      <c r="N9" s="100"/>
      <c r="O9" s="100"/>
    </row>
    <row r="10" spans="3:15" x14ac:dyDescent="0.35">
      <c r="K10" s="100">
        <v>1</v>
      </c>
      <c r="L10" s="100" t="s">
        <v>417</v>
      </c>
      <c r="M10" s="100" t="str">
        <f>IF(Calculator!C28="CUSTOM","MOSFET, "&amp;Calculator!F29,"MOSFET, Diodes Inc., "&amp;Calculator!C29)</f>
        <v xml:space="preserve">MOSFET, Diodes Inc., DMT3006LFDFQ	</v>
      </c>
      <c r="N10" s="100"/>
      <c r="O10" s="100"/>
    </row>
    <row r="11" spans="3:15" ht="15.5" x14ac:dyDescent="0.35">
      <c r="K11" s="100">
        <v>2</v>
      </c>
      <c r="L11" s="100" t="s">
        <v>506</v>
      </c>
      <c r="M11" s="100" t="s">
        <v>628</v>
      </c>
      <c r="N11" s="100"/>
      <c r="O11" s="100"/>
    </row>
    <row r="12" spans="3:15" x14ac:dyDescent="0.35">
      <c r="K12" s="100">
        <v>1</v>
      </c>
      <c r="L12" s="100" t="s">
        <v>440</v>
      </c>
      <c r="M12" s="100" t="str">
        <f>IF(Calculator!C43="CUSTOM","Diode, Schottky, "&amp;Calculator!F44,"Diode, Schottky, Diodes Inc., "&amp;Calculator!C44)</f>
        <v>Diode, Schottky, Diodes Inc., B2100Q</v>
      </c>
      <c r="N12" s="100"/>
      <c r="O12" s="100"/>
    </row>
    <row r="13" spans="3:15" x14ac:dyDescent="0.35">
      <c r="K13" s="100">
        <v>1</v>
      </c>
      <c r="L13" s="100" t="s">
        <v>471</v>
      </c>
      <c r="M13" s="100" t="str">
        <f>IF(VOUTA&gt;42,"Series connected zeners total "&amp;TEXT(VOUTA*1.1,"00.0")&amp;"V min","Diode, Zener, "&amp;_VZD4&amp;"V, Diodes Inc., BZT52C"&amp;_VZD4&amp;"Q")</f>
        <v>Diode, Zener, 33V, Diodes Inc., BZT52C33Q</v>
      </c>
      <c r="N13" s="100"/>
      <c r="O13" s="100"/>
    </row>
    <row r="14" spans="3:15" x14ac:dyDescent="0.35">
      <c r="K14" s="100">
        <v>1</v>
      </c>
      <c r="L14" s="100" t="s">
        <v>418</v>
      </c>
      <c r="M14" s="100" t="str">
        <f>IF(Calculator!C53="CUSTOM","Inductor, "&amp;Calculator!F54,"Inductor, "&amp;Calculator!C54)</f>
        <v>Inductor, Coilcraft MSS1246-683ML [68µH]</v>
      </c>
      <c r="N14" s="100"/>
      <c r="O14" s="100"/>
    </row>
    <row r="15" spans="3:15" x14ac:dyDescent="0.35">
      <c r="K15" s="100">
        <v>1</v>
      </c>
      <c r="L15" s="100" t="s">
        <v>419</v>
      </c>
      <c r="M15" s="100" t="s">
        <v>568</v>
      </c>
      <c r="N15" s="100"/>
      <c r="O15" s="100"/>
    </row>
    <row r="16" spans="3:15" x14ac:dyDescent="0.35">
      <c r="K16" s="100">
        <v>2</v>
      </c>
      <c r="L16" s="100" t="s">
        <v>482</v>
      </c>
      <c r="M16" s="100" t="s">
        <v>420</v>
      </c>
      <c r="N16" s="100"/>
      <c r="O16" s="100"/>
    </row>
    <row r="17" spans="2:15" x14ac:dyDescent="0.35">
      <c r="K17" s="100">
        <v>2</v>
      </c>
      <c r="L17" s="100" t="s">
        <v>423</v>
      </c>
      <c r="M17" s="100" t="str">
        <f>"Capacitor, "&amp;VALC3&amp;"µF, X7R, 100V"</f>
        <v>Capacitor, 0.47µF, X7R, 100V</v>
      </c>
      <c r="N17" s="100"/>
      <c r="O17" s="100"/>
    </row>
    <row r="18" spans="2:15" x14ac:dyDescent="0.35">
      <c r="K18" s="100">
        <v>1</v>
      </c>
      <c r="L18" s="100" t="s">
        <v>427</v>
      </c>
      <c r="M18" s="100" t="s">
        <v>428</v>
      </c>
      <c r="N18" s="100"/>
      <c r="O18" s="100"/>
    </row>
    <row r="19" spans="2:15" x14ac:dyDescent="0.35">
      <c r="K19" s="100">
        <v>1</v>
      </c>
      <c r="L19" s="100" t="s">
        <v>485</v>
      </c>
      <c r="M19" s="100" t="str">
        <f>"Capacitor, "&amp;VALC10&amp;"µF, X7R, 100V"</f>
        <v>Capacitor, 1µF, X7R, 100V</v>
      </c>
      <c r="N19" s="100"/>
      <c r="O19" s="100"/>
    </row>
    <row r="20" spans="2:15" x14ac:dyDescent="0.35">
      <c r="K20" s="100">
        <v>1</v>
      </c>
      <c r="L20" s="100" t="s">
        <v>396</v>
      </c>
      <c r="M20" s="100" t="str">
        <f>"Resistor, "&amp;VALR1&amp;" ohm, "&amp;Calculator!F60</f>
        <v>Resistor, 0.5 ohm, 0.125W, 0805</v>
      </c>
      <c r="N20" s="100"/>
      <c r="O20" s="100"/>
    </row>
    <row r="21" spans="2:15" x14ac:dyDescent="0.35">
      <c r="K21" s="100">
        <v>1</v>
      </c>
      <c r="L21" s="100" t="s">
        <v>397</v>
      </c>
      <c r="M21" s="100" t="str">
        <f>"Resistor, "&amp;VALR2&amp;" ohm, "&amp;Calculator!F61</f>
        <v>Resistor, 0.56 ohm, 0.125W, 0805</v>
      </c>
      <c r="N21" s="100"/>
      <c r="O21" s="100"/>
    </row>
    <row r="22" spans="2:15" ht="15.5" x14ac:dyDescent="0.35">
      <c r="K22" s="100">
        <v>1</v>
      </c>
      <c r="L22" s="100" t="s">
        <v>501</v>
      </c>
      <c r="M22" s="100" t="s">
        <v>468</v>
      </c>
      <c r="N22" s="100"/>
      <c r="O22" s="100"/>
    </row>
    <row r="23" spans="2:15" ht="15.5" x14ac:dyDescent="0.35">
      <c r="K23" s="100">
        <v>1</v>
      </c>
      <c r="L23" s="100" t="s">
        <v>502</v>
      </c>
      <c r="M23" s="100" t="s">
        <v>469</v>
      </c>
      <c r="N23" s="100"/>
      <c r="O23" s="100"/>
    </row>
    <row r="24" spans="2:15" x14ac:dyDescent="0.35">
      <c r="K24" s="100">
        <v>1</v>
      </c>
      <c r="L24" s="100" t="s">
        <v>473</v>
      </c>
      <c r="M24" s="100" t="str">
        <f>"Resistor, "&amp;_RGI2&amp;"k, 0805"</f>
        <v>Resistor, 150k, 0805</v>
      </c>
      <c r="N24" s="100"/>
      <c r="O24" s="100"/>
    </row>
    <row r="25" spans="2:15" x14ac:dyDescent="0.35">
      <c r="K25" s="100">
        <v>1</v>
      </c>
      <c r="L25" s="100" t="s">
        <v>474</v>
      </c>
      <c r="M25" s="100" t="str">
        <f>IF(_RGI1="not used","not used","Resistor, "&amp;_RGI1&amp;"k, 0805")</f>
        <v>Resistor, 82k, 0805</v>
      </c>
      <c r="N25" s="100"/>
      <c r="O25" s="100"/>
    </row>
    <row r="26" spans="2:15" ht="15.5" x14ac:dyDescent="0.35">
      <c r="K26" s="100">
        <v>1</v>
      </c>
      <c r="L26" s="100" t="s">
        <v>503</v>
      </c>
      <c r="M26" s="100" t="s">
        <v>449</v>
      </c>
      <c r="N26" s="100"/>
      <c r="O26" s="100"/>
    </row>
    <row r="27" spans="2:15" x14ac:dyDescent="0.35">
      <c r="K27" s="100">
        <v>1</v>
      </c>
      <c r="L27" s="100" t="s">
        <v>478</v>
      </c>
      <c r="M27" s="100" t="s">
        <v>479</v>
      </c>
      <c r="N27" s="100"/>
      <c r="O27" s="100"/>
    </row>
    <row r="28" spans="2:15" ht="15.5" x14ac:dyDescent="0.35">
      <c r="K28" s="100">
        <v>1</v>
      </c>
      <c r="L28" s="100" t="s">
        <v>505</v>
      </c>
      <c r="M28" s="100" t="s">
        <v>477</v>
      </c>
      <c r="N28" s="100"/>
      <c r="O28" s="100"/>
    </row>
    <row r="29" spans="2:15" ht="15.5" x14ac:dyDescent="0.35">
      <c r="K29" s="100">
        <v>1</v>
      </c>
      <c r="L29" s="100" t="s">
        <v>504</v>
      </c>
      <c r="M29" s="100" t="s">
        <v>470</v>
      </c>
      <c r="N29" s="100"/>
      <c r="O29" s="100"/>
    </row>
    <row r="32" spans="2:15" ht="15.5" x14ac:dyDescent="0.35">
      <c r="B32" s="98" t="s">
        <v>467</v>
      </c>
      <c r="F32" s="124" t="str">
        <f>IF(VOUTA&gt;80,"Voltage at C5, C10, C11 and C13 is "&amp;TEXT(VOUTA,"00.0")&amp;"V.  Please increase voltage rating for these capacitors","")</f>
        <v/>
      </c>
    </row>
    <row r="33" spans="2:14" x14ac:dyDescent="0.35">
      <c r="B33" s="110" t="s">
        <v>577</v>
      </c>
      <c r="F33" s="107" t="s">
        <v>429</v>
      </c>
      <c r="G33" s="108"/>
      <c r="H33" s="108"/>
      <c r="I33" s="108"/>
      <c r="K33" s="107" t="s">
        <v>430</v>
      </c>
      <c r="L33" s="108"/>
      <c r="M33" s="108"/>
      <c r="N33" s="108"/>
    </row>
    <row r="34" spans="2:14" x14ac:dyDescent="0.35">
      <c r="B34" s="99" t="s">
        <v>465</v>
      </c>
      <c r="F34" s="109" t="s">
        <v>14</v>
      </c>
      <c r="G34" s="109"/>
      <c r="H34" s="109">
        <f>VINMAX</f>
        <v>18</v>
      </c>
      <c r="I34" s="109" t="s">
        <v>0</v>
      </c>
      <c r="K34" s="111" t="s">
        <v>434</v>
      </c>
      <c r="L34" s="111"/>
      <c r="M34" s="112" t="str">
        <f>IF(SCHEM=O3,ILEDF,"")</f>
        <v/>
      </c>
      <c r="N34" s="111" t="s">
        <v>2</v>
      </c>
    </row>
    <row r="35" spans="2:14" x14ac:dyDescent="0.35">
      <c r="B35" s="145" t="s">
        <v>480</v>
      </c>
      <c r="F35" s="109" t="s">
        <v>13</v>
      </c>
      <c r="G35" s="109"/>
      <c r="H35" s="109">
        <f>VINMIN</f>
        <v>8</v>
      </c>
      <c r="I35" s="109" t="s">
        <v>0</v>
      </c>
      <c r="K35" s="111" t="s">
        <v>359</v>
      </c>
      <c r="L35" s="111"/>
      <c r="M35" s="111" t="str">
        <f>IF(SCHEM=O3,VRIPIN,"")</f>
        <v/>
      </c>
      <c r="N35" s="111" t="s">
        <v>431</v>
      </c>
    </row>
    <row r="36" spans="2:14" x14ac:dyDescent="0.35">
      <c r="B36" s="99" t="s">
        <v>567</v>
      </c>
      <c r="F36" s="109" t="s">
        <v>20</v>
      </c>
      <c r="G36" s="109"/>
      <c r="H36" s="109">
        <f>VFLED</f>
        <v>3.5</v>
      </c>
      <c r="I36" s="109" t="s">
        <v>0</v>
      </c>
      <c r="K36" s="111" t="s">
        <v>360</v>
      </c>
      <c r="L36" s="111"/>
      <c r="M36" s="111" t="str">
        <f>IF(SCHEM=O3,VRIPOUT,"")</f>
        <v/>
      </c>
      <c r="N36" s="111" t="s">
        <v>431</v>
      </c>
    </row>
    <row r="37" spans="2:14" x14ac:dyDescent="0.35">
      <c r="F37" s="109" t="s">
        <v>433</v>
      </c>
      <c r="G37" s="109"/>
      <c r="H37" s="109">
        <f>VLEDS</f>
        <v>21</v>
      </c>
      <c r="I37" s="109" t="s">
        <v>0</v>
      </c>
      <c r="K37" s="111" t="s">
        <v>276</v>
      </c>
      <c r="L37" s="111"/>
      <c r="M37" s="113" t="str">
        <f>IF(SCHEM=O3,PIN,"")</f>
        <v/>
      </c>
      <c r="N37" s="111" t="s">
        <v>27</v>
      </c>
    </row>
    <row r="38" spans="2:14" x14ac:dyDescent="0.35">
      <c r="F38" s="109" t="s">
        <v>441</v>
      </c>
      <c r="G38" s="109"/>
      <c r="H38" s="109">
        <f>N</f>
        <v>6</v>
      </c>
      <c r="I38" s="109"/>
      <c r="K38" s="111" t="s">
        <v>277</v>
      </c>
      <c r="L38" s="111"/>
      <c r="M38" s="113" t="str">
        <f>IF(SCHEM=O3,PLEDS,"")</f>
        <v/>
      </c>
      <c r="N38" s="111" t="s">
        <v>27</v>
      </c>
    </row>
    <row r="39" spans="2:14" x14ac:dyDescent="0.35">
      <c r="B39" s="98" t="s">
        <v>498</v>
      </c>
      <c r="F39" s="109" t="s">
        <v>432</v>
      </c>
      <c r="G39" s="109"/>
      <c r="H39" s="109">
        <f>TAMB</f>
        <v>50</v>
      </c>
      <c r="I39" s="109" t="s">
        <v>37</v>
      </c>
      <c r="K39" s="114" t="s">
        <v>435</v>
      </c>
      <c r="L39" s="114"/>
      <c r="M39" s="115" t="str">
        <f>IF(SCHEM=O3,EFFVINMAX,"")</f>
        <v/>
      </c>
      <c r="N39" s="114"/>
    </row>
    <row r="40" spans="2:14" x14ac:dyDescent="0.35">
      <c r="B40" s="99" t="s">
        <v>500</v>
      </c>
      <c r="K40" s="114" t="s">
        <v>436</v>
      </c>
      <c r="L40" s="114"/>
      <c r="M40" s="115" t="str">
        <f>IF(SCHEM=O3,EFFVINMIN,"")</f>
        <v/>
      </c>
      <c r="N40" s="114"/>
    </row>
  </sheetData>
  <sheetProtection selectLockedCells="1" selectUnlockedCells="1"/>
  <phoneticPr fontId="2" type="noConversion"/>
  <conditionalFormatting sqref="C5">
    <cfRule type="expression" dxfId="2" priority="1" stopIfTrue="1">
      <formula>(SCHEM&lt;&gt;O3)</formula>
    </cfRule>
  </conditionalFormatting>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B1:O42"/>
  <sheetViews>
    <sheetView showGridLines="0" showRowColHeaders="0" zoomScale="70" zoomScaleNormal="70" workbookViewId="0">
      <selection activeCell="M16" sqref="M16"/>
    </sheetView>
  </sheetViews>
  <sheetFormatPr defaultColWidth="9.1796875" defaultRowHeight="13.5" x14ac:dyDescent="0.35"/>
  <cols>
    <col min="1" max="2" width="9.1796875" style="99"/>
    <col min="3" max="3" width="14.453125" style="99" customWidth="1"/>
    <col min="4" max="4" width="15" style="99" customWidth="1"/>
    <col min="5" max="5" width="24.81640625" style="99" customWidth="1"/>
    <col min="6" max="6" width="17" style="99" customWidth="1"/>
    <col min="7" max="7" width="3.7265625" style="99" customWidth="1"/>
    <col min="8" max="8" width="6.1796875" style="99" customWidth="1"/>
    <col min="9" max="9" width="9.1796875" style="99"/>
    <col min="10" max="10" width="7.453125" style="99" customWidth="1"/>
    <col min="11" max="11" width="10.1796875" style="99" customWidth="1"/>
    <col min="12" max="12" width="11" style="99" customWidth="1"/>
    <col min="13" max="13" width="7.7265625" style="99" customWidth="1"/>
    <col min="14" max="14" width="6.26953125" style="99" customWidth="1"/>
    <col min="15" max="15" width="21.7265625" style="99" customWidth="1"/>
    <col min="16" max="16" width="15.81640625" style="99" customWidth="1"/>
    <col min="17" max="16384" width="9.1796875" style="99"/>
  </cols>
  <sheetData>
    <row r="1" spans="3:15" ht="11.25" customHeight="1" x14ac:dyDescent="0.35"/>
    <row r="2" spans="3:15" ht="9" customHeight="1" x14ac:dyDescent="0.35"/>
    <row r="3" spans="3:15" ht="20.5" x14ac:dyDescent="0.35">
      <c r="E3" s="31" t="str">
        <f>Calculator!$D$2</f>
        <v>AL8871Q Calculator</v>
      </c>
      <c r="G3" s="4"/>
      <c r="H3" s="4"/>
      <c r="I3" s="32" t="s">
        <v>6</v>
      </c>
      <c r="J3" s="147">
        <f>Calculator!H2</f>
        <v>1.2</v>
      </c>
      <c r="K3" s="102" t="str">
        <f>T(Calculator!G3)</f>
        <v>October 2021</v>
      </c>
      <c r="M3" s="116"/>
      <c r="N3" s="103" t="s">
        <v>443</v>
      </c>
      <c r="O3" s="104">
        <v>4</v>
      </c>
    </row>
    <row r="4" spans="3:15" ht="16.5" customHeight="1" x14ac:dyDescent="0.35"/>
    <row r="5" spans="3:15" ht="19" x14ac:dyDescent="0.45">
      <c r="C5" s="105" t="str">
        <f>IF(SCHEM=O3,"Congratulations, here is your design","Sorry, but this is the wrong schematic - please go back to the calculator tab")</f>
        <v>Sorry, but this is the wrong schematic - please go back to the calculator tab</v>
      </c>
    </row>
    <row r="6" spans="3:15" ht="12.75" customHeight="1" x14ac:dyDescent="0.45">
      <c r="K6" s="117"/>
      <c r="L6" s="118"/>
    </row>
    <row r="7" spans="3:15" s="106" customFormat="1" ht="17.25" customHeight="1" x14ac:dyDescent="0.45">
      <c r="C7" s="106" t="s">
        <v>424</v>
      </c>
      <c r="D7" s="105" t="str">
        <f>IF(CONFIG="BUCK","",CONFIG&amp;" with dissipation limiting")</f>
        <v>BOOST with dissipation limiting</v>
      </c>
      <c r="K7" s="98" t="s">
        <v>412</v>
      </c>
      <c r="L7" s="99"/>
      <c r="M7" s="99"/>
      <c r="N7" s="99"/>
      <c r="O7" s="99"/>
    </row>
    <row r="8" spans="3:15" x14ac:dyDescent="0.35">
      <c r="K8" s="120" t="s">
        <v>413</v>
      </c>
      <c r="L8" s="120" t="s">
        <v>414</v>
      </c>
      <c r="M8" s="120" t="s">
        <v>415</v>
      </c>
      <c r="N8" s="120"/>
      <c r="O8" s="120"/>
    </row>
    <row r="9" spans="3:15" x14ac:dyDescent="0.35">
      <c r="K9" s="100">
        <v>1</v>
      </c>
      <c r="L9" s="100" t="s">
        <v>416</v>
      </c>
      <c r="M9" s="100" t="str">
        <f>"IC, Diodes Inc., "&amp;[0]!DRIVER</f>
        <v>IC, Diodes Inc., AL8871Q</v>
      </c>
      <c r="N9" s="100"/>
      <c r="O9" s="100"/>
    </row>
    <row r="10" spans="3:15" x14ac:dyDescent="0.35">
      <c r="K10" s="100">
        <v>1</v>
      </c>
      <c r="L10" s="100" t="s">
        <v>417</v>
      </c>
      <c r="M10" s="100" t="str">
        <f>IF(Calculator!C28="CUSTOM","MOSFET, "&amp;Calculator!F29,"MOSFET, Diodes Inc., "&amp;Calculator!C29)</f>
        <v xml:space="preserve">MOSFET, Diodes Inc., DMT3006LFDFQ	</v>
      </c>
      <c r="N10" s="100"/>
      <c r="O10" s="100"/>
    </row>
    <row r="11" spans="3:15" ht="15.5" x14ac:dyDescent="0.35">
      <c r="K11" s="100">
        <v>2</v>
      </c>
      <c r="L11" s="100" t="s">
        <v>506</v>
      </c>
      <c r="M11" s="100" t="s">
        <v>628</v>
      </c>
      <c r="N11" s="100"/>
      <c r="O11" s="100"/>
    </row>
    <row r="12" spans="3:15" x14ac:dyDescent="0.35">
      <c r="K12" s="100">
        <v>1</v>
      </c>
      <c r="L12" s="100" t="s">
        <v>440</v>
      </c>
      <c r="M12" s="100" t="str">
        <f>IF(Calculator!C43="CUSTOM","Diode, Schottky, "&amp;Calculator!F44,"Diode, Schottky, Diodes Inc., "&amp;Calculator!C44)</f>
        <v>Diode, Schottky, Diodes Inc., B2100Q</v>
      </c>
      <c r="N12" s="100"/>
      <c r="O12" s="100"/>
    </row>
    <row r="13" spans="3:15" x14ac:dyDescent="0.35">
      <c r="K13" s="100">
        <v>1</v>
      </c>
      <c r="L13" s="100" t="s">
        <v>456</v>
      </c>
      <c r="M13" s="100" t="s">
        <v>605</v>
      </c>
      <c r="N13" s="100"/>
      <c r="O13" s="100"/>
    </row>
    <row r="14" spans="3:15" x14ac:dyDescent="0.35">
      <c r="K14" s="100">
        <v>1</v>
      </c>
      <c r="L14" s="100" t="s">
        <v>471</v>
      </c>
      <c r="M14" s="100" t="str">
        <f>IF(VOUTA&gt;42,"Series connected zeners total "&amp;TEXT(VOUTA*1.1,"00.0")&amp;"V min","Diode, Zener, "&amp;_VZD4&amp;"V, Diodes Inc., BZT52C"&amp;_VZD4&amp;"Q")</f>
        <v>Diode, Zener, 33V, Diodes Inc., BZT52C33Q</v>
      </c>
      <c r="N14" s="100"/>
      <c r="O14" s="100"/>
    </row>
    <row r="15" spans="3:15" x14ac:dyDescent="0.35">
      <c r="K15" s="100">
        <v>1</v>
      </c>
      <c r="L15" s="100" t="s">
        <v>418</v>
      </c>
      <c r="M15" s="100" t="str">
        <f>IF(Calculator!C53="CUSTOM","Inductor, "&amp;Calculator!F54,"Inductor, "&amp;Calculator!C54)</f>
        <v>Inductor, Coilcraft MSS1246-683ML [68µH]</v>
      </c>
      <c r="N15" s="100"/>
      <c r="O15" s="100"/>
    </row>
    <row r="16" spans="3:15" x14ac:dyDescent="0.35">
      <c r="K16" s="100">
        <v>1</v>
      </c>
      <c r="L16" s="100" t="s">
        <v>419</v>
      </c>
      <c r="M16" s="100" t="s">
        <v>568</v>
      </c>
      <c r="N16" s="100"/>
      <c r="O16" s="100"/>
    </row>
    <row r="17" spans="11:15" x14ac:dyDescent="0.35">
      <c r="K17" s="100">
        <v>3</v>
      </c>
      <c r="L17" s="100" t="s">
        <v>481</v>
      </c>
      <c r="M17" s="100" t="s">
        <v>420</v>
      </c>
      <c r="N17" s="100"/>
      <c r="O17" s="100"/>
    </row>
    <row r="18" spans="11:15" x14ac:dyDescent="0.35">
      <c r="K18" s="100">
        <v>2</v>
      </c>
      <c r="L18" s="100" t="s">
        <v>423</v>
      </c>
      <c r="M18" s="100" t="str">
        <f>"Capacitor, "&amp;VALC3&amp;"µF, X7R, 100V"</f>
        <v>Capacitor, 0.47µF, X7R, 100V</v>
      </c>
      <c r="N18" s="100"/>
      <c r="O18" s="100"/>
    </row>
    <row r="19" spans="11:15" x14ac:dyDescent="0.35">
      <c r="K19" s="100">
        <v>1</v>
      </c>
      <c r="L19" s="100" t="s">
        <v>427</v>
      </c>
      <c r="M19" s="100" t="s">
        <v>428</v>
      </c>
      <c r="N19" s="100"/>
      <c r="O19" s="100"/>
    </row>
    <row r="20" spans="11:15" x14ac:dyDescent="0.35">
      <c r="K20" s="100">
        <v>1</v>
      </c>
      <c r="L20" s="100" t="s">
        <v>485</v>
      </c>
      <c r="M20" s="100" t="str">
        <f>"Capacitor, "&amp;VALC10&amp;"µF, X7R, 100V"</f>
        <v>Capacitor, 1µF, X7R, 100V</v>
      </c>
      <c r="N20" s="100"/>
      <c r="O20" s="100"/>
    </row>
    <row r="21" spans="11:15" x14ac:dyDescent="0.35">
      <c r="K21" s="100">
        <v>1</v>
      </c>
      <c r="L21" s="100" t="s">
        <v>396</v>
      </c>
      <c r="M21" s="100" t="str">
        <f>"Resistor, "&amp;VALR1&amp;" ohm, "&amp;Calculator!F60</f>
        <v>Resistor, 0.5 ohm, 0.125W, 0805</v>
      </c>
      <c r="N21" s="100"/>
      <c r="O21" s="100"/>
    </row>
    <row r="22" spans="11:15" x14ac:dyDescent="0.35">
      <c r="K22" s="100">
        <v>1</v>
      </c>
      <c r="L22" s="100" t="s">
        <v>397</v>
      </c>
      <c r="M22" s="100" t="str">
        <f>"Resistor, "&amp;VALR2&amp;" ohm, "&amp;Calculator!F61</f>
        <v>Resistor, 0.56 ohm, 0.125W, 0805</v>
      </c>
      <c r="N22" s="100"/>
      <c r="O22" s="100"/>
    </row>
    <row r="23" spans="11:15" ht="15.5" x14ac:dyDescent="0.35">
      <c r="K23" s="100">
        <v>1</v>
      </c>
      <c r="L23" s="100" t="s">
        <v>501</v>
      </c>
      <c r="M23" s="100" t="s">
        <v>468</v>
      </c>
      <c r="N23" s="100"/>
      <c r="O23" s="100"/>
    </row>
    <row r="24" spans="11:15" ht="15.5" x14ac:dyDescent="0.35">
      <c r="K24" s="100">
        <v>1</v>
      </c>
      <c r="L24" s="100" t="s">
        <v>502</v>
      </c>
      <c r="M24" s="100" t="s">
        <v>469</v>
      </c>
      <c r="N24" s="100"/>
      <c r="O24" s="100"/>
    </row>
    <row r="25" spans="11:15" x14ac:dyDescent="0.35">
      <c r="K25" s="100">
        <v>1</v>
      </c>
      <c r="L25" s="100" t="s">
        <v>473</v>
      </c>
      <c r="M25" s="100" t="str">
        <f>"Resistor, "&amp;_RGI2&amp;"k, 0805"</f>
        <v>Resistor, 150k, 0805</v>
      </c>
      <c r="N25" s="100"/>
      <c r="O25" s="100"/>
    </row>
    <row r="26" spans="11:15" x14ac:dyDescent="0.35">
      <c r="K26" s="100">
        <v>1</v>
      </c>
      <c r="L26" s="100" t="s">
        <v>474</v>
      </c>
      <c r="M26" s="100" t="str">
        <f>IF(_RGI1="not used","not used","Resistor, "&amp;_RGI1&amp;"k, 0805")</f>
        <v>Resistor, 82k, 0805</v>
      </c>
      <c r="N26" s="100"/>
      <c r="O26" s="100"/>
    </row>
    <row r="27" spans="11:15" x14ac:dyDescent="0.35">
      <c r="K27" s="100">
        <v>2</v>
      </c>
      <c r="L27" s="100" t="s">
        <v>438</v>
      </c>
      <c r="M27" s="100" t="s">
        <v>439</v>
      </c>
      <c r="N27" s="100"/>
      <c r="O27" s="100"/>
    </row>
    <row r="28" spans="11:15" ht="15.5" x14ac:dyDescent="0.35">
      <c r="K28" s="100">
        <v>1</v>
      </c>
      <c r="L28" s="100" t="s">
        <v>503</v>
      </c>
      <c r="M28" s="100" t="s">
        <v>449</v>
      </c>
      <c r="N28" s="100"/>
      <c r="O28" s="100"/>
    </row>
    <row r="29" spans="11:15" x14ac:dyDescent="0.35">
      <c r="K29" s="100">
        <v>1</v>
      </c>
      <c r="L29" s="100" t="s">
        <v>478</v>
      </c>
      <c r="M29" s="100" t="s">
        <v>479</v>
      </c>
      <c r="N29" s="100"/>
      <c r="O29" s="100"/>
    </row>
    <row r="30" spans="11:15" ht="15.5" x14ac:dyDescent="0.35">
      <c r="K30" s="100">
        <v>1</v>
      </c>
      <c r="L30" s="100" t="s">
        <v>505</v>
      </c>
      <c r="M30" s="100" t="s">
        <v>477</v>
      </c>
      <c r="N30" s="100"/>
      <c r="O30" s="100"/>
    </row>
    <row r="31" spans="11:15" ht="15.5" x14ac:dyDescent="0.35">
      <c r="K31" s="100">
        <v>1</v>
      </c>
      <c r="L31" s="100" t="s">
        <v>504</v>
      </c>
      <c r="M31" s="100" t="s">
        <v>470</v>
      </c>
      <c r="N31" s="100"/>
      <c r="O31" s="100"/>
    </row>
    <row r="33" spans="2:14" x14ac:dyDescent="0.35">
      <c r="B33" s="98" t="s">
        <v>467</v>
      </c>
    </row>
    <row r="34" spans="2:14" ht="15.5" x14ac:dyDescent="0.35">
      <c r="B34" s="110" t="s">
        <v>577</v>
      </c>
      <c r="F34" s="124" t="str">
        <f>IF(VOUTA&gt;80,"Voltage at C5, C10, C11 and C13 is "&amp;TEXT(VOUTA,"00.0")&amp;"V.  Please increase voltage rating for these capacitors","")</f>
        <v/>
      </c>
    </row>
    <row r="35" spans="2:14" x14ac:dyDescent="0.35">
      <c r="B35" s="99" t="s">
        <v>465</v>
      </c>
      <c r="F35" s="107" t="s">
        <v>429</v>
      </c>
      <c r="G35" s="108"/>
      <c r="H35" s="108"/>
      <c r="I35" s="108"/>
      <c r="K35" s="107" t="s">
        <v>430</v>
      </c>
      <c r="L35" s="108"/>
      <c r="M35" s="108"/>
      <c r="N35" s="108"/>
    </row>
    <row r="36" spans="2:14" x14ac:dyDescent="0.35">
      <c r="B36" s="99" t="s">
        <v>480</v>
      </c>
      <c r="F36" s="109" t="s">
        <v>14</v>
      </c>
      <c r="G36" s="109"/>
      <c r="H36" s="109">
        <f>VINMAX</f>
        <v>18</v>
      </c>
      <c r="I36" s="109" t="s">
        <v>0</v>
      </c>
      <c r="K36" s="111" t="s">
        <v>434</v>
      </c>
      <c r="L36" s="111"/>
      <c r="M36" s="112" t="str">
        <f>IF(SCHEM=O3,ILEDF,"")</f>
        <v/>
      </c>
      <c r="N36" s="111" t="s">
        <v>2</v>
      </c>
    </row>
    <row r="37" spans="2:14" x14ac:dyDescent="0.35">
      <c r="B37" s="99" t="s">
        <v>567</v>
      </c>
      <c r="F37" s="109" t="s">
        <v>13</v>
      </c>
      <c r="G37" s="109"/>
      <c r="H37" s="109">
        <f>VINMIN</f>
        <v>8</v>
      </c>
      <c r="I37" s="109" t="s">
        <v>0</v>
      </c>
      <c r="K37" s="111" t="s">
        <v>359</v>
      </c>
      <c r="L37" s="111"/>
      <c r="M37" s="111" t="str">
        <f>IF(SCHEM=O3,VRIPIN,"")</f>
        <v/>
      </c>
      <c r="N37" s="111" t="s">
        <v>431</v>
      </c>
    </row>
    <row r="38" spans="2:14" x14ac:dyDescent="0.35">
      <c r="F38" s="109" t="s">
        <v>20</v>
      </c>
      <c r="G38" s="109"/>
      <c r="H38" s="109">
        <f>VFLED</f>
        <v>3.5</v>
      </c>
      <c r="I38" s="109" t="s">
        <v>0</v>
      </c>
      <c r="K38" s="111" t="s">
        <v>360</v>
      </c>
      <c r="L38" s="111"/>
      <c r="M38" s="111" t="str">
        <f>IF(SCHEM=O3,VRIPOUT,"")</f>
        <v/>
      </c>
      <c r="N38" s="111" t="s">
        <v>431</v>
      </c>
    </row>
    <row r="39" spans="2:14" x14ac:dyDescent="0.35">
      <c r="F39" s="109" t="s">
        <v>433</v>
      </c>
      <c r="G39" s="109"/>
      <c r="H39" s="109">
        <f>VLEDS</f>
        <v>21</v>
      </c>
      <c r="I39" s="109" t="s">
        <v>0</v>
      </c>
      <c r="K39" s="111" t="s">
        <v>276</v>
      </c>
      <c r="L39" s="111"/>
      <c r="M39" s="113" t="str">
        <f>IF(SCHEM=O3,PIN,"")</f>
        <v/>
      </c>
      <c r="N39" s="111" t="s">
        <v>27</v>
      </c>
    </row>
    <row r="40" spans="2:14" x14ac:dyDescent="0.35">
      <c r="B40" s="98" t="s">
        <v>498</v>
      </c>
      <c r="F40" s="109" t="s">
        <v>441</v>
      </c>
      <c r="G40" s="109"/>
      <c r="H40" s="109">
        <f>N</f>
        <v>6</v>
      </c>
      <c r="I40" s="109"/>
      <c r="K40" s="111" t="s">
        <v>277</v>
      </c>
      <c r="L40" s="111"/>
      <c r="M40" s="113" t="str">
        <f>IF(SCHEM=O3,PLEDS,"")</f>
        <v/>
      </c>
      <c r="N40" s="111" t="s">
        <v>27</v>
      </c>
    </row>
    <row r="41" spans="2:14" x14ac:dyDescent="0.35">
      <c r="B41" s="99" t="s">
        <v>500</v>
      </c>
      <c r="F41" s="109" t="s">
        <v>432</v>
      </c>
      <c r="G41" s="109"/>
      <c r="H41" s="109">
        <f>TAMB</f>
        <v>50</v>
      </c>
      <c r="I41" s="109" t="s">
        <v>37</v>
      </c>
      <c r="K41" s="114" t="s">
        <v>435</v>
      </c>
      <c r="L41" s="114"/>
      <c r="M41" s="115" t="str">
        <f>IF(SCHEM=O3,EFFVINMAX,"")</f>
        <v/>
      </c>
      <c r="N41" s="114"/>
    </row>
    <row r="42" spans="2:14" x14ac:dyDescent="0.35">
      <c r="K42" s="114" t="s">
        <v>436</v>
      </c>
      <c r="L42" s="114"/>
      <c r="M42" s="115" t="str">
        <f>IF(SCHEM=O3,EFFVINMIN,"")</f>
        <v/>
      </c>
      <c r="N42" s="114"/>
    </row>
  </sheetData>
  <sheetProtection selectLockedCells="1" selectUnlockedCells="1"/>
  <phoneticPr fontId="2" type="noConversion"/>
  <conditionalFormatting sqref="C5">
    <cfRule type="expression" dxfId="1" priority="1" stopIfTrue="1">
      <formula>(SCHEM&lt;&gt;O3)</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1"/>
  </sheetPr>
  <dimension ref="B1:O43"/>
  <sheetViews>
    <sheetView showGridLines="0" showRowColHeaders="0" zoomScale="70" zoomScaleNormal="70" workbookViewId="0">
      <selection activeCell="S19" sqref="S19"/>
    </sheetView>
  </sheetViews>
  <sheetFormatPr defaultColWidth="9.1796875" defaultRowHeight="13.5" x14ac:dyDescent="0.35"/>
  <cols>
    <col min="1" max="2" width="9.1796875" style="99"/>
    <col min="3" max="3" width="14.453125" style="99" customWidth="1"/>
    <col min="4" max="4" width="15" style="99" customWidth="1"/>
    <col min="5" max="5" width="24.81640625" style="99" customWidth="1"/>
    <col min="6" max="6" width="17" style="99" customWidth="1"/>
    <col min="7" max="7" width="3.7265625" style="99" customWidth="1"/>
    <col min="8" max="8" width="6.1796875" style="99" customWidth="1"/>
    <col min="9" max="9" width="9.1796875" style="99"/>
    <col min="10" max="10" width="7.453125" style="99" customWidth="1"/>
    <col min="11" max="11" width="10.1796875" style="99" customWidth="1"/>
    <col min="12" max="12" width="11" style="99" customWidth="1"/>
    <col min="13" max="13" width="7.7265625" style="99" customWidth="1"/>
    <col min="14" max="14" width="6.26953125" style="99" customWidth="1"/>
    <col min="15" max="15" width="21.7265625" style="99" customWidth="1"/>
    <col min="16" max="16" width="15.81640625" style="99" customWidth="1"/>
    <col min="17" max="16384" width="9.1796875" style="99"/>
  </cols>
  <sheetData>
    <row r="1" spans="3:15" ht="8.25" customHeight="1" x14ac:dyDescent="0.35"/>
    <row r="2" spans="3:15" ht="7.5" customHeight="1" x14ac:dyDescent="0.35"/>
    <row r="3" spans="3:15" ht="20.5" x14ac:dyDescent="0.35">
      <c r="E3" s="31" t="str">
        <f>Calculator!$D$2</f>
        <v>AL8871Q Calculator</v>
      </c>
      <c r="G3" s="4"/>
      <c r="H3" s="4"/>
      <c r="I3" s="32" t="s">
        <v>6</v>
      </c>
      <c r="J3" s="147">
        <f>Calculator!H2</f>
        <v>1.2</v>
      </c>
      <c r="K3" s="102" t="str">
        <f>T(Calculator!G3)</f>
        <v>October 2021</v>
      </c>
      <c r="M3" s="116"/>
      <c r="N3" s="103" t="s">
        <v>443</v>
      </c>
      <c r="O3" s="104">
        <v>5</v>
      </c>
    </row>
    <row r="4" spans="3:15" ht="19.5" customHeight="1" x14ac:dyDescent="0.35"/>
    <row r="5" spans="3:15" ht="19" x14ac:dyDescent="0.45">
      <c r="C5" s="105" t="str">
        <f>IF(SCHEM=O3,"Congratulations, here is your design","Sorry, but this is the wrong schematic - please go back to the calculator tab")</f>
        <v>Congratulations, here is your design</v>
      </c>
    </row>
    <row r="6" spans="3:15" ht="11.25" customHeight="1" x14ac:dyDescent="0.45">
      <c r="K6" s="117"/>
      <c r="L6" s="118"/>
    </row>
    <row r="7" spans="3:15" s="106" customFormat="1" ht="19" x14ac:dyDescent="0.45">
      <c r="C7" s="106" t="s">
        <v>424</v>
      </c>
      <c r="D7" s="105" t="str">
        <f>IF(CONFIG="BUCK","",CONFIG&amp;" with VAUX bootstrap")</f>
        <v>BOOST with VAUX bootstrap</v>
      </c>
      <c r="K7" s="98" t="s">
        <v>412</v>
      </c>
      <c r="L7" s="99"/>
      <c r="M7" s="99"/>
      <c r="N7" s="99"/>
      <c r="O7" s="99"/>
    </row>
    <row r="8" spans="3:15" x14ac:dyDescent="0.35">
      <c r="K8" s="120" t="s">
        <v>413</v>
      </c>
      <c r="L8" s="120" t="s">
        <v>414</v>
      </c>
      <c r="M8" s="120" t="s">
        <v>415</v>
      </c>
      <c r="N8" s="120"/>
      <c r="O8" s="120"/>
    </row>
    <row r="9" spans="3:15" ht="15" customHeight="1" x14ac:dyDescent="0.35">
      <c r="K9" s="100">
        <v>1</v>
      </c>
      <c r="L9" s="100" t="s">
        <v>416</v>
      </c>
      <c r="M9" s="100" t="str">
        <f>"IC, Diodes Inc., "&amp;[0]!DRIVER</f>
        <v>IC, Diodes Inc., AL8871Q</v>
      </c>
      <c r="N9" s="100"/>
      <c r="O9" s="100"/>
    </row>
    <row r="10" spans="3:15" ht="15" customHeight="1" x14ac:dyDescent="0.35">
      <c r="K10" s="100">
        <v>1</v>
      </c>
      <c r="L10" s="100" t="s">
        <v>417</v>
      </c>
      <c r="M10" s="100" t="str">
        <f>IF(Calculator!C28="CUSTOM","MOSFET, "&amp;Calculator!F29,"MOSFET, Diodes Inc., "&amp;Calculator!C29)</f>
        <v xml:space="preserve">MOSFET, Diodes Inc., DMT3006LFDFQ	</v>
      </c>
      <c r="N10" s="100"/>
      <c r="O10" s="100"/>
    </row>
    <row r="11" spans="3:15" ht="15" customHeight="1" x14ac:dyDescent="0.35">
      <c r="K11" s="100">
        <v>2</v>
      </c>
      <c r="L11" s="100" t="s">
        <v>506</v>
      </c>
      <c r="M11" s="100" t="s">
        <v>628</v>
      </c>
      <c r="N11" s="100"/>
      <c r="O11" s="100"/>
    </row>
    <row r="12" spans="3:15" ht="15" customHeight="1" x14ac:dyDescent="0.35">
      <c r="K12" s="100">
        <v>1</v>
      </c>
      <c r="L12" s="100" t="s">
        <v>440</v>
      </c>
      <c r="M12" s="100" t="str">
        <f>IF(Calculator!C43="CUSTOM","Diode, Schottky, "&amp;Calculator!F44,"Diode, Schottky, Diodes Inc., "&amp;Calculator!C44)</f>
        <v>Diode, Schottky, Diodes Inc., B2100Q</v>
      </c>
      <c r="N12" s="100"/>
      <c r="O12" s="100"/>
    </row>
    <row r="13" spans="3:15" ht="15" customHeight="1" x14ac:dyDescent="0.35">
      <c r="K13" s="100">
        <v>1</v>
      </c>
      <c r="L13" s="100" t="s">
        <v>442</v>
      </c>
      <c r="M13" s="100" t="s">
        <v>512</v>
      </c>
      <c r="N13" s="100"/>
      <c r="O13" s="100"/>
    </row>
    <row r="14" spans="3:15" ht="15" customHeight="1" x14ac:dyDescent="0.35">
      <c r="K14" s="100">
        <v>1</v>
      </c>
      <c r="L14" s="100" t="s">
        <v>456</v>
      </c>
      <c r="M14" s="100" t="s">
        <v>603</v>
      </c>
      <c r="N14" s="100"/>
      <c r="O14" s="100"/>
    </row>
    <row r="15" spans="3:15" ht="15" customHeight="1" x14ac:dyDescent="0.35">
      <c r="K15" s="100">
        <v>1</v>
      </c>
      <c r="L15" s="100" t="s">
        <v>471</v>
      </c>
      <c r="M15" s="100" t="str">
        <f>IF(VOUTA&gt;42,"Series connected zeners total "&amp;TEXT(VOUTA*1.1,"00.0")&amp;"V min","Diode, Zener, "&amp;_VZD4&amp;"V, Diodes Inc., BZT52C"&amp;_VZD4&amp;"Q")</f>
        <v>Diode, Zener, 33V, Diodes Inc., BZT52C33Q</v>
      </c>
      <c r="N15" s="100"/>
      <c r="O15" s="100"/>
    </row>
    <row r="16" spans="3:15" ht="15" customHeight="1" x14ac:dyDescent="0.35">
      <c r="K16" s="100">
        <v>1</v>
      </c>
      <c r="L16" s="100" t="s">
        <v>418</v>
      </c>
      <c r="M16" s="100" t="str">
        <f>IF(Calculator!C53="CUSTOM","Inductor, "&amp;Calculator!F54,"Inductor, "&amp;Calculator!C54)</f>
        <v>Inductor, Coilcraft MSS1246-683ML [68µH]</v>
      </c>
      <c r="N16" s="100"/>
      <c r="O16" s="100"/>
    </row>
    <row r="17" spans="2:15" ht="15" customHeight="1" x14ac:dyDescent="0.35">
      <c r="K17" s="100">
        <v>1</v>
      </c>
      <c r="L17" s="100" t="s">
        <v>419</v>
      </c>
      <c r="M17" s="100" t="s">
        <v>568</v>
      </c>
      <c r="N17" s="100"/>
      <c r="O17" s="100"/>
    </row>
    <row r="18" spans="2:15" ht="15" customHeight="1" x14ac:dyDescent="0.35">
      <c r="K18" s="100">
        <v>3</v>
      </c>
      <c r="L18" s="100" t="s">
        <v>481</v>
      </c>
      <c r="M18" s="100" t="s">
        <v>420</v>
      </c>
      <c r="N18" s="100"/>
      <c r="O18" s="100"/>
    </row>
    <row r="19" spans="2:15" ht="15" customHeight="1" x14ac:dyDescent="0.35">
      <c r="K19" s="100">
        <v>2</v>
      </c>
      <c r="L19" s="100" t="s">
        <v>423</v>
      </c>
      <c r="M19" s="100" t="str">
        <f>"Capacitor, "&amp;VALC3&amp;"µF, X7R, 100V"</f>
        <v>Capacitor, 0.47µF, X7R, 100V</v>
      </c>
      <c r="N19" s="100"/>
      <c r="O19" s="100"/>
    </row>
    <row r="20" spans="2:15" ht="15" customHeight="1" x14ac:dyDescent="0.35">
      <c r="K20" s="100">
        <v>1</v>
      </c>
      <c r="L20" s="100" t="s">
        <v>427</v>
      </c>
      <c r="M20" s="100" t="s">
        <v>428</v>
      </c>
      <c r="N20" s="100"/>
      <c r="O20" s="100"/>
    </row>
    <row r="21" spans="2:15" ht="15" customHeight="1" x14ac:dyDescent="0.35">
      <c r="K21" s="100">
        <v>1</v>
      </c>
      <c r="L21" s="100" t="s">
        <v>485</v>
      </c>
      <c r="M21" s="100" t="str">
        <f>"Capacitor, "&amp;VALC10&amp;"µF, X7R, 100V"</f>
        <v>Capacitor, 1µF, X7R, 100V</v>
      </c>
      <c r="N21" s="100"/>
      <c r="O21" s="100"/>
    </row>
    <row r="22" spans="2:15" ht="15" customHeight="1" x14ac:dyDescent="0.35">
      <c r="K22" s="100">
        <v>1</v>
      </c>
      <c r="L22" s="100" t="s">
        <v>396</v>
      </c>
      <c r="M22" s="100" t="str">
        <f>"Resistor, "&amp;VALR1&amp;" ohm, "&amp;Calculator!F60</f>
        <v>Resistor, 0.5 ohm, 0.125W, 0805</v>
      </c>
      <c r="N22" s="100"/>
      <c r="O22" s="100"/>
    </row>
    <row r="23" spans="2:15" ht="15" customHeight="1" x14ac:dyDescent="0.35">
      <c r="K23" s="100">
        <v>1</v>
      </c>
      <c r="L23" s="100" t="s">
        <v>397</v>
      </c>
      <c r="M23" s="100" t="str">
        <f>"Resistor, "&amp;VALR2&amp;" ohm, "&amp;Calculator!F61</f>
        <v>Resistor, 0.56 ohm, 0.125W, 0805</v>
      </c>
      <c r="N23" s="100"/>
      <c r="O23" s="100"/>
    </row>
    <row r="24" spans="2:15" ht="15" customHeight="1" x14ac:dyDescent="0.35">
      <c r="K24" s="100">
        <v>1</v>
      </c>
      <c r="L24" s="100" t="s">
        <v>501</v>
      </c>
      <c r="M24" s="100" t="s">
        <v>468</v>
      </c>
      <c r="N24" s="100"/>
      <c r="O24" s="100"/>
    </row>
    <row r="25" spans="2:15" ht="15" customHeight="1" x14ac:dyDescent="0.35">
      <c r="K25" s="100">
        <v>1</v>
      </c>
      <c r="L25" s="100" t="s">
        <v>502</v>
      </c>
      <c r="M25" s="100" t="s">
        <v>469</v>
      </c>
      <c r="N25" s="100"/>
      <c r="O25" s="100"/>
    </row>
    <row r="26" spans="2:15" ht="15" customHeight="1" x14ac:dyDescent="0.35">
      <c r="K26" s="100">
        <v>1</v>
      </c>
      <c r="L26" s="100" t="s">
        <v>473</v>
      </c>
      <c r="M26" s="100" t="str">
        <f>"Resistor, "&amp;_RGI2&amp;"k, 0805"</f>
        <v>Resistor, 150k, 0805</v>
      </c>
      <c r="N26" s="100"/>
      <c r="O26" s="100"/>
    </row>
    <row r="27" spans="2:15" ht="15" customHeight="1" x14ac:dyDescent="0.35">
      <c r="K27" s="100">
        <v>1</v>
      </c>
      <c r="L27" s="100" t="s">
        <v>474</v>
      </c>
      <c r="M27" s="100" t="str">
        <f>IF(_RGI1="not used","not used","Resistor, "&amp;_RGI1&amp;"k, 0805")</f>
        <v>Resistor, 82k, 0805</v>
      </c>
      <c r="N27" s="100"/>
      <c r="O27" s="100"/>
    </row>
    <row r="28" spans="2:15" ht="15" customHeight="1" x14ac:dyDescent="0.35">
      <c r="K28" s="100">
        <v>1</v>
      </c>
      <c r="L28" s="100" t="s">
        <v>503</v>
      </c>
      <c r="M28" s="100" t="s">
        <v>449</v>
      </c>
      <c r="N28" s="100"/>
      <c r="O28" s="100"/>
    </row>
    <row r="29" spans="2:15" ht="15" customHeight="1" x14ac:dyDescent="0.35">
      <c r="K29" s="100">
        <v>1</v>
      </c>
      <c r="L29" s="100" t="s">
        <v>486</v>
      </c>
      <c r="M29" s="100" t="s">
        <v>487</v>
      </c>
      <c r="N29" s="100"/>
      <c r="O29" s="100"/>
    </row>
    <row r="30" spans="2:15" ht="15" customHeight="1" x14ac:dyDescent="0.35">
      <c r="K30" s="100">
        <v>1</v>
      </c>
      <c r="L30" s="100" t="s">
        <v>478</v>
      </c>
      <c r="M30" s="100" t="s">
        <v>479</v>
      </c>
      <c r="N30" s="100"/>
      <c r="O30" s="100"/>
    </row>
    <row r="31" spans="2:15" ht="15" customHeight="1" x14ac:dyDescent="0.35">
      <c r="B31" s="98" t="s">
        <v>467</v>
      </c>
      <c r="K31" s="100">
        <v>1</v>
      </c>
      <c r="L31" s="100" t="s">
        <v>505</v>
      </c>
      <c r="M31" s="100" t="s">
        <v>477</v>
      </c>
      <c r="N31" s="100"/>
      <c r="O31" s="100"/>
    </row>
    <row r="32" spans="2:15" ht="15" customHeight="1" x14ac:dyDescent="0.35">
      <c r="B32" s="110" t="s">
        <v>577</v>
      </c>
      <c r="K32" s="100">
        <v>1</v>
      </c>
      <c r="L32" s="100" t="s">
        <v>504</v>
      </c>
      <c r="M32" s="100" t="s">
        <v>470</v>
      </c>
      <c r="N32" s="100"/>
      <c r="O32" s="100"/>
    </row>
    <row r="33" spans="2:14" ht="15" customHeight="1" x14ac:dyDescent="0.35">
      <c r="B33" s="99" t="s">
        <v>465</v>
      </c>
    </row>
    <row r="34" spans="2:14" ht="15" customHeight="1" x14ac:dyDescent="0.35">
      <c r="B34" s="99" t="s">
        <v>480</v>
      </c>
    </row>
    <row r="35" spans="2:14" ht="15.5" x14ac:dyDescent="0.35">
      <c r="B35" s="99" t="s">
        <v>567</v>
      </c>
      <c r="F35" s="124" t="str">
        <f>IF(VOUTA&gt;80,"Voltage at C5, C10, C11 and C13 is "&amp;TEXT(VOUTA,"00.0")&amp;"V.  Please increase voltage rating for these capacitors","")</f>
        <v/>
      </c>
    </row>
    <row r="36" spans="2:14" x14ac:dyDescent="0.35">
      <c r="F36" s="107" t="s">
        <v>429</v>
      </c>
      <c r="G36" s="108"/>
      <c r="H36" s="108"/>
      <c r="I36" s="108"/>
      <c r="K36" s="107" t="s">
        <v>430</v>
      </c>
      <c r="L36" s="108"/>
      <c r="M36" s="108"/>
      <c r="N36" s="108"/>
    </row>
    <row r="37" spans="2:14" x14ac:dyDescent="0.35">
      <c r="F37" s="109" t="s">
        <v>14</v>
      </c>
      <c r="G37" s="109"/>
      <c r="H37" s="109">
        <f>VINMAX</f>
        <v>18</v>
      </c>
      <c r="I37" s="109" t="s">
        <v>0</v>
      </c>
      <c r="K37" s="111" t="s">
        <v>434</v>
      </c>
      <c r="L37" s="111"/>
      <c r="M37" s="112">
        <f>IF(SCHEM=O3,ILEDF,"")</f>
        <v>0.3010621921182266</v>
      </c>
      <c r="N37" s="111" t="s">
        <v>2</v>
      </c>
    </row>
    <row r="38" spans="2:14" x14ac:dyDescent="0.35">
      <c r="B38" s="98" t="s">
        <v>498</v>
      </c>
      <c r="F38" s="109" t="s">
        <v>13</v>
      </c>
      <c r="G38" s="109"/>
      <c r="H38" s="109">
        <f>VINMIN</f>
        <v>8</v>
      </c>
      <c r="I38" s="109" t="s">
        <v>0</v>
      </c>
      <c r="K38" s="111" t="s">
        <v>359</v>
      </c>
      <c r="L38" s="111"/>
      <c r="M38" s="111">
        <f>IF(SCHEM=O3,VRIPIN,"")</f>
        <v>0.25</v>
      </c>
      <c r="N38" s="111" t="s">
        <v>431</v>
      </c>
    </row>
    <row r="39" spans="2:14" x14ac:dyDescent="0.35">
      <c r="B39" s="99" t="s">
        <v>500</v>
      </c>
      <c r="F39" s="109" t="s">
        <v>20</v>
      </c>
      <c r="G39" s="109"/>
      <c r="H39" s="109">
        <f>VFLED</f>
        <v>3.5</v>
      </c>
      <c r="I39" s="109" t="s">
        <v>0</v>
      </c>
      <c r="K39" s="111" t="s">
        <v>360</v>
      </c>
      <c r="L39" s="111"/>
      <c r="M39" s="111">
        <f>IF(SCHEM=O3,VRIPOUT,"")</f>
        <v>0.25</v>
      </c>
      <c r="N39" s="111" t="s">
        <v>431</v>
      </c>
    </row>
    <row r="40" spans="2:14" x14ac:dyDescent="0.35">
      <c r="F40" s="109" t="s">
        <v>433</v>
      </c>
      <c r="G40" s="109"/>
      <c r="H40" s="109">
        <f>VLEDS</f>
        <v>21</v>
      </c>
      <c r="I40" s="109" t="s">
        <v>0</v>
      </c>
      <c r="K40" s="111" t="s">
        <v>276</v>
      </c>
      <c r="L40" s="111"/>
      <c r="M40" s="113">
        <f>IF(SCHEM=O3,PIN,"")</f>
        <v>7.1180607910037192</v>
      </c>
      <c r="N40" s="111" t="s">
        <v>27</v>
      </c>
    </row>
    <row r="41" spans="2:14" x14ac:dyDescent="0.35">
      <c r="F41" s="109" t="s">
        <v>441</v>
      </c>
      <c r="G41" s="109"/>
      <c r="H41" s="109">
        <f>N</f>
        <v>6</v>
      </c>
      <c r="I41" s="109"/>
      <c r="K41" s="111" t="s">
        <v>277</v>
      </c>
      <c r="L41" s="111"/>
      <c r="M41" s="113">
        <f>IF(SCHEM=O3,PLEDS,"")</f>
        <v>6.3223060344827591</v>
      </c>
      <c r="N41" s="111" t="s">
        <v>27</v>
      </c>
    </row>
    <row r="42" spans="2:14" x14ac:dyDescent="0.35">
      <c r="F42" s="109" t="s">
        <v>432</v>
      </c>
      <c r="G42" s="109"/>
      <c r="H42" s="109">
        <f>TAMB</f>
        <v>50</v>
      </c>
      <c r="I42" s="109" t="s">
        <v>37</v>
      </c>
      <c r="K42" s="114" t="s">
        <v>435</v>
      </c>
      <c r="L42" s="114"/>
      <c r="M42" s="115">
        <f>IF(SCHEM=O3,EFFVINMAX,"")</f>
        <v>0.93392401361838984</v>
      </c>
      <c r="N42" s="114"/>
    </row>
    <row r="43" spans="2:14" x14ac:dyDescent="0.35">
      <c r="K43" s="114" t="s">
        <v>436</v>
      </c>
      <c r="L43" s="114"/>
      <c r="M43" s="115">
        <f>IF(SCHEM=O3,EFFVINMIN,"")</f>
        <v>0.88820624326127018</v>
      </c>
      <c r="N43" s="114"/>
    </row>
  </sheetData>
  <sheetProtection selectLockedCells="1" selectUnlockedCells="1"/>
  <phoneticPr fontId="2" type="noConversion"/>
  <conditionalFormatting sqref="C5">
    <cfRule type="expression" dxfId="0" priority="1" stopIfTrue="1">
      <formula>(SCHEM&lt;&gt;O3)</formula>
    </cfRule>
  </conditionalFormatting>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A1:W193"/>
  <sheetViews>
    <sheetView workbookViewId="0">
      <selection activeCell="B29" sqref="B29"/>
    </sheetView>
  </sheetViews>
  <sheetFormatPr defaultColWidth="9.1796875" defaultRowHeight="14.5" x14ac:dyDescent="0.35"/>
  <cols>
    <col min="1" max="1" width="16.1796875" style="37" customWidth="1"/>
    <col min="2" max="2" width="19.7265625" style="37" customWidth="1"/>
    <col min="3" max="6" width="9.1796875" style="37"/>
    <col min="7" max="7" width="16.26953125" style="37" customWidth="1"/>
    <col min="8" max="9" width="9.1796875" style="37"/>
    <col min="10" max="10" width="7.54296875" style="37" customWidth="1"/>
    <col min="11" max="14" width="9.1796875" style="37"/>
    <col min="15" max="15" width="9" style="49" customWidth="1"/>
    <col min="16" max="19" width="9.1796875" style="37"/>
    <col min="20" max="20" width="9" style="49" customWidth="1"/>
    <col min="21" max="16384" width="9.1796875" style="37"/>
  </cols>
  <sheetData>
    <row r="1" spans="1:23" s="126" customFormat="1" ht="29" x14ac:dyDescent="0.25">
      <c r="A1" s="126" t="s">
        <v>46</v>
      </c>
      <c r="C1" s="127" t="s">
        <v>47</v>
      </c>
      <c r="E1" s="127" t="s">
        <v>24</v>
      </c>
      <c r="F1" s="127" t="s">
        <v>26</v>
      </c>
      <c r="G1" s="128" t="s">
        <v>522</v>
      </c>
      <c r="H1" s="127" t="s">
        <v>156</v>
      </c>
      <c r="J1" s="127" t="s">
        <v>369</v>
      </c>
      <c r="O1" s="129" t="s">
        <v>48</v>
      </c>
      <c r="P1" s="130" t="s">
        <v>49</v>
      </c>
      <c r="Q1" s="131" t="s">
        <v>47</v>
      </c>
      <c r="R1" s="130" t="s">
        <v>50</v>
      </c>
      <c r="S1" s="131" t="s">
        <v>51</v>
      </c>
      <c r="T1" s="130" t="s">
        <v>52</v>
      </c>
      <c r="V1" s="127" t="s">
        <v>284</v>
      </c>
      <c r="W1" s="127" t="s">
        <v>286</v>
      </c>
    </row>
    <row r="2" spans="1:23" x14ac:dyDescent="0.35">
      <c r="A2" s="50" t="s">
        <v>350</v>
      </c>
      <c r="E2" s="37">
        <v>22</v>
      </c>
      <c r="F2" s="37">
        <f t="shared" ref="F2:F17" si="0">(E2/GI_ADJ_INT)-E2</f>
        <v>40.464285714285715</v>
      </c>
      <c r="G2" s="51">
        <f t="array" ref="G2">INDEX(E24Resistors, MATCH(MIN(ABS(E24Resistors-F2)), ABS(E24Resistors-F2), 0),1)</f>
        <v>39</v>
      </c>
      <c r="H2" s="52">
        <f t="shared" ref="H2:H17" si="1">IF(CONFIG="BUCK",0,ABS((F2-G2)/F2))</f>
        <v>3.6187113857016791E-2</v>
      </c>
      <c r="J2" s="37">
        <v>0.47</v>
      </c>
      <c r="K2" s="61" t="s">
        <v>450</v>
      </c>
      <c r="O2" s="38">
        <v>100</v>
      </c>
      <c r="P2" s="39">
        <v>100</v>
      </c>
      <c r="Q2" s="40">
        <v>100</v>
      </c>
      <c r="R2" s="39">
        <v>100</v>
      </c>
      <c r="S2" s="40">
        <v>100</v>
      </c>
      <c r="T2" s="41">
        <v>100</v>
      </c>
      <c r="V2" s="61" t="s">
        <v>285</v>
      </c>
      <c r="W2" s="37">
        <f>1/V2</f>
        <v>-1</v>
      </c>
    </row>
    <row r="3" spans="1:23" x14ac:dyDescent="0.35">
      <c r="A3" s="37">
        <v>1E-3</v>
      </c>
      <c r="C3" s="37">
        <f t="shared" ref="C3:C26" si="2">Q2/10</f>
        <v>10</v>
      </c>
      <c r="E3" s="37">
        <v>24</v>
      </c>
      <c r="F3" s="37">
        <f t="shared" si="0"/>
        <v>44.142857142857153</v>
      </c>
      <c r="G3" s="51">
        <f t="array" ref="G3">INDEX(E24Resistors, MATCH(MIN(ABS(E24Resistors-F3)), ABS(E24Resistors-F3), 0),1)</f>
        <v>43</v>
      </c>
      <c r="H3" s="52">
        <f t="shared" si="1"/>
        <v>2.5889967637540676E-2</v>
      </c>
      <c r="J3" s="37">
        <v>1</v>
      </c>
      <c r="O3" s="42">
        <v>150</v>
      </c>
      <c r="P3" s="43">
        <v>120</v>
      </c>
      <c r="Q3" s="44">
        <v>110</v>
      </c>
      <c r="R3" s="43">
        <v>105</v>
      </c>
      <c r="S3" s="45">
        <v>102</v>
      </c>
      <c r="T3" s="41">
        <v>101</v>
      </c>
      <c r="V3" s="37">
        <f t="shared" ref="V3:V8" si="3">O3/O2</f>
        <v>1.5</v>
      </c>
      <c r="W3" s="37">
        <f t="shared" ref="W3:W8" si="4">1/V3</f>
        <v>0.66666666666666663</v>
      </c>
    </row>
    <row r="4" spans="1:23" x14ac:dyDescent="0.35">
      <c r="A4" s="37">
        <v>1.5E-3</v>
      </c>
      <c r="C4" s="37">
        <f t="shared" si="2"/>
        <v>11</v>
      </c>
      <c r="E4" s="37">
        <v>27</v>
      </c>
      <c r="F4" s="37">
        <f t="shared" si="0"/>
        <v>49.660714285714292</v>
      </c>
      <c r="G4" s="51">
        <f t="array" ref="G4">INDEX(E24Resistors, MATCH(MIN(ABS(E24Resistors-F4)), ABS(E24Resistors-F4), 0),1)</f>
        <v>51</v>
      </c>
      <c r="H4" s="52">
        <f t="shared" si="1"/>
        <v>2.6968716289104511E-2</v>
      </c>
      <c r="J4" s="37">
        <v>2.2000000000000002</v>
      </c>
      <c r="O4" s="42">
        <v>220</v>
      </c>
      <c r="P4" s="43">
        <v>150</v>
      </c>
      <c r="Q4" s="44">
        <v>120</v>
      </c>
      <c r="R4" s="43">
        <v>110</v>
      </c>
      <c r="S4" s="40">
        <v>105</v>
      </c>
      <c r="T4" s="41">
        <v>102</v>
      </c>
      <c r="V4" s="37">
        <f t="shared" si="3"/>
        <v>1.4666666666666666</v>
      </c>
      <c r="W4" s="37">
        <f t="shared" si="4"/>
        <v>0.68181818181818188</v>
      </c>
    </row>
    <row r="5" spans="1:23" x14ac:dyDescent="0.35">
      <c r="A5" s="37">
        <v>2E-3</v>
      </c>
      <c r="C5" s="37">
        <f t="shared" si="2"/>
        <v>12</v>
      </c>
      <c r="E5" s="37">
        <v>30</v>
      </c>
      <c r="F5" s="37">
        <f t="shared" si="0"/>
        <v>55.178571428571431</v>
      </c>
      <c r="G5" s="51">
        <f t="array" ref="G5">INDEX(E24Resistors, MATCH(MIN(ABS(E24Resistors-F5)), ABS(E24Resistors-F5), 0),1)</f>
        <v>56</v>
      </c>
      <c r="H5" s="52">
        <f t="shared" si="1"/>
        <v>1.4886731391585722E-2</v>
      </c>
      <c r="J5" s="37">
        <v>4.7</v>
      </c>
      <c r="O5" s="42">
        <v>330</v>
      </c>
      <c r="P5" s="43">
        <v>180</v>
      </c>
      <c r="Q5" s="44">
        <v>130</v>
      </c>
      <c r="R5" s="46">
        <v>115</v>
      </c>
      <c r="S5" s="45">
        <v>107</v>
      </c>
      <c r="T5" s="41">
        <v>104</v>
      </c>
      <c r="V5" s="37">
        <f t="shared" si="3"/>
        <v>1.5</v>
      </c>
      <c r="W5" s="37">
        <f t="shared" si="4"/>
        <v>0.66666666666666663</v>
      </c>
    </row>
    <row r="6" spans="1:23" x14ac:dyDescent="0.35">
      <c r="A6" s="37">
        <v>2.5000000000000001E-3</v>
      </c>
      <c r="C6" s="37">
        <f t="shared" si="2"/>
        <v>13</v>
      </c>
      <c r="E6" s="37">
        <v>36</v>
      </c>
      <c r="F6" s="37">
        <f t="shared" si="0"/>
        <v>66.214285714285722</v>
      </c>
      <c r="G6" s="51">
        <f t="array" ref="G6">INDEX(E24Resistors, MATCH(MIN(ABS(E24Resistors-F6)), ABS(E24Resistors-F6), 0),1)</f>
        <v>68</v>
      </c>
      <c r="H6" s="52">
        <f t="shared" si="1"/>
        <v>2.6968716289104511E-2</v>
      </c>
      <c r="J6" s="37">
        <v>10</v>
      </c>
      <c r="O6" s="42">
        <v>470</v>
      </c>
      <c r="P6" s="43">
        <v>220</v>
      </c>
      <c r="Q6" s="44">
        <v>150</v>
      </c>
      <c r="R6" s="39">
        <v>121</v>
      </c>
      <c r="S6" s="40">
        <v>110</v>
      </c>
      <c r="T6" s="41">
        <v>105</v>
      </c>
      <c r="V6" s="37">
        <f t="shared" si="3"/>
        <v>1.4242424242424243</v>
      </c>
      <c r="W6" s="37">
        <f t="shared" si="4"/>
        <v>0.7021276595744681</v>
      </c>
    </row>
    <row r="7" spans="1:23" x14ac:dyDescent="0.35">
      <c r="A7" s="37">
        <v>3.0000000000000001E-3</v>
      </c>
      <c r="C7" s="37">
        <f t="shared" si="2"/>
        <v>15</v>
      </c>
      <c r="E7" s="37">
        <v>39</v>
      </c>
      <c r="F7" s="37">
        <f t="shared" si="0"/>
        <v>71.732142857142861</v>
      </c>
      <c r="G7" s="51">
        <f t="array" ref="G7">INDEX(E24Resistors, MATCH(MIN(ABS(E24Resistors-F7)), ABS(E24Resistors-F7), 0),1)</f>
        <v>75</v>
      </c>
      <c r="H7" s="52">
        <f t="shared" si="1"/>
        <v>4.5556385362210544E-2</v>
      </c>
      <c r="J7" s="37">
        <v>22</v>
      </c>
      <c r="O7" s="42">
        <v>680</v>
      </c>
      <c r="P7" s="43">
        <v>270</v>
      </c>
      <c r="Q7" s="44">
        <v>160</v>
      </c>
      <c r="R7" s="43">
        <v>127</v>
      </c>
      <c r="S7" s="45">
        <v>113</v>
      </c>
      <c r="T7" s="41">
        <v>106</v>
      </c>
      <c r="V7" s="37">
        <f t="shared" si="3"/>
        <v>1.446808510638298</v>
      </c>
      <c r="W7" s="37">
        <f t="shared" si="4"/>
        <v>0.69117647058823528</v>
      </c>
    </row>
    <row r="8" spans="1:23" x14ac:dyDescent="0.35">
      <c r="A8" s="37">
        <v>3.5000000000000001E-3</v>
      </c>
      <c r="C8" s="37">
        <f t="shared" si="2"/>
        <v>16</v>
      </c>
      <c r="E8" s="37">
        <v>43</v>
      </c>
      <c r="F8" s="37">
        <f t="shared" si="0"/>
        <v>79.089285714285722</v>
      </c>
      <c r="G8" s="51">
        <f t="array" ref="G8">INDEX(E24Resistors, MATCH(MIN(ABS(E24Resistors-F8)), ABS(E24Resistors-F8), 0),1)</f>
        <v>82</v>
      </c>
      <c r="H8" s="52">
        <f t="shared" si="1"/>
        <v>3.6802890042898967E-2</v>
      </c>
      <c r="O8" s="37">
        <v>1000</v>
      </c>
      <c r="P8" s="43">
        <v>330</v>
      </c>
      <c r="Q8" s="44">
        <v>180</v>
      </c>
      <c r="R8" s="43">
        <v>133</v>
      </c>
      <c r="S8" s="40">
        <v>115</v>
      </c>
      <c r="T8" s="41">
        <v>107</v>
      </c>
      <c r="V8" s="37">
        <f t="shared" si="3"/>
        <v>1.4705882352941178</v>
      </c>
      <c r="W8" s="37">
        <f t="shared" si="4"/>
        <v>0.67999999999999994</v>
      </c>
    </row>
    <row r="9" spans="1:23" x14ac:dyDescent="0.35">
      <c r="A9" s="37">
        <v>4.0000000000000001E-3</v>
      </c>
      <c r="C9" s="37">
        <f t="shared" si="2"/>
        <v>18</v>
      </c>
      <c r="E9" s="37">
        <v>47</v>
      </c>
      <c r="F9" s="37">
        <f t="shared" si="0"/>
        <v>86.446428571428584</v>
      </c>
      <c r="G9" s="51">
        <f t="array" ref="G9">INDEX(E24Resistors, MATCH(MIN(ABS(E24Resistors-F9)), ABS(E24Resistors-F9), 0),1)</f>
        <v>82</v>
      </c>
      <c r="H9" s="52">
        <f t="shared" si="1"/>
        <v>5.1435653790539278E-2</v>
      </c>
      <c r="O9" s="37"/>
      <c r="P9" s="43">
        <v>390</v>
      </c>
      <c r="Q9" s="45">
        <v>200</v>
      </c>
      <c r="R9" s="46">
        <v>140</v>
      </c>
      <c r="S9" s="45">
        <v>118</v>
      </c>
      <c r="T9" s="41">
        <v>109</v>
      </c>
    </row>
    <row r="10" spans="1:23" x14ac:dyDescent="0.35">
      <c r="A10" s="37">
        <v>4.4999999999999997E-3</v>
      </c>
      <c r="C10" s="37">
        <f t="shared" si="2"/>
        <v>20</v>
      </c>
      <c r="E10" s="37">
        <v>51</v>
      </c>
      <c r="F10" s="37">
        <f t="shared" si="0"/>
        <v>93.803571428571445</v>
      </c>
      <c r="G10" s="51">
        <f t="array" ref="G10">INDEX(E24Resistors, MATCH(MIN(ABS(E24Resistors-F10)), ABS(E24Resistors-F10), 0),1)</f>
        <v>91</v>
      </c>
      <c r="H10" s="52">
        <f t="shared" si="1"/>
        <v>2.9887683228631428E-2</v>
      </c>
      <c r="O10" s="37"/>
      <c r="P10" s="43">
        <v>470</v>
      </c>
      <c r="Q10" s="40">
        <v>220</v>
      </c>
      <c r="R10" s="39">
        <v>147</v>
      </c>
      <c r="S10" s="40">
        <v>121</v>
      </c>
      <c r="T10" s="41">
        <v>110</v>
      </c>
    </row>
    <row r="11" spans="1:23" x14ac:dyDescent="0.35">
      <c r="A11" s="37">
        <v>5.0000000000000001E-3</v>
      </c>
      <c r="C11" s="37">
        <f t="shared" si="2"/>
        <v>22</v>
      </c>
      <c r="E11" s="37">
        <v>56</v>
      </c>
      <c r="F11" s="37">
        <f t="shared" si="0"/>
        <v>103</v>
      </c>
      <c r="G11" s="51">
        <f t="array" ref="G11">INDEX(E24Resistors, MATCH(MIN(ABS(E24Resistors-F11)), ABS(E24Resistors-F11), 0),1)</f>
        <v>100</v>
      </c>
      <c r="H11" s="52">
        <f t="shared" si="1"/>
        <v>2.9126213592233011E-2</v>
      </c>
      <c r="O11" s="37"/>
      <c r="P11" s="43">
        <v>560</v>
      </c>
      <c r="Q11" s="44">
        <v>240</v>
      </c>
      <c r="R11" s="43">
        <v>154</v>
      </c>
      <c r="S11" s="45">
        <v>124</v>
      </c>
      <c r="T11" s="41">
        <v>111</v>
      </c>
    </row>
    <row r="12" spans="1:23" x14ac:dyDescent="0.35">
      <c r="A12" s="37">
        <v>5.4999999999999997E-3</v>
      </c>
      <c r="C12" s="37">
        <f t="shared" si="2"/>
        <v>24</v>
      </c>
      <c r="E12" s="37">
        <v>62</v>
      </c>
      <c r="F12" s="37">
        <f t="shared" si="0"/>
        <v>114.03571428571431</v>
      </c>
      <c r="G12" s="51">
        <f t="array" ref="G12">INDEX(E24Resistors, MATCH(MIN(ABS(E24Resistors-F12)), ABS(E24Resistors-F12), 0),1)</f>
        <v>110</v>
      </c>
      <c r="H12" s="52">
        <f t="shared" si="1"/>
        <v>3.5389915440025226E-2</v>
      </c>
      <c r="O12" s="37"/>
      <c r="P12" s="43">
        <v>680</v>
      </c>
      <c r="Q12" s="44">
        <v>270</v>
      </c>
      <c r="R12" s="43">
        <v>162</v>
      </c>
      <c r="S12" s="40">
        <v>127</v>
      </c>
      <c r="T12" s="41">
        <v>113</v>
      </c>
    </row>
    <row r="13" spans="1:23" x14ac:dyDescent="0.35">
      <c r="A13" s="37">
        <v>6.0000000000000001E-3</v>
      </c>
      <c r="C13" s="37">
        <f t="shared" si="2"/>
        <v>27</v>
      </c>
      <c r="E13" s="37">
        <v>68</v>
      </c>
      <c r="F13" s="37">
        <f t="shared" si="0"/>
        <v>125.07142857142858</v>
      </c>
      <c r="G13" s="51">
        <f t="array" ref="G13">INDEX(E24Resistors, MATCH(MIN(ABS(E24Resistors-F13)), ABS(E24Resistors-F13), 0),1)</f>
        <v>130</v>
      </c>
      <c r="H13" s="52">
        <f t="shared" si="1"/>
        <v>3.9406053683609263E-2</v>
      </c>
      <c r="O13" s="37"/>
      <c r="P13" s="43">
        <v>820</v>
      </c>
      <c r="Q13" s="44">
        <v>300</v>
      </c>
      <c r="R13" s="46">
        <v>169</v>
      </c>
      <c r="S13" s="45">
        <v>130</v>
      </c>
      <c r="T13" s="41">
        <v>114</v>
      </c>
    </row>
    <row r="14" spans="1:23" x14ac:dyDescent="0.35">
      <c r="A14" s="37">
        <v>7.0000000000000001E-3</v>
      </c>
      <c r="C14" s="37">
        <f t="shared" si="2"/>
        <v>30</v>
      </c>
      <c r="E14" s="37">
        <v>75</v>
      </c>
      <c r="F14" s="37">
        <f t="shared" si="0"/>
        <v>137.94642857142858</v>
      </c>
      <c r="G14" s="51">
        <f t="array" ref="G14">INDEX(E24Resistors, MATCH(MIN(ABS(E24Resistors-F14)), ABS(E24Resistors-F14), 0),1)</f>
        <v>130</v>
      </c>
      <c r="H14" s="52">
        <f t="shared" si="1"/>
        <v>5.7605177993527594E-2</v>
      </c>
      <c r="O14" s="37"/>
      <c r="Q14" s="44">
        <v>330</v>
      </c>
      <c r="R14" s="39">
        <v>178</v>
      </c>
      <c r="S14" s="40">
        <v>133</v>
      </c>
      <c r="T14" s="41">
        <v>115</v>
      </c>
    </row>
    <row r="15" spans="1:23" x14ac:dyDescent="0.35">
      <c r="A15" s="37">
        <v>7.4999999999999997E-3</v>
      </c>
      <c r="C15" s="37">
        <f t="shared" si="2"/>
        <v>33</v>
      </c>
      <c r="E15" s="37">
        <v>82</v>
      </c>
      <c r="F15" s="37">
        <f t="shared" si="0"/>
        <v>150.82142857142858</v>
      </c>
      <c r="G15" s="51">
        <f t="array" ref="G15">INDEX(E24Resistors, MATCH(MIN(ABS(E24Resistors-F15)), ABS(E24Resistors-F15), 0),1)</f>
        <v>150</v>
      </c>
      <c r="H15" s="52">
        <f t="shared" si="1"/>
        <v>5.4463651432631634E-3</v>
      </c>
      <c r="O15" s="37"/>
      <c r="Q15" s="44">
        <v>360</v>
      </c>
      <c r="R15" s="43">
        <v>187</v>
      </c>
      <c r="S15" s="45">
        <v>137</v>
      </c>
      <c r="T15" s="41">
        <v>117</v>
      </c>
    </row>
    <row r="16" spans="1:23" x14ac:dyDescent="0.35">
      <c r="A16" s="37">
        <v>8.0000000000000002E-3</v>
      </c>
      <c r="C16" s="37">
        <f t="shared" si="2"/>
        <v>36</v>
      </c>
      <c r="E16" s="37">
        <v>91</v>
      </c>
      <c r="F16" s="37">
        <f t="shared" si="0"/>
        <v>167.375</v>
      </c>
      <c r="G16" s="51">
        <f t="array" ref="G16">INDEX(E24Resistors, MATCH(MIN(ABS(E24Resistors-F16)), ABS(E24Resistors-F16), 0),1)</f>
        <v>160</v>
      </c>
      <c r="H16" s="52">
        <f t="shared" si="1"/>
        <v>4.4062733383121735E-2</v>
      </c>
      <c r="O16" s="37"/>
      <c r="Q16" s="44">
        <v>390</v>
      </c>
      <c r="R16" s="43">
        <v>196</v>
      </c>
      <c r="S16" s="40">
        <v>140</v>
      </c>
      <c r="T16" s="41">
        <v>118</v>
      </c>
    </row>
    <row r="17" spans="1:20" x14ac:dyDescent="0.35">
      <c r="A17" s="37">
        <v>8.9999999999999993E-3</v>
      </c>
      <c r="C17" s="37">
        <f t="shared" si="2"/>
        <v>39</v>
      </c>
      <c r="E17" s="37">
        <v>100</v>
      </c>
      <c r="F17" s="37">
        <f t="shared" si="0"/>
        <v>183.92857142857144</v>
      </c>
      <c r="G17" s="51">
        <f t="array" ref="G17">INDEX(E24Resistors, MATCH(MIN(ABS(E24Resistors-F17)), ABS(E24Resistors-F17), 0),1)</f>
        <v>180</v>
      </c>
      <c r="H17" s="52">
        <f t="shared" si="1"/>
        <v>2.135922330097096E-2</v>
      </c>
      <c r="O17" s="37"/>
      <c r="Q17" s="45">
        <v>430</v>
      </c>
      <c r="R17" s="46">
        <v>205</v>
      </c>
      <c r="S17" s="45">
        <v>143</v>
      </c>
      <c r="T17" s="41">
        <v>120</v>
      </c>
    </row>
    <row r="18" spans="1:20" x14ac:dyDescent="0.35">
      <c r="A18" s="37">
        <v>0.01</v>
      </c>
      <c r="C18" s="37">
        <f t="shared" si="2"/>
        <v>43</v>
      </c>
      <c r="G18" s="51"/>
      <c r="H18" s="52"/>
      <c r="O18" s="37"/>
      <c r="Q18" s="40">
        <v>470</v>
      </c>
      <c r="R18" s="39">
        <v>215</v>
      </c>
      <c r="S18" s="40">
        <v>147</v>
      </c>
      <c r="T18" s="41">
        <v>121</v>
      </c>
    </row>
    <row r="19" spans="1:20" x14ac:dyDescent="0.35">
      <c r="A19" s="37">
        <v>1.2E-2</v>
      </c>
      <c r="C19" s="37">
        <f t="shared" si="2"/>
        <v>47</v>
      </c>
      <c r="G19" s="51"/>
      <c r="H19" s="52"/>
      <c r="O19" s="37"/>
      <c r="Q19" s="44">
        <v>510</v>
      </c>
      <c r="R19" s="43">
        <v>226</v>
      </c>
      <c r="S19" s="45">
        <v>150</v>
      </c>
      <c r="T19" s="41">
        <v>123</v>
      </c>
    </row>
    <row r="20" spans="1:20" x14ac:dyDescent="0.35">
      <c r="A20" s="37">
        <v>1.4999999999999999E-2</v>
      </c>
      <c r="C20" s="37">
        <f t="shared" si="2"/>
        <v>51</v>
      </c>
      <c r="G20" s="51"/>
      <c r="H20" s="52"/>
      <c r="O20" s="37"/>
      <c r="Q20" s="44">
        <v>560</v>
      </c>
      <c r="R20" s="43">
        <v>237</v>
      </c>
      <c r="S20" s="40">
        <v>154</v>
      </c>
      <c r="T20" s="41">
        <v>124</v>
      </c>
    </row>
    <row r="21" spans="1:20" x14ac:dyDescent="0.35">
      <c r="A21" s="37">
        <v>1.7999999999999999E-2</v>
      </c>
      <c r="C21" s="37">
        <f t="shared" si="2"/>
        <v>56</v>
      </c>
      <c r="O21" s="37"/>
      <c r="Q21" s="44">
        <v>620</v>
      </c>
      <c r="R21" s="46">
        <v>249</v>
      </c>
      <c r="S21" s="45">
        <v>158</v>
      </c>
      <c r="T21" s="41">
        <v>126</v>
      </c>
    </row>
    <row r="22" spans="1:20" x14ac:dyDescent="0.35">
      <c r="A22" s="37">
        <v>0.02</v>
      </c>
      <c r="C22" s="37">
        <f t="shared" si="2"/>
        <v>62</v>
      </c>
      <c r="O22" s="37"/>
      <c r="Q22" s="44">
        <v>680</v>
      </c>
      <c r="R22" s="39">
        <v>261</v>
      </c>
      <c r="S22" s="40">
        <v>162</v>
      </c>
      <c r="T22" s="41">
        <v>127</v>
      </c>
    </row>
    <row r="23" spans="1:20" x14ac:dyDescent="0.35">
      <c r="A23" s="37">
        <v>2.1999999999999999E-2</v>
      </c>
      <c r="C23" s="37">
        <f t="shared" si="2"/>
        <v>68</v>
      </c>
      <c r="O23" s="37"/>
      <c r="Q23" s="44">
        <v>750</v>
      </c>
      <c r="R23" s="43">
        <v>274</v>
      </c>
      <c r="S23" s="45">
        <v>165</v>
      </c>
      <c r="T23" s="41">
        <v>129</v>
      </c>
    </row>
    <row r="24" spans="1:20" x14ac:dyDescent="0.35">
      <c r="A24" s="37">
        <v>2.7E-2</v>
      </c>
      <c r="C24" s="37">
        <f t="shared" si="2"/>
        <v>75</v>
      </c>
      <c r="O24" s="37"/>
      <c r="Q24" s="44">
        <v>820</v>
      </c>
      <c r="R24" s="43">
        <v>287</v>
      </c>
      <c r="S24" s="40">
        <v>169</v>
      </c>
      <c r="T24" s="41">
        <v>130</v>
      </c>
    </row>
    <row r="25" spans="1:20" x14ac:dyDescent="0.35">
      <c r="A25" s="37">
        <v>0.03</v>
      </c>
      <c r="C25" s="37">
        <f t="shared" si="2"/>
        <v>82</v>
      </c>
      <c r="O25" s="37"/>
      <c r="Q25" s="45">
        <v>910</v>
      </c>
      <c r="R25" s="46">
        <v>301</v>
      </c>
      <c r="S25" s="45">
        <v>174</v>
      </c>
      <c r="T25" s="41">
        <v>132</v>
      </c>
    </row>
    <row r="26" spans="1:20" x14ac:dyDescent="0.35">
      <c r="A26" s="37">
        <v>3.3000000000000002E-2</v>
      </c>
      <c r="C26" s="37">
        <f t="shared" si="2"/>
        <v>91</v>
      </c>
      <c r="O26" s="37"/>
      <c r="R26" s="39">
        <v>316</v>
      </c>
      <c r="S26" s="40">
        <v>178</v>
      </c>
      <c r="T26" s="41">
        <v>133</v>
      </c>
    </row>
    <row r="27" spans="1:20" x14ac:dyDescent="0.35">
      <c r="A27" s="37">
        <v>3.9E-2</v>
      </c>
      <c r="C27" s="37">
        <f t="shared" ref="C27:C50" si="5">Q2</f>
        <v>100</v>
      </c>
      <c r="O27" s="37"/>
      <c r="R27" s="43">
        <v>332</v>
      </c>
      <c r="S27" s="45">
        <v>182</v>
      </c>
      <c r="T27" s="41">
        <v>135</v>
      </c>
    </row>
    <row r="28" spans="1:20" x14ac:dyDescent="0.35">
      <c r="A28" s="37">
        <v>0.04</v>
      </c>
      <c r="C28" s="37">
        <f t="shared" si="5"/>
        <v>110</v>
      </c>
      <c r="O28" s="37"/>
      <c r="R28" s="43">
        <v>348</v>
      </c>
      <c r="S28" s="40">
        <v>187</v>
      </c>
      <c r="T28" s="41">
        <v>137</v>
      </c>
    </row>
    <row r="29" spans="1:20" x14ac:dyDescent="0.35">
      <c r="A29" s="37">
        <v>4.7E-2</v>
      </c>
      <c r="C29" s="37">
        <f t="shared" si="5"/>
        <v>120</v>
      </c>
      <c r="O29" s="37"/>
      <c r="R29" s="46">
        <v>365</v>
      </c>
      <c r="S29" s="45">
        <v>191</v>
      </c>
      <c r="T29" s="41">
        <v>138</v>
      </c>
    </row>
    <row r="30" spans="1:20" x14ac:dyDescent="0.35">
      <c r="A30" s="37">
        <v>0.05</v>
      </c>
      <c r="C30" s="37">
        <f t="shared" si="5"/>
        <v>130</v>
      </c>
      <c r="O30" s="37"/>
      <c r="R30" s="39">
        <v>383</v>
      </c>
      <c r="S30" s="40">
        <v>196</v>
      </c>
      <c r="T30" s="41">
        <v>140</v>
      </c>
    </row>
    <row r="31" spans="1:20" x14ac:dyDescent="0.35">
      <c r="A31" s="37">
        <v>5.6000000000000001E-2</v>
      </c>
      <c r="C31" s="37">
        <f t="shared" si="5"/>
        <v>150</v>
      </c>
      <c r="O31" s="37"/>
      <c r="R31" s="43">
        <v>402</v>
      </c>
      <c r="S31" s="45">
        <v>200</v>
      </c>
      <c r="T31" s="41">
        <v>142</v>
      </c>
    </row>
    <row r="32" spans="1:20" x14ac:dyDescent="0.35">
      <c r="A32" s="37">
        <v>0.06</v>
      </c>
      <c r="C32" s="37">
        <f t="shared" si="5"/>
        <v>160</v>
      </c>
      <c r="O32" s="37"/>
      <c r="R32" s="43">
        <v>422</v>
      </c>
      <c r="S32" s="40">
        <v>205</v>
      </c>
      <c r="T32" s="41">
        <v>143</v>
      </c>
    </row>
    <row r="33" spans="1:20" x14ac:dyDescent="0.35">
      <c r="A33" s="37">
        <v>6.8000000000000005E-2</v>
      </c>
      <c r="C33" s="37">
        <f t="shared" si="5"/>
        <v>180</v>
      </c>
      <c r="O33" s="37"/>
      <c r="R33" s="46">
        <v>442</v>
      </c>
      <c r="S33" s="45">
        <v>210</v>
      </c>
      <c r="T33" s="41">
        <v>145</v>
      </c>
    </row>
    <row r="34" spans="1:20" x14ac:dyDescent="0.35">
      <c r="A34" s="37">
        <v>7.0000000000000007E-2</v>
      </c>
      <c r="C34" s="37">
        <f t="shared" si="5"/>
        <v>200</v>
      </c>
      <c r="O34" s="37"/>
      <c r="R34" s="39">
        <v>464</v>
      </c>
      <c r="S34" s="40">
        <v>215</v>
      </c>
      <c r="T34" s="41">
        <v>147</v>
      </c>
    </row>
    <row r="35" spans="1:20" x14ac:dyDescent="0.35">
      <c r="A35" s="37">
        <v>0.08</v>
      </c>
      <c r="C35" s="37">
        <f t="shared" si="5"/>
        <v>220</v>
      </c>
      <c r="O35" s="37"/>
      <c r="R35" s="43">
        <v>487</v>
      </c>
      <c r="S35" s="45">
        <v>221</v>
      </c>
      <c r="T35" s="41">
        <v>149</v>
      </c>
    </row>
    <row r="36" spans="1:20" x14ac:dyDescent="0.35">
      <c r="A36" s="37">
        <v>8.2000000000000003E-2</v>
      </c>
      <c r="C36" s="37">
        <f t="shared" si="5"/>
        <v>240</v>
      </c>
      <c r="O36" s="37"/>
      <c r="R36" s="43">
        <v>511</v>
      </c>
      <c r="S36" s="40">
        <v>226</v>
      </c>
      <c r="T36" s="41">
        <v>150</v>
      </c>
    </row>
    <row r="37" spans="1:20" x14ac:dyDescent="0.35">
      <c r="A37" s="37">
        <v>0.09</v>
      </c>
      <c r="C37" s="37">
        <f t="shared" si="5"/>
        <v>270</v>
      </c>
      <c r="O37" s="37"/>
      <c r="R37" s="46">
        <v>536</v>
      </c>
      <c r="S37" s="45">
        <v>232</v>
      </c>
      <c r="T37" s="41">
        <v>152</v>
      </c>
    </row>
    <row r="38" spans="1:20" x14ac:dyDescent="0.35">
      <c r="A38" s="37">
        <v>0.1</v>
      </c>
      <c r="C38" s="37">
        <f t="shared" si="5"/>
        <v>300</v>
      </c>
      <c r="O38" s="37"/>
      <c r="R38" s="39">
        <v>562</v>
      </c>
      <c r="S38" s="40">
        <v>237</v>
      </c>
      <c r="T38" s="41">
        <v>154</v>
      </c>
    </row>
    <row r="39" spans="1:20" x14ac:dyDescent="0.35">
      <c r="A39" s="37">
        <v>0.12</v>
      </c>
      <c r="C39" s="37">
        <f t="shared" si="5"/>
        <v>330</v>
      </c>
      <c r="O39" s="37"/>
      <c r="R39" s="43">
        <v>590</v>
      </c>
      <c r="S39" s="45">
        <v>243</v>
      </c>
      <c r="T39" s="41">
        <v>156</v>
      </c>
    </row>
    <row r="40" spans="1:20" x14ac:dyDescent="0.35">
      <c r="A40" s="37">
        <v>0.15</v>
      </c>
      <c r="C40" s="37">
        <f t="shared" si="5"/>
        <v>360</v>
      </c>
      <c r="O40" s="37"/>
      <c r="R40" s="43">
        <v>619</v>
      </c>
      <c r="S40" s="40">
        <v>249</v>
      </c>
      <c r="T40" s="41">
        <v>158</v>
      </c>
    </row>
    <row r="41" spans="1:20" x14ac:dyDescent="0.35">
      <c r="A41" s="37">
        <v>0.18</v>
      </c>
      <c r="C41" s="37">
        <f t="shared" si="5"/>
        <v>390</v>
      </c>
      <c r="O41" s="37"/>
      <c r="R41" s="46">
        <v>649</v>
      </c>
      <c r="S41" s="45">
        <v>255</v>
      </c>
      <c r="T41" s="41">
        <v>160</v>
      </c>
    </row>
    <row r="42" spans="1:20" x14ac:dyDescent="0.35">
      <c r="A42" s="37">
        <v>0.2</v>
      </c>
      <c r="C42" s="37">
        <f t="shared" si="5"/>
        <v>430</v>
      </c>
      <c r="O42" s="37"/>
      <c r="R42" s="39">
        <v>681</v>
      </c>
      <c r="S42" s="40">
        <v>261</v>
      </c>
      <c r="T42" s="41">
        <v>162</v>
      </c>
    </row>
    <row r="43" spans="1:20" x14ac:dyDescent="0.35">
      <c r="A43" s="37">
        <v>0.22</v>
      </c>
      <c r="C43" s="37">
        <f t="shared" si="5"/>
        <v>470</v>
      </c>
      <c r="O43" s="37"/>
      <c r="R43" s="43">
        <v>715</v>
      </c>
      <c r="S43" s="45">
        <v>267</v>
      </c>
      <c r="T43" s="41">
        <v>164</v>
      </c>
    </row>
    <row r="44" spans="1:20" x14ac:dyDescent="0.35">
      <c r="A44" s="37">
        <v>0.27</v>
      </c>
      <c r="C44" s="37">
        <f t="shared" si="5"/>
        <v>510</v>
      </c>
      <c r="O44" s="37"/>
      <c r="R44" s="43">
        <v>750</v>
      </c>
      <c r="S44" s="40">
        <v>274</v>
      </c>
      <c r="T44" s="41">
        <v>165</v>
      </c>
    </row>
    <row r="45" spans="1:20" x14ac:dyDescent="0.35">
      <c r="A45" s="37">
        <v>0.3</v>
      </c>
      <c r="C45" s="37">
        <f t="shared" si="5"/>
        <v>560</v>
      </c>
      <c r="O45" s="37"/>
      <c r="R45" s="46">
        <v>787</v>
      </c>
      <c r="S45" s="45">
        <v>280</v>
      </c>
      <c r="T45" s="41">
        <v>167</v>
      </c>
    </row>
    <row r="46" spans="1:20" x14ac:dyDescent="0.35">
      <c r="A46" s="37">
        <v>0.33</v>
      </c>
      <c r="C46" s="37">
        <f t="shared" si="5"/>
        <v>620</v>
      </c>
      <c r="O46" s="37"/>
      <c r="R46" s="39">
        <v>825</v>
      </c>
      <c r="S46" s="40">
        <v>287</v>
      </c>
      <c r="T46" s="41">
        <v>169</v>
      </c>
    </row>
    <row r="47" spans="1:20" x14ac:dyDescent="0.35">
      <c r="A47" s="37">
        <v>0.39</v>
      </c>
      <c r="C47" s="37">
        <f t="shared" si="5"/>
        <v>680</v>
      </c>
      <c r="O47" s="37"/>
      <c r="R47" s="43">
        <v>866</v>
      </c>
      <c r="S47" s="45">
        <v>294</v>
      </c>
      <c r="T47" s="41">
        <v>172</v>
      </c>
    </row>
    <row r="48" spans="1:20" x14ac:dyDescent="0.35">
      <c r="A48" s="37">
        <v>0.47</v>
      </c>
      <c r="C48" s="37">
        <f t="shared" si="5"/>
        <v>750</v>
      </c>
      <c r="O48" s="37"/>
      <c r="R48" s="43">
        <v>909</v>
      </c>
      <c r="S48" s="40">
        <v>301</v>
      </c>
      <c r="T48" s="41">
        <v>174</v>
      </c>
    </row>
    <row r="49" spans="1:20" x14ac:dyDescent="0.35">
      <c r="A49" s="37">
        <v>0.5</v>
      </c>
      <c r="C49" s="37">
        <f t="shared" si="5"/>
        <v>820</v>
      </c>
      <c r="O49" s="37"/>
      <c r="R49" s="46">
        <v>953</v>
      </c>
      <c r="S49" s="45">
        <v>309</v>
      </c>
      <c r="T49" s="41">
        <v>176</v>
      </c>
    </row>
    <row r="50" spans="1:20" x14ac:dyDescent="0.35">
      <c r="A50" s="37">
        <v>0.56000000000000005</v>
      </c>
      <c r="C50" s="37">
        <f t="shared" si="5"/>
        <v>910</v>
      </c>
      <c r="O50" s="37"/>
      <c r="S50" s="40">
        <v>316</v>
      </c>
      <c r="T50" s="41">
        <v>178</v>
      </c>
    </row>
    <row r="51" spans="1:20" x14ac:dyDescent="0.35">
      <c r="A51" s="37">
        <v>0.68</v>
      </c>
      <c r="O51" s="37"/>
      <c r="S51" s="45">
        <v>324</v>
      </c>
      <c r="T51" s="41">
        <v>180</v>
      </c>
    </row>
    <row r="52" spans="1:20" x14ac:dyDescent="0.35">
      <c r="A52" s="37">
        <v>0.75</v>
      </c>
      <c r="O52" s="37"/>
      <c r="S52" s="40">
        <v>332</v>
      </c>
      <c r="T52" s="41">
        <v>182</v>
      </c>
    </row>
    <row r="53" spans="1:20" x14ac:dyDescent="0.35">
      <c r="A53" s="37">
        <v>0.82</v>
      </c>
      <c r="O53" s="37"/>
      <c r="S53" s="45">
        <v>340</v>
      </c>
      <c r="T53" s="41">
        <v>184</v>
      </c>
    </row>
    <row r="54" spans="1:20" x14ac:dyDescent="0.35">
      <c r="A54" s="37">
        <v>1</v>
      </c>
      <c r="O54" s="37"/>
      <c r="S54" s="40">
        <v>348</v>
      </c>
      <c r="T54" s="41">
        <v>187</v>
      </c>
    </row>
    <row r="55" spans="1:20" x14ac:dyDescent="0.35">
      <c r="A55" s="37">
        <v>1.2</v>
      </c>
      <c r="O55" s="37"/>
      <c r="S55" s="45">
        <v>357</v>
      </c>
      <c r="T55" s="41">
        <v>189</v>
      </c>
    </row>
    <row r="56" spans="1:20" x14ac:dyDescent="0.35">
      <c r="A56" s="37">
        <v>1.5</v>
      </c>
      <c r="O56" s="37"/>
      <c r="S56" s="40">
        <v>365</v>
      </c>
      <c r="T56" s="41">
        <v>191</v>
      </c>
    </row>
    <row r="57" spans="1:20" x14ac:dyDescent="0.35">
      <c r="A57" s="37">
        <v>1.8</v>
      </c>
      <c r="O57" s="37"/>
      <c r="S57" s="45">
        <v>374</v>
      </c>
      <c r="T57" s="41">
        <v>193</v>
      </c>
    </row>
    <row r="58" spans="1:20" x14ac:dyDescent="0.35">
      <c r="A58" s="37">
        <v>2</v>
      </c>
      <c r="O58" s="37"/>
      <c r="S58" s="40">
        <v>383</v>
      </c>
      <c r="T58" s="41">
        <v>196</v>
      </c>
    </row>
    <row r="59" spans="1:20" x14ac:dyDescent="0.35">
      <c r="A59" s="37">
        <v>2.2000000000000002</v>
      </c>
      <c r="O59" s="37"/>
      <c r="S59" s="45">
        <v>392</v>
      </c>
      <c r="T59" s="41">
        <v>198</v>
      </c>
    </row>
    <row r="60" spans="1:20" x14ac:dyDescent="0.35">
      <c r="A60" s="37">
        <v>2.7</v>
      </c>
      <c r="O60" s="37"/>
      <c r="S60" s="40">
        <v>402</v>
      </c>
      <c r="T60" s="41">
        <v>200</v>
      </c>
    </row>
    <row r="61" spans="1:20" x14ac:dyDescent="0.35">
      <c r="A61" s="37">
        <v>3</v>
      </c>
      <c r="O61" s="37"/>
      <c r="S61" s="45">
        <v>412</v>
      </c>
      <c r="T61" s="41">
        <v>203</v>
      </c>
    </row>
    <row r="62" spans="1:20" x14ac:dyDescent="0.35">
      <c r="A62" s="37">
        <v>3.3</v>
      </c>
      <c r="O62" s="37"/>
      <c r="S62" s="40">
        <v>422</v>
      </c>
      <c r="T62" s="41">
        <v>205</v>
      </c>
    </row>
    <row r="63" spans="1:20" x14ac:dyDescent="0.35">
      <c r="A63" s="37">
        <v>3.9</v>
      </c>
      <c r="O63" s="37"/>
      <c r="S63" s="45">
        <v>432</v>
      </c>
      <c r="T63" s="41">
        <v>208</v>
      </c>
    </row>
    <row r="64" spans="1:20" x14ac:dyDescent="0.35">
      <c r="A64" s="37">
        <v>4.7</v>
      </c>
      <c r="O64" s="37"/>
      <c r="S64" s="40">
        <v>442</v>
      </c>
      <c r="T64" s="41">
        <v>210</v>
      </c>
    </row>
    <row r="65" spans="1:20" x14ac:dyDescent="0.35">
      <c r="A65" s="37">
        <v>5.6</v>
      </c>
      <c r="O65" s="37"/>
      <c r="S65" s="44">
        <v>453</v>
      </c>
      <c r="T65" s="39">
        <v>213</v>
      </c>
    </row>
    <row r="66" spans="1:20" x14ac:dyDescent="0.35">
      <c r="O66" s="37"/>
      <c r="S66" s="40">
        <v>464</v>
      </c>
      <c r="T66" s="41">
        <v>215</v>
      </c>
    </row>
    <row r="67" spans="1:20" x14ac:dyDescent="0.35">
      <c r="O67" s="37"/>
      <c r="S67" s="45">
        <v>475</v>
      </c>
      <c r="T67" s="41">
        <v>218</v>
      </c>
    </row>
    <row r="68" spans="1:20" x14ac:dyDescent="0.35">
      <c r="O68" s="37"/>
      <c r="S68" s="40">
        <v>487</v>
      </c>
      <c r="T68" s="41">
        <v>221</v>
      </c>
    </row>
    <row r="69" spans="1:20" x14ac:dyDescent="0.35">
      <c r="O69" s="37"/>
      <c r="S69" s="45">
        <v>499</v>
      </c>
      <c r="T69" s="41">
        <v>223</v>
      </c>
    </row>
    <row r="70" spans="1:20" x14ac:dyDescent="0.35">
      <c r="O70" s="37"/>
      <c r="S70" s="40">
        <v>511</v>
      </c>
      <c r="T70" s="41">
        <v>226</v>
      </c>
    </row>
    <row r="71" spans="1:20" x14ac:dyDescent="0.35">
      <c r="O71" s="37"/>
      <c r="S71" s="45">
        <v>523</v>
      </c>
      <c r="T71" s="41">
        <v>229</v>
      </c>
    </row>
    <row r="72" spans="1:20" x14ac:dyDescent="0.35">
      <c r="O72" s="37"/>
      <c r="S72" s="40">
        <v>536</v>
      </c>
      <c r="T72" s="41">
        <v>232</v>
      </c>
    </row>
    <row r="73" spans="1:20" x14ac:dyDescent="0.35">
      <c r="O73" s="37"/>
      <c r="S73" s="45">
        <v>549</v>
      </c>
      <c r="T73" s="41">
        <v>234</v>
      </c>
    </row>
    <row r="74" spans="1:20" x14ac:dyDescent="0.35">
      <c r="O74" s="37"/>
      <c r="S74" s="40">
        <v>562</v>
      </c>
      <c r="T74" s="41">
        <v>237</v>
      </c>
    </row>
    <row r="75" spans="1:20" x14ac:dyDescent="0.35">
      <c r="O75" s="37"/>
      <c r="S75" s="45">
        <v>576</v>
      </c>
      <c r="T75" s="41">
        <v>240</v>
      </c>
    </row>
    <row r="76" spans="1:20" x14ac:dyDescent="0.35">
      <c r="O76" s="37"/>
      <c r="S76" s="40">
        <v>590</v>
      </c>
      <c r="T76" s="41">
        <v>243</v>
      </c>
    </row>
    <row r="77" spans="1:20" x14ac:dyDescent="0.35">
      <c r="O77" s="37"/>
      <c r="S77" s="45">
        <v>604</v>
      </c>
      <c r="T77" s="41">
        <v>246</v>
      </c>
    </row>
    <row r="78" spans="1:20" x14ac:dyDescent="0.35">
      <c r="O78" s="37"/>
      <c r="S78" s="40">
        <v>619</v>
      </c>
      <c r="T78" s="41">
        <v>249</v>
      </c>
    </row>
    <row r="79" spans="1:20" x14ac:dyDescent="0.35">
      <c r="O79" s="37"/>
      <c r="S79" s="45">
        <v>634</v>
      </c>
      <c r="T79" s="41">
        <v>252</v>
      </c>
    </row>
    <row r="80" spans="1:20" x14ac:dyDescent="0.35">
      <c r="O80" s="37"/>
      <c r="S80" s="40">
        <v>649</v>
      </c>
      <c r="T80" s="41">
        <v>255</v>
      </c>
    </row>
    <row r="81" spans="15:20" x14ac:dyDescent="0.35">
      <c r="O81" s="37"/>
      <c r="S81" s="45">
        <v>665</v>
      </c>
      <c r="T81" s="41">
        <v>258</v>
      </c>
    </row>
    <row r="82" spans="15:20" x14ac:dyDescent="0.35">
      <c r="O82" s="37"/>
      <c r="S82" s="40">
        <v>681</v>
      </c>
      <c r="T82" s="41">
        <v>261</v>
      </c>
    </row>
    <row r="83" spans="15:20" x14ac:dyDescent="0.35">
      <c r="O83" s="37"/>
      <c r="S83" s="45">
        <v>698</v>
      </c>
      <c r="T83" s="41">
        <v>264</v>
      </c>
    </row>
    <row r="84" spans="15:20" x14ac:dyDescent="0.35">
      <c r="O84" s="37"/>
      <c r="S84" s="40">
        <v>715</v>
      </c>
      <c r="T84" s="41">
        <v>267</v>
      </c>
    </row>
    <row r="85" spans="15:20" x14ac:dyDescent="0.35">
      <c r="O85" s="37"/>
      <c r="S85" s="45">
        <v>732</v>
      </c>
      <c r="T85" s="41">
        <v>271</v>
      </c>
    </row>
    <row r="86" spans="15:20" x14ac:dyDescent="0.35">
      <c r="O86" s="37"/>
      <c r="S86" s="40">
        <v>750</v>
      </c>
      <c r="T86" s="41">
        <v>274</v>
      </c>
    </row>
    <row r="87" spans="15:20" x14ac:dyDescent="0.35">
      <c r="O87" s="37"/>
      <c r="S87" s="45">
        <v>768</v>
      </c>
      <c r="T87" s="41">
        <v>277</v>
      </c>
    </row>
    <row r="88" spans="15:20" x14ac:dyDescent="0.35">
      <c r="O88" s="37"/>
      <c r="S88" s="40">
        <v>787</v>
      </c>
      <c r="T88" s="41">
        <v>280</v>
      </c>
    </row>
    <row r="89" spans="15:20" x14ac:dyDescent="0.35">
      <c r="O89" s="37"/>
      <c r="S89" s="45">
        <v>806</v>
      </c>
      <c r="T89" s="41">
        <v>284</v>
      </c>
    </row>
    <row r="90" spans="15:20" x14ac:dyDescent="0.35">
      <c r="O90" s="37"/>
      <c r="S90" s="40">
        <v>825</v>
      </c>
      <c r="T90" s="41">
        <v>287</v>
      </c>
    </row>
    <row r="91" spans="15:20" x14ac:dyDescent="0.35">
      <c r="O91" s="37"/>
      <c r="S91" s="45">
        <v>845</v>
      </c>
      <c r="T91" s="41">
        <v>291</v>
      </c>
    </row>
    <row r="92" spans="15:20" x14ac:dyDescent="0.35">
      <c r="O92" s="37"/>
      <c r="S92" s="40">
        <v>866</v>
      </c>
      <c r="T92" s="41">
        <v>294</v>
      </c>
    </row>
    <row r="93" spans="15:20" x14ac:dyDescent="0.35">
      <c r="O93" s="37"/>
      <c r="S93" s="45">
        <v>887</v>
      </c>
      <c r="T93" s="41">
        <v>298</v>
      </c>
    </row>
    <row r="94" spans="15:20" x14ac:dyDescent="0.35">
      <c r="O94" s="37"/>
      <c r="S94" s="40">
        <v>909</v>
      </c>
      <c r="T94" s="41">
        <v>301</v>
      </c>
    </row>
    <row r="95" spans="15:20" x14ac:dyDescent="0.35">
      <c r="O95" s="37"/>
      <c r="S95" s="45">
        <v>931</v>
      </c>
      <c r="T95" s="41">
        <v>305</v>
      </c>
    </row>
    <row r="96" spans="15:20" x14ac:dyDescent="0.35">
      <c r="O96" s="37"/>
      <c r="S96" s="40">
        <v>953</v>
      </c>
      <c r="T96" s="41">
        <v>309</v>
      </c>
    </row>
    <row r="97" spans="15:20" x14ac:dyDescent="0.35">
      <c r="O97" s="37"/>
      <c r="S97" s="45">
        <v>976</v>
      </c>
      <c r="T97" s="41">
        <v>312</v>
      </c>
    </row>
    <row r="98" spans="15:20" x14ac:dyDescent="0.35">
      <c r="O98" s="37"/>
      <c r="T98" s="41">
        <v>316</v>
      </c>
    </row>
    <row r="99" spans="15:20" x14ac:dyDescent="0.35">
      <c r="O99" s="37"/>
      <c r="T99" s="41">
        <v>320</v>
      </c>
    </row>
    <row r="100" spans="15:20" x14ac:dyDescent="0.35">
      <c r="O100" s="37"/>
      <c r="T100" s="41">
        <v>324</v>
      </c>
    </row>
    <row r="101" spans="15:20" x14ac:dyDescent="0.35">
      <c r="O101" s="37"/>
      <c r="T101" s="41">
        <v>328</v>
      </c>
    </row>
    <row r="102" spans="15:20" x14ac:dyDescent="0.35">
      <c r="O102" s="37"/>
      <c r="T102" s="41">
        <v>332</v>
      </c>
    </row>
    <row r="103" spans="15:20" x14ac:dyDescent="0.35">
      <c r="O103" s="37"/>
      <c r="T103" s="41">
        <v>336</v>
      </c>
    </row>
    <row r="104" spans="15:20" x14ac:dyDescent="0.35">
      <c r="O104" s="37"/>
      <c r="T104" s="41">
        <v>340</v>
      </c>
    </row>
    <row r="105" spans="15:20" x14ac:dyDescent="0.35">
      <c r="O105" s="37"/>
      <c r="T105" s="41">
        <v>344</v>
      </c>
    </row>
    <row r="106" spans="15:20" x14ac:dyDescent="0.35">
      <c r="O106" s="37"/>
      <c r="T106" s="41">
        <v>348</v>
      </c>
    </row>
    <row r="107" spans="15:20" x14ac:dyDescent="0.35">
      <c r="O107" s="37"/>
      <c r="T107" s="41">
        <v>352</v>
      </c>
    </row>
    <row r="108" spans="15:20" x14ac:dyDescent="0.35">
      <c r="O108" s="37"/>
      <c r="T108" s="41">
        <v>357</v>
      </c>
    </row>
    <row r="109" spans="15:20" x14ac:dyDescent="0.35">
      <c r="O109" s="37"/>
      <c r="T109" s="41">
        <v>361</v>
      </c>
    </row>
    <row r="110" spans="15:20" x14ac:dyDescent="0.35">
      <c r="O110" s="37"/>
      <c r="T110" s="41">
        <v>365</v>
      </c>
    </row>
    <row r="111" spans="15:20" x14ac:dyDescent="0.35">
      <c r="O111" s="37"/>
      <c r="T111" s="41">
        <v>370</v>
      </c>
    </row>
    <row r="112" spans="15:20" x14ac:dyDescent="0.35">
      <c r="O112" s="37"/>
      <c r="T112" s="41">
        <v>374</v>
      </c>
    </row>
    <row r="113" spans="15:20" x14ac:dyDescent="0.35">
      <c r="O113" s="37"/>
      <c r="T113" s="41">
        <v>379</v>
      </c>
    </row>
    <row r="114" spans="15:20" x14ac:dyDescent="0.35">
      <c r="O114" s="37"/>
      <c r="T114" s="41">
        <v>383</v>
      </c>
    </row>
    <row r="115" spans="15:20" x14ac:dyDescent="0.35">
      <c r="O115" s="37"/>
      <c r="T115" s="41">
        <v>388</v>
      </c>
    </row>
    <row r="116" spans="15:20" x14ac:dyDescent="0.35">
      <c r="O116" s="37"/>
      <c r="T116" s="41">
        <v>392</v>
      </c>
    </row>
    <row r="117" spans="15:20" x14ac:dyDescent="0.35">
      <c r="O117" s="37"/>
      <c r="T117" s="41">
        <v>397</v>
      </c>
    </row>
    <row r="118" spans="15:20" x14ac:dyDescent="0.35">
      <c r="O118" s="37"/>
      <c r="T118" s="41">
        <v>402</v>
      </c>
    </row>
    <row r="119" spans="15:20" x14ac:dyDescent="0.35">
      <c r="O119" s="37"/>
      <c r="T119" s="41">
        <v>407</v>
      </c>
    </row>
    <row r="120" spans="15:20" x14ac:dyDescent="0.35">
      <c r="O120" s="37"/>
      <c r="T120" s="41">
        <v>412</v>
      </c>
    </row>
    <row r="121" spans="15:20" x14ac:dyDescent="0.35">
      <c r="O121" s="37"/>
      <c r="T121" s="41">
        <v>417</v>
      </c>
    </row>
    <row r="122" spans="15:20" x14ac:dyDescent="0.35">
      <c r="O122" s="37"/>
      <c r="T122" s="41">
        <v>422</v>
      </c>
    </row>
    <row r="123" spans="15:20" x14ac:dyDescent="0.35">
      <c r="O123" s="37"/>
      <c r="T123" s="41">
        <v>427</v>
      </c>
    </row>
    <row r="124" spans="15:20" x14ac:dyDescent="0.35">
      <c r="O124" s="37"/>
      <c r="T124" s="41">
        <v>432</v>
      </c>
    </row>
    <row r="125" spans="15:20" x14ac:dyDescent="0.35">
      <c r="O125" s="37"/>
      <c r="T125" s="41">
        <v>437</v>
      </c>
    </row>
    <row r="126" spans="15:20" x14ac:dyDescent="0.35">
      <c r="O126" s="37"/>
      <c r="T126" s="41">
        <v>442</v>
      </c>
    </row>
    <row r="127" spans="15:20" x14ac:dyDescent="0.35">
      <c r="O127" s="37"/>
      <c r="T127" s="41">
        <v>448</v>
      </c>
    </row>
    <row r="128" spans="15:20" x14ac:dyDescent="0.35">
      <c r="O128" s="37"/>
      <c r="T128" s="41">
        <v>453</v>
      </c>
    </row>
    <row r="129" spans="15:20" x14ac:dyDescent="0.35">
      <c r="O129" s="37"/>
      <c r="T129" s="39">
        <v>459</v>
      </c>
    </row>
    <row r="130" spans="15:20" x14ac:dyDescent="0.35">
      <c r="O130" s="37"/>
      <c r="T130" s="47">
        <v>464</v>
      </c>
    </row>
    <row r="131" spans="15:20" x14ac:dyDescent="0.35">
      <c r="O131" s="37"/>
      <c r="T131" s="47">
        <v>470</v>
      </c>
    </row>
    <row r="132" spans="15:20" x14ac:dyDescent="0.35">
      <c r="O132" s="37"/>
      <c r="T132" s="47">
        <v>475</v>
      </c>
    </row>
    <row r="133" spans="15:20" x14ac:dyDescent="0.35">
      <c r="O133" s="37"/>
      <c r="T133" s="47">
        <v>481</v>
      </c>
    </row>
    <row r="134" spans="15:20" x14ac:dyDescent="0.35">
      <c r="O134" s="37"/>
      <c r="T134" s="47">
        <v>487</v>
      </c>
    </row>
    <row r="135" spans="15:20" x14ac:dyDescent="0.35">
      <c r="O135" s="37"/>
      <c r="T135" s="47">
        <v>493</v>
      </c>
    </row>
    <row r="136" spans="15:20" x14ac:dyDescent="0.35">
      <c r="O136" s="37"/>
      <c r="T136" s="47">
        <v>499</v>
      </c>
    </row>
    <row r="137" spans="15:20" x14ac:dyDescent="0.35">
      <c r="O137" s="37"/>
      <c r="T137" s="47">
        <v>505</v>
      </c>
    </row>
    <row r="138" spans="15:20" x14ac:dyDescent="0.35">
      <c r="O138" s="37"/>
      <c r="T138" s="47">
        <v>511</v>
      </c>
    </row>
    <row r="139" spans="15:20" x14ac:dyDescent="0.35">
      <c r="O139" s="37"/>
      <c r="T139" s="47">
        <v>517</v>
      </c>
    </row>
    <row r="140" spans="15:20" x14ac:dyDescent="0.35">
      <c r="O140" s="37"/>
      <c r="T140" s="47">
        <v>523</v>
      </c>
    </row>
    <row r="141" spans="15:20" x14ac:dyDescent="0.35">
      <c r="O141" s="37"/>
      <c r="T141" s="47">
        <v>530</v>
      </c>
    </row>
    <row r="142" spans="15:20" x14ac:dyDescent="0.35">
      <c r="O142" s="37"/>
      <c r="T142" s="47">
        <v>536</v>
      </c>
    </row>
    <row r="143" spans="15:20" x14ac:dyDescent="0.35">
      <c r="O143" s="37"/>
      <c r="T143" s="47">
        <v>542</v>
      </c>
    </row>
    <row r="144" spans="15:20" x14ac:dyDescent="0.35">
      <c r="O144" s="37"/>
      <c r="T144" s="47">
        <v>549</v>
      </c>
    </row>
    <row r="145" spans="15:20" x14ac:dyDescent="0.35">
      <c r="O145" s="37"/>
      <c r="T145" s="47">
        <v>556</v>
      </c>
    </row>
    <row r="146" spans="15:20" x14ac:dyDescent="0.35">
      <c r="O146" s="37"/>
      <c r="T146" s="47">
        <v>562</v>
      </c>
    </row>
    <row r="147" spans="15:20" x14ac:dyDescent="0.35">
      <c r="O147" s="37"/>
      <c r="T147" s="47">
        <v>569</v>
      </c>
    </row>
    <row r="148" spans="15:20" x14ac:dyDescent="0.35">
      <c r="O148" s="37"/>
      <c r="T148" s="47">
        <v>576</v>
      </c>
    </row>
    <row r="149" spans="15:20" x14ac:dyDescent="0.35">
      <c r="O149" s="37"/>
      <c r="T149" s="47">
        <v>583</v>
      </c>
    </row>
    <row r="150" spans="15:20" x14ac:dyDescent="0.35">
      <c r="O150" s="37"/>
      <c r="T150" s="47">
        <v>590</v>
      </c>
    </row>
    <row r="151" spans="15:20" x14ac:dyDescent="0.35">
      <c r="O151" s="37"/>
      <c r="T151" s="47">
        <v>597</v>
      </c>
    </row>
    <row r="152" spans="15:20" x14ac:dyDescent="0.35">
      <c r="O152" s="37"/>
      <c r="T152" s="47">
        <v>604</v>
      </c>
    </row>
    <row r="153" spans="15:20" x14ac:dyDescent="0.35">
      <c r="O153" s="37"/>
      <c r="T153" s="47">
        <v>612</v>
      </c>
    </row>
    <row r="154" spans="15:20" x14ac:dyDescent="0.35">
      <c r="O154" s="37"/>
      <c r="T154" s="47">
        <v>619</v>
      </c>
    </row>
    <row r="155" spans="15:20" x14ac:dyDescent="0.35">
      <c r="O155" s="37"/>
      <c r="T155" s="47">
        <v>626</v>
      </c>
    </row>
    <row r="156" spans="15:20" x14ac:dyDescent="0.35">
      <c r="O156" s="37"/>
      <c r="T156" s="47">
        <v>634</v>
      </c>
    </row>
    <row r="157" spans="15:20" x14ac:dyDescent="0.35">
      <c r="O157" s="37"/>
      <c r="T157" s="47">
        <v>642</v>
      </c>
    </row>
    <row r="158" spans="15:20" x14ac:dyDescent="0.35">
      <c r="O158" s="37"/>
      <c r="T158" s="47">
        <v>649</v>
      </c>
    </row>
    <row r="159" spans="15:20" x14ac:dyDescent="0.35">
      <c r="O159" s="37"/>
      <c r="T159" s="47">
        <v>657</v>
      </c>
    </row>
    <row r="160" spans="15:20" x14ac:dyDescent="0.35">
      <c r="O160" s="37"/>
      <c r="T160" s="47">
        <v>665</v>
      </c>
    </row>
    <row r="161" spans="15:20" x14ac:dyDescent="0.35">
      <c r="O161" s="37"/>
      <c r="T161" s="47">
        <v>673</v>
      </c>
    </row>
    <row r="162" spans="15:20" x14ac:dyDescent="0.35">
      <c r="O162" s="37"/>
      <c r="T162" s="47">
        <v>681</v>
      </c>
    </row>
    <row r="163" spans="15:20" x14ac:dyDescent="0.35">
      <c r="O163" s="37"/>
      <c r="T163" s="47">
        <v>690</v>
      </c>
    </row>
    <row r="164" spans="15:20" x14ac:dyDescent="0.35">
      <c r="O164" s="37"/>
      <c r="T164" s="47">
        <v>698</v>
      </c>
    </row>
    <row r="165" spans="15:20" x14ac:dyDescent="0.35">
      <c r="O165" s="37"/>
      <c r="T165" s="47">
        <v>706</v>
      </c>
    </row>
    <row r="166" spans="15:20" x14ac:dyDescent="0.35">
      <c r="O166" s="37"/>
      <c r="T166" s="47">
        <v>715</v>
      </c>
    </row>
    <row r="167" spans="15:20" x14ac:dyDescent="0.35">
      <c r="O167" s="37"/>
      <c r="T167" s="47">
        <v>723</v>
      </c>
    </row>
    <row r="168" spans="15:20" x14ac:dyDescent="0.35">
      <c r="O168" s="37"/>
      <c r="T168" s="47">
        <v>732</v>
      </c>
    </row>
    <row r="169" spans="15:20" x14ac:dyDescent="0.35">
      <c r="O169" s="37"/>
      <c r="T169" s="47">
        <v>741</v>
      </c>
    </row>
    <row r="170" spans="15:20" x14ac:dyDescent="0.35">
      <c r="O170" s="37"/>
      <c r="T170" s="47">
        <v>750</v>
      </c>
    </row>
    <row r="171" spans="15:20" x14ac:dyDescent="0.35">
      <c r="O171" s="37"/>
      <c r="T171" s="47">
        <v>759</v>
      </c>
    </row>
    <row r="172" spans="15:20" x14ac:dyDescent="0.35">
      <c r="O172" s="37"/>
      <c r="T172" s="47">
        <v>768</v>
      </c>
    </row>
    <row r="173" spans="15:20" x14ac:dyDescent="0.35">
      <c r="O173" s="37"/>
      <c r="T173" s="47">
        <v>777</v>
      </c>
    </row>
    <row r="174" spans="15:20" x14ac:dyDescent="0.35">
      <c r="O174" s="37"/>
      <c r="T174" s="47">
        <v>787</v>
      </c>
    </row>
    <row r="175" spans="15:20" x14ac:dyDescent="0.35">
      <c r="O175" s="37"/>
      <c r="T175" s="47">
        <v>796</v>
      </c>
    </row>
    <row r="176" spans="15:20" x14ac:dyDescent="0.35">
      <c r="O176" s="37"/>
      <c r="T176" s="47">
        <v>806</v>
      </c>
    </row>
    <row r="177" spans="15:20" x14ac:dyDescent="0.35">
      <c r="O177" s="37"/>
      <c r="T177" s="47">
        <v>816</v>
      </c>
    </row>
    <row r="178" spans="15:20" x14ac:dyDescent="0.35">
      <c r="O178" s="37"/>
      <c r="T178" s="47">
        <v>825</v>
      </c>
    </row>
    <row r="179" spans="15:20" x14ac:dyDescent="0.35">
      <c r="O179" s="37"/>
      <c r="T179" s="47">
        <v>835</v>
      </c>
    </row>
    <row r="180" spans="15:20" x14ac:dyDescent="0.35">
      <c r="O180" s="37"/>
      <c r="T180" s="47">
        <v>845</v>
      </c>
    </row>
    <row r="181" spans="15:20" x14ac:dyDescent="0.35">
      <c r="O181" s="37"/>
      <c r="T181" s="47">
        <v>856</v>
      </c>
    </row>
    <row r="182" spans="15:20" x14ac:dyDescent="0.35">
      <c r="O182" s="37"/>
      <c r="T182" s="47">
        <v>866</v>
      </c>
    </row>
    <row r="183" spans="15:20" x14ac:dyDescent="0.35">
      <c r="O183" s="37"/>
      <c r="T183" s="47">
        <v>876</v>
      </c>
    </row>
    <row r="184" spans="15:20" x14ac:dyDescent="0.35">
      <c r="O184" s="37"/>
      <c r="T184" s="47">
        <v>887</v>
      </c>
    </row>
    <row r="185" spans="15:20" x14ac:dyDescent="0.35">
      <c r="O185" s="37"/>
      <c r="T185" s="47">
        <v>898</v>
      </c>
    </row>
    <row r="186" spans="15:20" x14ac:dyDescent="0.35">
      <c r="O186" s="37"/>
      <c r="T186" s="47">
        <v>909</v>
      </c>
    </row>
    <row r="187" spans="15:20" x14ac:dyDescent="0.35">
      <c r="O187" s="37"/>
      <c r="T187" s="47">
        <v>920</v>
      </c>
    </row>
    <row r="188" spans="15:20" x14ac:dyDescent="0.35">
      <c r="O188" s="37"/>
      <c r="T188" s="47">
        <v>931</v>
      </c>
    </row>
    <row r="189" spans="15:20" x14ac:dyDescent="0.35">
      <c r="O189" s="37"/>
      <c r="T189" s="47">
        <v>942</v>
      </c>
    </row>
    <row r="190" spans="15:20" x14ac:dyDescent="0.35">
      <c r="O190" s="37"/>
      <c r="T190" s="47">
        <v>953</v>
      </c>
    </row>
    <row r="191" spans="15:20" x14ac:dyDescent="0.35">
      <c r="O191" s="37"/>
      <c r="T191" s="47">
        <v>965</v>
      </c>
    </row>
    <row r="192" spans="15:20" x14ac:dyDescent="0.35">
      <c r="O192" s="37"/>
      <c r="T192" s="47">
        <v>976</v>
      </c>
    </row>
    <row r="193" spans="15:20" x14ac:dyDescent="0.35">
      <c r="O193" s="37"/>
      <c r="T193" s="48">
        <v>988</v>
      </c>
    </row>
  </sheetData>
  <phoneticPr fontId="33" type="noConversion"/>
  <pageMargins left="0.7" right="0.7" top="0.75" bottom="0.75" header="0.3" footer="0.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4F6778-7412-4C1D-A9EE-E348B228D8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8AB1357-47FD-4489-B744-58A801D691C4}">
  <ds:schemaRefs>
    <ds:schemaRef ds:uri="http://schemas.microsoft.com/sharepoint/v3/contenttype/forms"/>
  </ds:schemaRefs>
</ds:datastoreItem>
</file>

<file path=customXml/itemProps3.xml><?xml version="1.0" encoding="utf-8"?>
<ds:datastoreItem xmlns:ds="http://schemas.openxmlformats.org/officeDocument/2006/customXml" ds:itemID="{072CE68A-14BC-435E-976F-702FABC86E7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108</vt:i4>
      </vt:variant>
    </vt:vector>
  </HeadingPairs>
  <TitlesOfParts>
    <vt:vector size="117" baseType="lpstr">
      <vt:lpstr>Revision History</vt:lpstr>
      <vt:lpstr>Calculator</vt:lpstr>
      <vt:lpstr>Notes</vt:lpstr>
      <vt:lpstr>Schem1</vt:lpstr>
      <vt:lpstr>Schem2</vt:lpstr>
      <vt:lpstr>Schem3</vt:lpstr>
      <vt:lpstr>Schem4</vt:lpstr>
      <vt:lpstr>Schem5</vt:lpstr>
      <vt:lpstr>Passives</vt:lpstr>
      <vt:lpstr>CAPS</vt:lpstr>
      <vt:lpstr>CIN</vt:lpstr>
      <vt:lpstr>COIL_CHOICE1</vt:lpstr>
      <vt:lpstr>COILS</vt:lpstr>
      <vt:lpstr>COILS_NAMES</vt:lpstr>
      <vt:lpstr>COILVALID</vt:lpstr>
      <vt:lpstr>CONFIG</vt:lpstr>
      <vt:lpstr>CONFIG_temp</vt:lpstr>
      <vt:lpstr>COUT</vt:lpstr>
      <vt:lpstr>DISSFW</vt:lpstr>
      <vt:lpstr>DISSLIM</vt:lpstr>
      <vt:lpstr>DISSNOLIM</vt:lpstr>
      <vt:lpstr>DISSRS</vt:lpstr>
      <vt:lpstr>DMAX</vt:lpstr>
      <vt:lpstr>DMAXEST</vt:lpstr>
      <vt:lpstr>DMIDEST</vt:lpstr>
      <vt:lpstr>DMIN</vt:lpstr>
      <vt:lpstr>DRIVER</vt:lpstr>
      <vt:lpstr>E24Resistors</vt:lpstr>
      <vt:lpstr>EFFVINMAX</vt:lpstr>
      <vt:lpstr>EFFVINMIN</vt:lpstr>
      <vt:lpstr>FINIT</vt:lpstr>
      <vt:lpstr>GI_ADJ</vt:lpstr>
      <vt:lpstr>GI_ADJ_INIT</vt:lpstr>
      <vt:lpstr>GI_ADJ_INITM</vt:lpstr>
      <vt:lpstr>GI_ADJ_INT</vt:lpstr>
      <vt:lpstr>GIERR</vt:lpstr>
      <vt:lpstr>GIFACT</vt:lpstr>
      <vt:lpstr>GIRANGE</vt:lpstr>
      <vt:lpstr>GITARGET</vt:lpstr>
      <vt:lpstr>ICOILEST</vt:lpstr>
      <vt:lpstr>ICOILMAXEST</vt:lpstr>
      <vt:lpstr>IGATE</vt:lpstr>
      <vt:lpstr>IINEST</vt:lpstr>
      <vt:lpstr>IINMAX</vt:lpstr>
      <vt:lpstr>IINMAXEST</vt:lpstr>
      <vt:lpstr>ILED</vt:lpstr>
      <vt:lpstr>ILEDF</vt:lpstr>
      <vt:lpstr>ILMAXEST</vt:lpstr>
      <vt:lpstr>IMOSMAXEST</vt:lpstr>
      <vt:lpstr>IQ</vt:lpstr>
      <vt:lpstr>IQAUX</vt:lpstr>
      <vt:lpstr>L</vt:lpstr>
      <vt:lpstr>LEST</vt:lpstr>
      <vt:lpstr>LOWV</vt:lpstr>
      <vt:lpstr>MOSFET_CHOICE1</vt:lpstr>
      <vt:lpstr>MOSFET_NAMES</vt:lpstr>
      <vt:lpstr>MOSFETS</vt:lpstr>
      <vt:lpstr>N</vt:lpstr>
      <vt:lpstr>PIN</vt:lpstr>
      <vt:lpstr>PINMAXEST</vt:lpstr>
      <vt:lpstr>PLEDS</vt:lpstr>
      <vt:lpstr>Calculator!Print_Area</vt:lpstr>
      <vt:lpstr>PSDMAXEST</vt:lpstr>
      <vt:lpstr>PSWMAXEST</vt:lpstr>
      <vt:lpstr>QGSW</vt:lpstr>
      <vt:lpstr>QGTOT</vt:lpstr>
      <vt:lpstr>RCOIL</vt:lpstr>
      <vt:lpstr>RCOILEST</vt:lpstr>
      <vt:lpstr>RDSONEST</vt:lpstr>
      <vt:lpstr>RGI1</vt:lpstr>
      <vt:lpstr>RGI1range</vt:lpstr>
      <vt:lpstr>RGI2</vt:lpstr>
      <vt:lpstr>RGI2range</vt:lpstr>
      <vt:lpstr>RIPHIGH</vt:lpstr>
      <vt:lpstr>RIPLOW</vt:lpstr>
      <vt:lpstr>RIPMID</vt:lpstr>
      <vt:lpstr>RON</vt:lpstr>
      <vt:lpstr>RS</vt:lpstr>
      <vt:lpstr>RSINIT</vt:lpstr>
      <vt:lpstr>RTH</vt:lpstr>
      <vt:lpstr>RTHFW</vt:lpstr>
      <vt:lpstr>RTHMOS</vt:lpstr>
      <vt:lpstr>SCHEM</vt:lpstr>
      <vt:lpstr>SCHOTTKIES</vt:lpstr>
      <vt:lpstr>SCHOTTKY_CHOICE1</vt:lpstr>
      <vt:lpstr>SCHOTTKY_NAMES</vt:lpstr>
      <vt:lpstr>SenseResistors</vt:lpstr>
      <vt:lpstr>TAMB</vt:lpstr>
      <vt:lpstr>TJ</vt:lpstr>
      <vt:lpstr>TJMAX</vt:lpstr>
      <vt:lpstr>TJMAXFW</vt:lpstr>
      <vt:lpstr>TJMAXMOS</vt:lpstr>
      <vt:lpstr>TJNOLIM</vt:lpstr>
      <vt:lpstr>TONEST</vt:lpstr>
      <vt:lpstr>VADJ</vt:lpstr>
      <vt:lpstr>VALC10</vt:lpstr>
      <vt:lpstr>VALC3</vt:lpstr>
      <vt:lpstr>VALR1</vt:lpstr>
      <vt:lpstr>VALR2</vt:lpstr>
      <vt:lpstr>VALR2INIT</vt:lpstr>
      <vt:lpstr>VDSMAX</vt:lpstr>
      <vt:lpstr>VFLED</vt:lpstr>
      <vt:lpstr>VGATEH</vt:lpstr>
      <vt:lpstr>VINAV</vt:lpstr>
      <vt:lpstr>VINMAX</vt:lpstr>
      <vt:lpstr>VINMIN</vt:lpstr>
      <vt:lpstr>VLEDS</vt:lpstr>
      <vt:lpstr>VOUTA</vt:lpstr>
      <vt:lpstr>VRIPIN</vt:lpstr>
      <vt:lpstr>VRIPOUT</vt:lpstr>
      <vt:lpstr>VRMAX</vt:lpstr>
      <vt:lpstr>VRSMAX</vt:lpstr>
      <vt:lpstr>VRSMIN</vt:lpstr>
      <vt:lpstr>VSNOM</vt:lpstr>
      <vt:lpstr>VZD3</vt:lpstr>
      <vt:lpstr>VZD4</vt:lpstr>
      <vt:lpstr>ZENERS</vt:lpstr>
    </vt:vector>
  </TitlesOfParts>
  <Company>Diodes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 Stokes</dc:creator>
  <cp:lastModifiedBy>Diodes</cp:lastModifiedBy>
  <cp:lastPrinted>2021-10-27T15:25:43Z</cp:lastPrinted>
  <dcterms:created xsi:type="dcterms:W3CDTF">2010-03-23T13:09:59Z</dcterms:created>
  <dcterms:modified xsi:type="dcterms:W3CDTF">2022-03-01T17:03:49Z</dcterms:modified>
</cp:coreProperties>
</file>