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95" yWindow="840" windowWidth="12465" windowHeight="7035" tabRatio="281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6" i="1" l="1"/>
  <c r="C32" i="1" l="1"/>
  <c r="C39" i="1" l="1"/>
  <c r="C55" i="1" s="1"/>
  <c r="C38" i="1"/>
  <c r="C36" i="1"/>
  <c r="C28" i="1"/>
  <c r="C53" i="1"/>
  <c r="C73" i="1"/>
  <c r="C59" i="1"/>
  <c r="C60" i="1"/>
  <c r="C29" i="1"/>
  <c r="C25" i="1"/>
  <c r="C62" i="1" l="1"/>
  <c r="C54" i="1"/>
  <c r="C102" i="1"/>
  <c r="C84" i="1"/>
  <c r="C49" i="1"/>
  <c r="C94" i="1"/>
  <c r="C96" i="1"/>
  <c r="C40" i="1"/>
  <c r="C87" i="1" s="1"/>
  <c r="C101" i="1"/>
  <c r="C100" i="1"/>
  <c r="C98" i="1"/>
  <c r="C97" i="1"/>
  <c r="C95" i="1"/>
  <c r="C80" i="1"/>
  <c r="C90" i="1"/>
  <c r="C71" i="1"/>
  <c r="C42" i="1" l="1"/>
  <c r="C86" i="1"/>
  <c r="C88" i="1" l="1"/>
  <c r="C91" i="1" l="1"/>
  <c r="C92" i="1"/>
  <c r="C82" i="1"/>
  <c r="C81" i="1"/>
  <c r="C30" i="1"/>
  <c r="C72" i="1" l="1"/>
  <c r="C61" i="1"/>
  <c r="C99" i="1" s="1"/>
  <c r="C74" i="1"/>
  <c r="C93" i="1"/>
  <c r="C83" i="1"/>
  <c r="C85" i="1"/>
  <c r="C75" i="1" l="1"/>
  <c r="C76" i="1" s="1"/>
  <c r="C77" i="1" s="1"/>
</calcChain>
</file>

<file path=xl/sharedStrings.xml><?xml version="1.0" encoding="utf-8"?>
<sst xmlns="http://schemas.openxmlformats.org/spreadsheetml/2006/main" count="230" uniqueCount="195">
  <si>
    <t>Application Specifications</t>
    <phoneticPr fontId="3" type="noConversion"/>
  </si>
  <si>
    <t>V</t>
    <phoneticPr fontId="1" type="noConversion"/>
  </si>
  <si>
    <t>Vo</t>
    <phoneticPr fontId="1" type="noConversion"/>
  </si>
  <si>
    <t>Don</t>
    <phoneticPr fontId="1" type="noConversion"/>
  </si>
  <si>
    <t>Doff</t>
    <phoneticPr fontId="1" type="noConversion"/>
  </si>
  <si>
    <t>%</t>
    <phoneticPr fontId="1" type="noConversion"/>
  </si>
  <si>
    <t>Switching Frequency</t>
    <phoneticPr fontId="3" type="noConversion"/>
  </si>
  <si>
    <t>Fosc</t>
    <phoneticPr fontId="3" type="noConversion"/>
  </si>
  <si>
    <t>mA</t>
    <phoneticPr fontId="3" type="noConversion"/>
  </si>
  <si>
    <t>Inductor Section</t>
    <phoneticPr fontId="3" type="noConversion"/>
  </si>
  <si>
    <t>η</t>
    <phoneticPr fontId="3" type="noConversion"/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</si>
  <si>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  <phoneticPr fontId="3" type="noConversion"/>
  </si>
  <si>
    <t>Over Voltage Protection Setting</t>
    <phoneticPr fontId="3" type="noConversion"/>
  </si>
  <si>
    <t>Vout(OVP)</t>
    <phoneticPr fontId="3" type="noConversion"/>
  </si>
  <si>
    <t>V</t>
    <phoneticPr fontId="3" type="noConversion"/>
  </si>
  <si>
    <t>Calculated</t>
  </si>
  <si>
    <t>User Entry</t>
  </si>
  <si>
    <t>L</t>
    <phoneticPr fontId="3" type="noConversion"/>
  </si>
  <si>
    <r>
      <t>I</t>
    </r>
    <r>
      <rPr>
        <sz val="9"/>
        <color indexed="8"/>
        <rFont val="Arial"/>
        <family val="2"/>
      </rPr>
      <t>LED</t>
    </r>
    <phoneticPr fontId="3" type="noConversion"/>
  </si>
  <si>
    <r>
      <t>Io</t>
    </r>
    <r>
      <rPr>
        <sz val="11"/>
        <color indexed="8"/>
        <rFont val="Arial"/>
        <family val="2"/>
      </rPr>
      <t>(Total)</t>
    </r>
    <phoneticPr fontId="1" type="noConversion"/>
  </si>
  <si>
    <t>Output Current per Channel :</t>
    <phoneticPr fontId="3" type="noConversion"/>
  </si>
  <si>
    <t>Output Voltage:</t>
    <phoneticPr fontId="1" type="noConversion"/>
  </si>
  <si>
    <t>ILED</t>
    <phoneticPr fontId="3" type="noConversion"/>
  </si>
  <si>
    <t>OVP Setting:</t>
    <phoneticPr fontId="1" type="noConversion"/>
  </si>
  <si>
    <t>Rov1</t>
    <phoneticPr fontId="3" type="noConversion"/>
  </si>
  <si>
    <t>Rov2</t>
    <phoneticPr fontId="3" type="noConversion"/>
  </si>
  <si>
    <t>A</t>
    <phoneticPr fontId="1" type="noConversion"/>
  </si>
  <si>
    <t>kΩ</t>
    <phoneticPr fontId="1" type="noConversion"/>
  </si>
  <si>
    <t>OVP Setting:</t>
    <phoneticPr fontId="1" type="noConversion"/>
  </si>
  <si>
    <t>V</t>
    <phoneticPr fontId="1" type="noConversion"/>
  </si>
  <si>
    <t>Input Voltage:</t>
    <phoneticPr fontId="1" type="noConversion"/>
  </si>
  <si>
    <t>Vin</t>
    <phoneticPr fontId="1" type="noConversion"/>
  </si>
  <si>
    <t>Ω</t>
  </si>
  <si>
    <t>Output Current Setting:</t>
    <phoneticPr fontId="1" type="noConversion"/>
  </si>
  <si>
    <r>
      <t>R</t>
    </r>
    <r>
      <rPr>
        <sz val="9"/>
        <color indexed="9"/>
        <rFont val="Arial"/>
        <family val="2"/>
      </rPr>
      <t>FB</t>
    </r>
    <phoneticPr fontId="1" type="noConversion"/>
  </si>
  <si>
    <t>Rcs</t>
    <phoneticPr fontId="1" type="noConversion"/>
  </si>
  <si>
    <t>Output Current Setting</t>
    <phoneticPr fontId="3" type="noConversion"/>
  </si>
  <si>
    <t>Over Current Protection Setting</t>
    <phoneticPr fontId="3" type="noConversion"/>
  </si>
  <si>
    <t>Nominal Output voltage</t>
  </si>
  <si>
    <t>LED Channel Current</t>
  </si>
  <si>
    <t>Nominal Output current</t>
  </si>
  <si>
    <t>Expected Efficieny</t>
  </si>
  <si>
    <t>Minimum Value of Inductor in CCM</t>
  </si>
  <si>
    <t>Actual Value</t>
  </si>
  <si>
    <t>Inductor Peak Current</t>
  </si>
  <si>
    <t>OCP Setting Resistor, typically OCP value=2*ILpeak</t>
  </si>
  <si>
    <t xml:space="preserve">Vout OVP Threshold </t>
  </si>
  <si>
    <t>Ω</t>
    <phoneticPr fontId="3" type="noConversion"/>
  </si>
  <si>
    <t>kHz</t>
    <phoneticPr fontId="1" type="noConversion"/>
  </si>
  <si>
    <t>A</t>
    <phoneticPr fontId="3" type="noConversion"/>
  </si>
  <si>
    <t>Ω</t>
    <phoneticPr fontId="3" type="noConversion"/>
  </si>
  <si>
    <t>KΩ</t>
    <phoneticPr fontId="3" type="noConversion"/>
  </si>
  <si>
    <r>
      <t>Vin</t>
    </r>
    <r>
      <rPr>
        <sz val="11"/>
        <color indexed="8"/>
        <rFont val="Arial"/>
        <family val="2"/>
      </rPr>
      <t>_min</t>
    </r>
    <phoneticPr fontId="1" type="noConversion"/>
  </si>
  <si>
    <r>
      <t>M</t>
    </r>
    <r>
      <rPr>
        <sz val="11"/>
        <color indexed="8"/>
        <rFont val="Arial"/>
        <family val="2"/>
      </rPr>
      <t>inimum</t>
    </r>
    <r>
      <rPr>
        <sz val="11"/>
        <color indexed="8"/>
        <rFont val="Arial"/>
        <family val="2"/>
      </rPr>
      <t xml:space="preserve"> Intput Voltage</t>
    </r>
    <phoneticPr fontId="1" type="noConversion"/>
  </si>
  <si>
    <r>
      <t>R</t>
    </r>
    <r>
      <rPr>
        <sz val="9"/>
        <color indexed="8"/>
        <rFont val="Arial"/>
        <family val="2"/>
      </rPr>
      <t xml:space="preserve">FB </t>
    </r>
    <r>
      <rPr>
        <sz val="11"/>
        <color indexed="8"/>
        <rFont val="Arial"/>
        <family val="2"/>
      </rPr>
      <t>(R6)</t>
    </r>
    <phoneticPr fontId="1" type="noConversion"/>
  </si>
  <si>
    <t>Rcs (R3)</t>
    <phoneticPr fontId="1" type="noConversion"/>
  </si>
  <si>
    <t xml:space="preserve">Output Current Sense Resistor </t>
    <phoneticPr fontId="1" type="noConversion"/>
  </si>
  <si>
    <t xml:space="preserve">OVP Setting Resistor 1 </t>
    <phoneticPr fontId="1" type="noConversion"/>
  </si>
  <si>
    <t>OVP Setting Resistor 2</t>
    <phoneticPr fontId="1" type="noConversion"/>
  </si>
  <si>
    <r>
      <t>p</t>
    </r>
    <r>
      <rPr>
        <sz val="11"/>
        <color indexed="8"/>
        <rFont val="Arial"/>
        <family val="2"/>
      </rPr>
      <t>cs</t>
    </r>
    <phoneticPr fontId="1" type="noConversion"/>
  </si>
  <si>
    <t>Ns</t>
    <phoneticPr fontId="3" type="noConversion"/>
  </si>
  <si>
    <r>
      <t>r</t>
    </r>
    <r>
      <rPr>
        <vertAlign val="subscript"/>
        <sz val="11"/>
        <color indexed="8"/>
        <rFont val="Arial"/>
        <family val="2"/>
      </rPr>
      <t>D</t>
    </r>
    <phoneticPr fontId="1" type="noConversion"/>
  </si>
  <si>
    <t>Ω</t>
    <phoneticPr fontId="1" type="noConversion"/>
  </si>
  <si>
    <t>Equivalent dymanic resistance of LED array</t>
    <phoneticPr fontId="1" type="noConversion"/>
  </si>
  <si>
    <r>
      <t>R</t>
    </r>
    <r>
      <rPr>
        <vertAlign val="subscript"/>
        <sz val="11"/>
        <color indexed="8"/>
        <rFont val="Arial"/>
        <family val="2"/>
      </rPr>
      <t>D</t>
    </r>
    <phoneticPr fontId="1" type="noConversion"/>
  </si>
  <si>
    <r>
      <t>R</t>
    </r>
    <r>
      <rPr>
        <vertAlign val="subscript"/>
        <sz val="11"/>
        <color indexed="8"/>
        <rFont val="Arial"/>
        <family val="2"/>
      </rPr>
      <t>EQ</t>
    </r>
    <phoneticPr fontId="1" type="noConversion"/>
  </si>
  <si>
    <t xml:space="preserve">Input Capacitor </t>
    <phoneticPr fontId="3" type="noConversion"/>
  </si>
  <si>
    <t>Input Capacitor Selection</t>
    <phoneticPr fontId="3" type="noConversion"/>
  </si>
  <si>
    <r>
      <t>C</t>
    </r>
    <r>
      <rPr>
        <sz val="11"/>
        <color indexed="8"/>
        <rFont val="Arial"/>
        <family val="2"/>
      </rPr>
      <t>in_min</t>
    </r>
    <phoneticPr fontId="1" type="noConversion"/>
  </si>
  <si>
    <r>
      <t>R</t>
    </r>
    <r>
      <rPr>
        <sz val="11"/>
        <color indexed="8"/>
        <rFont val="Arial"/>
        <family val="2"/>
      </rPr>
      <t>equired Minimum input capacitor value</t>
    </r>
    <phoneticPr fontId="1" type="noConversion"/>
  </si>
  <si>
    <t>Inductor Ripple Current</t>
    <phoneticPr fontId="1" type="noConversion"/>
  </si>
  <si>
    <t>A</t>
    <phoneticPr fontId="1" type="noConversion"/>
  </si>
  <si>
    <r>
      <t>I</t>
    </r>
    <r>
      <rPr>
        <sz val="11"/>
        <color indexed="8"/>
        <rFont val="Arial"/>
        <family val="2"/>
      </rPr>
      <t>nput Capacitor RMS current</t>
    </r>
    <phoneticPr fontId="1" type="noConversion"/>
  </si>
  <si>
    <r>
      <t>I</t>
    </r>
    <r>
      <rPr>
        <vertAlign val="subscript"/>
        <sz val="11"/>
        <color indexed="8"/>
        <rFont val="Arial"/>
        <family val="2"/>
      </rPr>
      <t>Cin-RMS</t>
    </r>
    <phoneticPr fontId="1" type="noConversion"/>
  </si>
  <si>
    <r>
      <t>m</t>
    </r>
    <r>
      <rPr>
        <sz val="11"/>
        <color indexed="8"/>
        <rFont val="Arial"/>
        <family val="2"/>
      </rPr>
      <t>A</t>
    </r>
    <phoneticPr fontId="1" type="noConversion"/>
  </si>
  <si>
    <t>Output Capacitor Selection</t>
    <phoneticPr fontId="3" type="noConversion"/>
  </si>
  <si>
    <t>Desired input voltage ripple</t>
    <phoneticPr fontId="1" type="noConversion"/>
  </si>
  <si>
    <t>Desired output voltage ripple</t>
    <phoneticPr fontId="1" type="noConversion"/>
  </si>
  <si>
    <t>Required Minimum output capacitor value</t>
    <phoneticPr fontId="1" type="noConversion"/>
  </si>
  <si>
    <t>Cout_min</t>
    <phoneticPr fontId="1" type="noConversion"/>
  </si>
  <si>
    <t>Actual input capacitor value selection</t>
    <phoneticPr fontId="1" type="noConversion"/>
  </si>
  <si>
    <t>Inductor Average Current</t>
    <phoneticPr fontId="1" type="noConversion"/>
  </si>
  <si>
    <r>
      <t>I</t>
    </r>
    <r>
      <rPr>
        <vertAlign val="subscript"/>
        <sz val="11"/>
        <color indexed="8"/>
        <rFont val="Arial"/>
        <family val="2"/>
      </rPr>
      <t>L</t>
    </r>
    <phoneticPr fontId="1" type="noConversion"/>
  </si>
  <si>
    <r>
      <rPr>
        <sz val="11"/>
        <color indexed="8"/>
        <rFont val="Arial Unicode MS"/>
        <family val="2"/>
        <charset val="134"/>
      </rPr>
      <t>Δ</t>
    </r>
    <r>
      <rPr>
        <sz val="12.65"/>
        <color indexed="8"/>
        <rFont val="Arial"/>
        <family val="2"/>
      </rPr>
      <t>I</t>
    </r>
    <r>
      <rPr>
        <vertAlign val="subscript"/>
        <sz val="12.65"/>
        <color indexed="8"/>
        <rFont val="Arial"/>
        <family val="2"/>
      </rPr>
      <t>L</t>
    </r>
    <phoneticPr fontId="1" type="noConversion"/>
  </si>
  <si>
    <t>A</t>
    <phoneticPr fontId="1" type="noConversion"/>
  </si>
  <si>
    <t>Required maximum output capacitor ESR</t>
    <phoneticPr fontId="1" type="noConversion"/>
  </si>
  <si>
    <t>Ω</t>
    <phoneticPr fontId="1" type="noConversion"/>
  </si>
  <si>
    <t>mΩ</t>
    <phoneticPr fontId="1" type="noConversion"/>
  </si>
  <si>
    <r>
      <t>I</t>
    </r>
    <r>
      <rPr>
        <vertAlign val="subscript"/>
        <sz val="11"/>
        <color indexed="8"/>
        <rFont val="Arial"/>
        <family val="2"/>
      </rPr>
      <t>Cout-RMS</t>
    </r>
    <phoneticPr fontId="1" type="noConversion"/>
  </si>
  <si>
    <t>Output Capacitor RMS current</t>
    <phoneticPr fontId="1" type="noConversion"/>
  </si>
  <si>
    <t>Cin1</t>
    <phoneticPr fontId="1" type="noConversion"/>
  </si>
  <si>
    <t>Cin2</t>
    <phoneticPr fontId="1" type="noConversion"/>
  </si>
  <si>
    <t>Vin decoupling capacitor suggested value</t>
    <phoneticPr fontId="1" type="noConversion"/>
  </si>
  <si>
    <t>µF</t>
  </si>
  <si>
    <t>µF</t>
    <phoneticPr fontId="1" type="noConversion"/>
  </si>
  <si>
    <t>µF</t>
    <phoneticPr fontId="1" type="noConversion"/>
  </si>
  <si>
    <t>µH</t>
    <phoneticPr fontId="3" type="noConversion"/>
  </si>
  <si>
    <t>µH</t>
    <phoneticPr fontId="1" type="noConversion"/>
  </si>
  <si>
    <t>Cout1</t>
    <phoneticPr fontId="1" type="noConversion"/>
  </si>
  <si>
    <t>Cout2</t>
    <phoneticPr fontId="1" type="noConversion"/>
  </si>
  <si>
    <t>Vout decoupling capacitor suggested value</t>
    <phoneticPr fontId="1" type="noConversion"/>
  </si>
  <si>
    <t>Vin pin Decoupling Capacitor Selection</t>
    <phoneticPr fontId="3" type="noConversion"/>
  </si>
  <si>
    <r>
      <t>C</t>
    </r>
    <r>
      <rPr>
        <vertAlign val="subscript"/>
        <sz val="11"/>
        <color indexed="8"/>
        <rFont val="Arial Unicode MS"/>
        <family val="2"/>
        <charset val="134"/>
      </rPr>
      <t>Vin_min</t>
    </r>
    <phoneticPr fontId="1" type="noConversion"/>
  </si>
  <si>
    <t>Minimum Suggested VIN pin decoupling capacitor value</t>
    <phoneticPr fontId="1" type="noConversion"/>
  </si>
  <si>
    <t>Actual VIN pin decoupling capacitor selection</t>
    <phoneticPr fontId="1" type="noConversion"/>
  </si>
  <si>
    <r>
      <t>C</t>
    </r>
    <r>
      <rPr>
        <vertAlign val="subscript"/>
        <sz val="11"/>
        <color indexed="8"/>
        <rFont val="Arial Unicode MS"/>
        <family val="2"/>
        <charset val="134"/>
      </rPr>
      <t>VIN</t>
    </r>
    <phoneticPr fontId="1" type="noConversion"/>
  </si>
  <si>
    <t>Minimum recommended OVP pin decoupling capacitor value</t>
    <phoneticPr fontId="1" type="noConversion"/>
  </si>
  <si>
    <r>
      <t>p</t>
    </r>
    <r>
      <rPr>
        <sz val="11"/>
        <color indexed="8"/>
        <rFont val="Arial"/>
        <family val="2"/>
      </rPr>
      <t>F</t>
    </r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</si>
  <si>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OVP_min</t>
    </r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</si>
  <si>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OVP</t>
    </r>
    <phoneticPr fontId="1" type="noConversion"/>
  </si>
  <si>
    <t>Actual OVP pin decoupling capacitor selection</t>
    <phoneticPr fontId="1" type="noConversion"/>
  </si>
  <si>
    <t>Minimum CS pin RC filter capacitor value</t>
    <phoneticPr fontId="1" type="noConversion"/>
  </si>
  <si>
    <t>pF</t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</si>
  <si>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CS_min</t>
    </r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</si>
  <si>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CS</t>
    </r>
    <phoneticPr fontId="1" type="noConversion"/>
  </si>
  <si>
    <t>Actual CS pin RC filter capacitor selection</t>
    <phoneticPr fontId="1" type="noConversion"/>
  </si>
  <si>
    <t>Compensation Capacitor Selection</t>
    <phoneticPr fontId="3" type="noConversion"/>
  </si>
  <si>
    <t>µF</t>
    <phoneticPr fontId="1" type="noConversion"/>
  </si>
  <si>
    <t>Open Loop Voltage Gain of Error Amplifier</t>
    <phoneticPr fontId="1" type="noConversion"/>
  </si>
  <si>
    <t>dB</t>
    <phoneticPr fontId="1" type="noConversion"/>
  </si>
  <si>
    <r>
      <t>G</t>
    </r>
    <r>
      <rPr>
        <vertAlign val="subscript"/>
        <sz val="11"/>
        <color indexed="8"/>
        <rFont val="Arial"/>
        <family val="2"/>
      </rPr>
      <t>m</t>
    </r>
    <phoneticPr fontId="1" type="noConversion"/>
  </si>
  <si>
    <r>
      <t>A</t>
    </r>
    <r>
      <rPr>
        <vertAlign val="subscript"/>
        <sz val="11"/>
        <color indexed="8"/>
        <rFont val="Arial"/>
        <family val="2"/>
      </rPr>
      <t>m</t>
    </r>
    <phoneticPr fontId="1" type="noConversion"/>
  </si>
  <si>
    <r>
      <t>A</t>
    </r>
    <r>
      <rPr>
        <vertAlign val="subscript"/>
        <sz val="11"/>
        <color indexed="8"/>
        <rFont val="Arial"/>
        <family val="2"/>
      </rPr>
      <t>C</t>
    </r>
    <phoneticPr fontId="1" type="noConversion"/>
  </si>
  <si>
    <t>DC Gain of EA compensation stage</t>
    <phoneticPr fontId="1" type="noConversion"/>
  </si>
  <si>
    <r>
      <t>A</t>
    </r>
    <r>
      <rPr>
        <vertAlign val="subscript"/>
        <sz val="11"/>
        <color indexed="8"/>
        <rFont val="Arial"/>
        <family val="2"/>
      </rPr>
      <t>p</t>
    </r>
    <phoneticPr fontId="1" type="noConversion"/>
  </si>
  <si>
    <t>DC Gain of Boost power stage</t>
    <phoneticPr fontId="1" type="noConversion"/>
  </si>
  <si>
    <t>V/V</t>
    <phoneticPr fontId="1" type="noConversion"/>
  </si>
  <si>
    <t>Boost System Right-Half Plane Zero</t>
    <phoneticPr fontId="1" type="noConversion"/>
  </si>
  <si>
    <t>Hz</t>
    <phoneticPr fontId="1" type="noConversion"/>
  </si>
  <si>
    <r>
      <t>f</t>
    </r>
    <r>
      <rPr>
        <vertAlign val="subscript"/>
        <sz val="11"/>
        <color indexed="8"/>
        <rFont val="Arial"/>
        <family val="2"/>
      </rPr>
      <t>p1</t>
    </r>
    <phoneticPr fontId="1" type="noConversion"/>
  </si>
  <si>
    <r>
      <t>f</t>
    </r>
    <r>
      <rPr>
        <vertAlign val="subscript"/>
        <sz val="11"/>
        <color indexed="8"/>
        <rFont val="Arial"/>
        <family val="2"/>
      </rPr>
      <t>C</t>
    </r>
    <phoneticPr fontId="1" type="noConversion"/>
  </si>
  <si>
    <r>
      <t>f</t>
    </r>
    <r>
      <rPr>
        <vertAlign val="subscript"/>
        <sz val="11"/>
        <color indexed="8"/>
        <rFont val="Arial"/>
        <family val="2"/>
      </rPr>
      <t>Z2</t>
    </r>
    <phoneticPr fontId="1" type="noConversion"/>
  </si>
  <si>
    <t>Hz</t>
    <phoneticPr fontId="1" type="noConversion"/>
  </si>
  <si>
    <r>
      <t>Set the whole system crossover frequency as Minimum value between f</t>
    </r>
    <r>
      <rPr>
        <vertAlign val="subscript"/>
        <sz val="11"/>
        <color indexed="8"/>
        <rFont val="Arial"/>
        <family val="2"/>
      </rPr>
      <t>Z2</t>
    </r>
    <r>
      <rPr>
        <sz val="11"/>
        <color indexed="8"/>
        <rFont val="Arial"/>
        <family val="2"/>
      </rPr>
      <t xml:space="preserve"> and f</t>
    </r>
    <r>
      <rPr>
        <vertAlign val="subscript"/>
        <sz val="11"/>
        <color indexed="8"/>
        <rFont val="Arial"/>
        <family val="2"/>
      </rPr>
      <t xml:space="preserve">p1, </t>
    </r>
    <r>
      <rPr>
        <sz val="11"/>
        <color indexed="8"/>
        <rFont val="Arial"/>
        <family val="2"/>
      </rPr>
      <t>f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=Min(f</t>
    </r>
    <r>
      <rPr>
        <vertAlign val="subscript"/>
        <sz val="11"/>
        <color indexed="8"/>
        <rFont val="Arial"/>
        <family val="2"/>
      </rPr>
      <t>Z2</t>
    </r>
    <r>
      <rPr>
        <sz val="11"/>
        <color indexed="8"/>
        <rFont val="Arial"/>
        <family val="2"/>
      </rPr>
      <t>, f</t>
    </r>
    <r>
      <rPr>
        <vertAlign val="subscript"/>
        <sz val="11"/>
        <color indexed="8"/>
        <rFont val="Arial"/>
        <family val="2"/>
      </rPr>
      <t>p1</t>
    </r>
    <r>
      <rPr>
        <sz val="11"/>
        <color indexed="8"/>
        <rFont val="Arial"/>
        <family val="2"/>
      </rPr>
      <t>)</t>
    </r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</si>
  <si>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COMP_min</t>
    </r>
    <phoneticPr fontId="1" type="noConversion"/>
  </si>
  <si>
    <t>nF</t>
    <phoneticPr fontId="1" type="noConversion"/>
  </si>
  <si>
    <t>Minimum Compensation Capacitor Value</t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</si>
  <si>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COMP_recommend</t>
    </r>
    <phoneticPr fontId="1" type="noConversion"/>
  </si>
  <si>
    <t>Actual Compensation Capacitor</t>
    <phoneticPr fontId="1" type="noConversion"/>
  </si>
  <si>
    <t>nF</t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</si>
  <si>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COMP</t>
    </r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</si>
  <si>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Lpeak</t>
    </r>
    <phoneticPr fontId="3" type="noConversion"/>
  </si>
  <si>
    <r>
      <t>ΔI</t>
    </r>
    <r>
      <rPr>
        <vertAlign val="subscript"/>
        <sz val="11"/>
        <color indexed="9"/>
        <rFont val="Arial"/>
        <family val="2"/>
      </rPr>
      <t>L</t>
    </r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</si>
  <si>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L</t>
    </r>
    <phoneticPr fontId="1" type="noConversion"/>
  </si>
  <si>
    <t>A</t>
    <phoneticPr fontId="1" type="noConversion"/>
  </si>
  <si>
    <t>µA/V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</si>
  <si>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CS</t>
    </r>
    <phoneticPr fontId="1" type="noConversion"/>
  </si>
  <si>
    <t>pF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</si>
  <si>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OVP</t>
    </r>
    <phoneticPr fontId="1" type="noConversion"/>
  </si>
  <si>
    <t>Cin1</t>
    <phoneticPr fontId="1" type="noConversion"/>
  </si>
  <si>
    <t>Input Decoupling Capacitor</t>
    <phoneticPr fontId="1" type="noConversion"/>
  </si>
  <si>
    <t>Input Capacitor RMS Current</t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</si>
  <si>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Cin1-RMS</t>
    </r>
    <phoneticPr fontId="1" type="noConversion"/>
  </si>
  <si>
    <t>µF</t>
    <phoneticPr fontId="1" type="noConversion"/>
  </si>
  <si>
    <t xml:space="preserve">Output Capacitor </t>
    <phoneticPr fontId="3" type="noConversion"/>
  </si>
  <si>
    <t>Output Capacitor RMS Current</t>
    <phoneticPr fontId="1" type="noConversion"/>
  </si>
  <si>
    <t>Output Decoupling Capacitor</t>
    <phoneticPr fontId="1" type="noConversion"/>
  </si>
  <si>
    <t>Cout2</t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</si>
  <si>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Cout1-RMS</t>
    </r>
    <phoneticPr fontId="1" type="noConversion"/>
  </si>
  <si>
    <t>A</t>
    <phoneticPr fontId="1" type="noConversion"/>
  </si>
  <si>
    <t xml:space="preserve">VIN pin Decoupling Capacitor 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</si>
  <si>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VIN</t>
    </r>
    <phoneticPr fontId="1" type="noConversion"/>
  </si>
  <si>
    <t xml:space="preserve">Compensation Capacitor </t>
    <phoneticPr fontId="1" type="noConversion"/>
  </si>
  <si>
    <t>nF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</si>
  <si>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COMP</t>
    </r>
    <phoneticPr fontId="1" type="noConversion"/>
  </si>
  <si>
    <t>Boost Inductance</t>
    <phoneticPr fontId="3" type="noConversion"/>
  </si>
  <si>
    <t>Inductor Peak Current</t>
    <phoneticPr fontId="1" type="noConversion"/>
  </si>
  <si>
    <t>Inductor Ripple Current</t>
    <phoneticPr fontId="1" type="noConversion"/>
  </si>
  <si>
    <r>
      <t>D</t>
    </r>
    <r>
      <rPr>
        <sz val="11"/>
        <color indexed="8"/>
        <rFont val="Arial"/>
        <family val="2"/>
      </rPr>
      <t>uty Cycle</t>
    </r>
    <phoneticPr fontId="1" type="noConversion"/>
  </si>
  <si>
    <r>
      <t>Note, Compensation stage DC gain is much larger than power stage DC gain, adopt the single transconductance capacitor  compensation, can set the cross frequency at Min{f</t>
    </r>
    <r>
      <rPr>
        <vertAlign val="subscript"/>
        <sz val="9"/>
        <color indexed="8"/>
        <rFont val="Arial"/>
        <family val="2"/>
      </rPr>
      <t>Z2</t>
    </r>
    <r>
      <rPr>
        <sz val="9"/>
        <color indexed="8"/>
        <rFont val="Arial"/>
        <family val="2"/>
      </rPr>
      <t>, f</t>
    </r>
    <r>
      <rPr>
        <vertAlign val="subscript"/>
        <sz val="9"/>
        <color indexed="8"/>
        <rFont val="Arial"/>
        <family val="2"/>
      </rPr>
      <t>p1</t>
    </r>
    <r>
      <rPr>
        <sz val="9"/>
        <color indexed="8"/>
        <rFont val="Arial"/>
        <family val="2"/>
      </rPr>
      <t>},and get the minimum compensation capacitor.</t>
    </r>
    <phoneticPr fontId="1" type="noConversion"/>
  </si>
  <si>
    <r>
      <rPr>
        <sz val="11"/>
        <color indexed="8"/>
        <rFont val="Arial Unicode MS"/>
        <family val="2"/>
        <charset val="134"/>
      </rPr>
      <t>Δ</t>
    </r>
    <r>
      <rPr>
        <sz val="12.65"/>
        <color indexed="8"/>
        <rFont val="Arial Unicode MS"/>
        <family val="2"/>
        <charset val="134"/>
      </rPr>
      <t>V</t>
    </r>
    <r>
      <rPr>
        <sz val="12.65"/>
        <color indexed="8"/>
        <rFont val="Arial"/>
        <family val="2"/>
      </rPr>
      <t>in</t>
    </r>
    <phoneticPr fontId="1" type="noConversion"/>
  </si>
  <si>
    <t>µF</t>
    <phoneticPr fontId="1" type="noConversion"/>
  </si>
  <si>
    <r>
      <t>Recommended Compensation Capacitor Value
(3times C</t>
    </r>
    <r>
      <rPr>
        <vertAlign val="subscript"/>
        <sz val="11"/>
        <color indexed="8"/>
        <rFont val="Arial"/>
        <family val="2"/>
      </rPr>
      <t>COMP_min</t>
    </r>
    <r>
      <rPr>
        <sz val="11"/>
        <color indexed="8"/>
        <rFont val="Arial"/>
        <family val="2"/>
      </rPr>
      <t>)</t>
    </r>
    <phoneticPr fontId="1" type="noConversion"/>
  </si>
  <si>
    <r>
      <t>R</t>
    </r>
    <r>
      <rPr>
        <vertAlign val="subscript"/>
        <sz val="11"/>
        <color indexed="9"/>
        <rFont val="Arial"/>
        <family val="2"/>
      </rPr>
      <t>SL</t>
    </r>
    <phoneticPr fontId="1" type="noConversion"/>
  </si>
  <si>
    <t>OCP and CS Pin RC Filter Setting:</t>
    <phoneticPr fontId="1" type="noConversion"/>
  </si>
  <si>
    <t>RC Filter Resistor Setting</t>
    <phoneticPr fontId="1" type="noConversion"/>
  </si>
  <si>
    <t>KΩ</t>
    <phoneticPr fontId="3" type="noConversion"/>
  </si>
  <si>
    <t>KΩ</t>
    <phoneticPr fontId="1" type="noConversion"/>
  </si>
  <si>
    <t>KΩ</t>
    <phoneticPr fontId="1" type="noConversion"/>
  </si>
  <si>
    <t>KΩ</t>
    <phoneticPr fontId="1" type="noConversion"/>
  </si>
  <si>
    <r>
      <t>R</t>
    </r>
    <r>
      <rPr>
        <vertAlign val="subscript"/>
        <sz val="11"/>
        <color indexed="8"/>
        <rFont val="Arial"/>
        <family val="2"/>
      </rPr>
      <t>SL</t>
    </r>
    <phoneticPr fontId="1" type="noConversion"/>
  </si>
  <si>
    <t>Transconductance of Error Amplifier</t>
    <phoneticPr fontId="1" type="noConversion"/>
  </si>
  <si>
    <t>Boost System Main Output Pole</t>
    <phoneticPr fontId="1" type="noConversion"/>
  </si>
  <si>
    <t>Equivalent dymanic resistance of single LED</t>
    <phoneticPr fontId="1" type="noConversion"/>
  </si>
  <si>
    <r>
      <t>S</t>
    </r>
    <r>
      <rPr>
        <sz val="11"/>
        <color indexed="8"/>
        <rFont val="Arial"/>
        <family val="2"/>
      </rPr>
      <t>eries LED number</t>
    </r>
    <phoneticPr fontId="1" type="noConversion"/>
  </si>
  <si>
    <t>Equivalent DC load resistance</t>
    <phoneticPr fontId="1" type="noConversion"/>
  </si>
  <si>
    <t>ESR_max</t>
    <phoneticPr fontId="1" type="noConversion"/>
  </si>
  <si>
    <r>
      <t>I</t>
    </r>
    <r>
      <rPr>
        <vertAlign val="subscript"/>
        <sz val="9"/>
        <color indexed="8"/>
        <rFont val="Arial"/>
        <family val="2"/>
      </rPr>
      <t>L</t>
    </r>
    <r>
      <rPr>
        <vertAlign val="subscript"/>
        <sz val="11"/>
        <color indexed="8"/>
        <rFont val="Arial"/>
        <family val="2"/>
      </rPr>
      <t>peak</t>
    </r>
    <phoneticPr fontId="3" type="noConversion"/>
  </si>
  <si>
    <r>
      <t>R</t>
    </r>
    <r>
      <rPr>
        <sz val="9"/>
        <color indexed="8"/>
        <rFont val="Arial"/>
        <family val="2"/>
      </rPr>
      <t>OVP2</t>
    </r>
    <phoneticPr fontId="3" type="noConversion"/>
  </si>
  <si>
    <r>
      <t>R</t>
    </r>
    <r>
      <rPr>
        <sz val="9"/>
        <color indexed="8"/>
        <rFont val="Arial"/>
        <family val="2"/>
      </rPr>
      <t>OVP1</t>
    </r>
    <phoneticPr fontId="1" type="noConversion"/>
  </si>
  <si>
    <r>
      <t>S</t>
    </r>
    <r>
      <rPr>
        <sz val="11"/>
        <color theme="1"/>
        <rFont val="Arial"/>
        <family val="2"/>
      </rPr>
      <t>elected basing on calculated</t>
    </r>
    <phoneticPr fontId="1" type="noConversion"/>
  </si>
  <si>
    <r>
      <t>Δ</t>
    </r>
    <r>
      <rPr>
        <sz val="12.65"/>
        <color indexed="8"/>
        <rFont val="Arial Unicode MS"/>
        <family val="2"/>
        <charset val="134"/>
      </rPr>
      <t>vout</t>
    </r>
    <phoneticPr fontId="1" type="noConversion"/>
  </si>
  <si>
    <t xml:space="preserve">AL8853 Final BOM </t>
    <phoneticPr fontId="1" type="noConversion"/>
  </si>
  <si>
    <t>AL8853 Application Schematic</t>
    <phoneticPr fontId="3" type="noConversion"/>
  </si>
  <si>
    <t>AL8853 Design Calculator V2.1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</si>
</sst>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"/>
    <numFmt numFmtId="165" formatCode="0.0000_ "/>
  </numFmts>
  <fonts count="25">
    <font>
      <sz val="11"/>
      <color theme="1"/>
      <name val="Calibri"/>
      <charset val="134"/>
      <scheme val="minor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Unicode MS"/>
      <family val="2"/>
      <charset val="13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9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color indexed="9"/>
      <name val="Arial"/>
      <family val="2"/>
    </font>
    <font>
      <sz val="12.65"/>
      <color indexed="8"/>
      <name val="Arial"/>
      <family val="2"/>
    </font>
    <font>
      <sz val="12.65"/>
      <color indexed="8"/>
      <name val="Arial Unicode MS"/>
      <family val="2"/>
      <charset val="134"/>
    </font>
    <font>
      <vertAlign val="subscript"/>
      <sz val="12.65"/>
      <color indexed="8"/>
      <name val="Arial"/>
      <family val="2"/>
    </font>
    <font>
      <vertAlign val="subscript"/>
      <sz val="11"/>
      <color indexed="8"/>
      <name val="Arial Unicode MS"/>
      <family val="2"/>
      <charset val="134"/>
    </font>
    <font>
      <vertAlign val="subscript"/>
      <sz val="11"/>
      <color indexed="9"/>
      <name val="Arial"/>
      <family val="2"/>
    </font>
    <font>
      <vertAlign val="subscript"/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Fill="1" applyAlignment="1"/>
    <xf numFmtId="0" fontId="11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Fill="1" applyAlignment="1"/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11" fillId="0" borderId="10" xfId="0" applyFont="1" applyBorder="1" applyAlignment="1"/>
    <xf numFmtId="0" fontId="5" fillId="0" borderId="0" xfId="0" applyFont="1">
      <alignment vertical="center"/>
    </xf>
    <xf numFmtId="0" fontId="10" fillId="0" borderId="1" xfId="0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10" fillId="5" borderId="1" xfId="0" applyFont="1" applyFill="1" applyBorder="1" applyProtection="1">
      <alignment vertical="center"/>
    </xf>
    <xf numFmtId="165" fontId="10" fillId="5" borderId="1" xfId="0" applyNumberFormat="1" applyFont="1" applyFill="1" applyBorder="1" applyProtection="1">
      <alignment vertical="center"/>
    </xf>
    <xf numFmtId="0" fontId="5" fillId="5" borderId="2" xfId="0" applyFont="1" applyFill="1" applyBorder="1">
      <alignment vertical="center"/>
    </xf>
    <xf numFmtId="165" fontId="10" fillId="5" borderId="1" xfId="0" applyNumberFormat="1" applyFont="1" applyFill="1" applyBorder="1">
      <alignment vertical="center"/>
    </xf>
    <xf numFmtId="0" fontId="5" fillId="5" borderId="1" xfId="0" applyFont="1" applyFill="1" applyBorder="1">
      <alignment vertical="center"/>
    </xf>
    <xf numFmtId="165" fontId="5" fillId="5" borderId="1" xfId="0" applyNumberFormat="1" applyFont="1" applyFill="1" applyBorder="1">
      <alignment vertical="center"/>
    </xf>
    <xf numFmtId="0" fontId="11" fillId="5" borderId="0" xfId="0" applyFont="1" applyFill="1" applyBorder="1" applyAlignment="1"/>
    <xf numFmtId="0" fontId="10" fillId="5" borderId="1" xfId="0" applyFont="1" applyFill="1" applyBorder="1" applyProtection="1">
      <alignment vertical="center"/>
      <protection locked="0"/>
    </xf>
    <xf numFmtId="165" fontId="5" fillId="5" borderId="3" xfId="0" applyNumberFormat="1" applyFont="1" applyFill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>
      <alignment vertical="center"/>
    </xf>
    <xf numFmtId="0" fontId="10" fillId="6" borderId="1" xfId="0" applyFont="1" applyFill="1" applyBorder="1" applyProtection="1">
      <alignment vertical="center"/>
      <protection locked="0"/>
    </xf>
    <xf numFmtId="0" fontId="10" fillId="6" borderId="1" xfId="0" applyFont="1" applyFill="1" applyBorder="1">
      <alignment vertical="center"/>
    </xf>
    <xf numFmtId="0" fontId="5" fillId="6" borderId="1" xfId="0" applyFont="1" applyFill="1" applyBorder="1" applyProtection="1">
      <alignment vertical="center"/>
      <protection locked="0"/>
    </xf>
    <xf numFmtId="0" fontId="5" fillId="6" borderId="1" xfId="0" applyFont="1" applyFill="1" applyBorder="1" applyAlignment="1">
      <alignment horizontal="right" vertical="center"/>
    </xf>
    <xf numFmtId="0" fontId="9" fillId="6" borderId="1" xfId="0" applyFont="1" applyFill="1" applyBorder="1" applyProtection="1">
      <alignment vertical="center"/>
      <protection locked="0"/>
    </xf>
    <xf numFmtId="0" fontId="11" fillId="6" borderId="0" xfId="0" applyFont="1" applyFill="1" applyBorder="1" applyAlignment="1" applyProtection="1"/>
    <xf numFmtId="0" fontId="14" fillId="3" borderId="1" xfId="0" applyFont="1" applyFill="1" applyBorder="1" applyAlignment="1">
      <alignment horizontal="left" vertical="center"/>
    </xf>
    <xf numFmtId="0" fontId="13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3" borderId="1" xfId="0" applyFont="1" applyFill="1" applyBorder="1" applyProtection="1">
      <alignment vertical="center"/>
      <protection locked="0"/>
    </xf>
    <xf numFmtId="165" fontId="13" fillId="3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164" fontId="13" fillId="3" borderId="1" xfId="0" applyNumberFormat="1" applyFont="1" applyFill="1" applyBorder="1">
      <alignment vertical="center"/>
    </xf>
    <xf numFmtId="0" fontId="10" fillId="8" borderId="1" xfId="0" applyFont="1" applyFill="1" applyBorder="1">
      <alignment vertical="center"/>
    </xf>
    <xf numFmtId="0" fontId="5" fillId="8" borderId="1" xfId="0" applyFont="1" applyFill="1" applyBorder="1">
      <alignment vertical="center"/>
    </xf>
    <xf numFmtId="0" fontId="11" fillId="0" borderId="0" xfId="0" applyFont="1" applyFill="1" applyBorder="1" applyAlignment="1"/>
    <xf numFmtId="0" fontId="5" fillId="5" borderId="1" xfId="0" applyFont="1" applyFill="1" applyBorder="1" applyProtection="1">
      <alignment vertical="center"/>
      <protection locked="0"/>
    </xf>
    <xf numFmtId="164" fontId="10" fillId="8" borderId="1" xfId="0" applyNumberFormat="1" applyFont="1" applyFill="1" applyBorder="1" applyProtection="1">
      <alignment vertical="center"/>
      <protection locked="0"/>
    </xf>
    <xf numFmtId="0" fontId="5" fillId="8" borderId="1" xfId="0" applyFont="1" applyFill="1" applyBorder="1" applyProtection="1">
      <alignment vertical="center"/>
      <protection locked="0"/>
    </xf>
    <xf numFmtId="0" fontId="0" fillId="8" borderId="0" xfId="0" applyFill="1">
      <alignment vertical="center"/>
    </xf>
    <xf numFmtId="0" fontId="5" fillId="8" borderId="1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/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CCFF"/>
      <color rgb="FF666633"/>
      <color rgb="FF0033CC"/>
      <color rgb="FF99FF66"/>
      <color rgb="FF6666FF"/>
      <color rgb="FF00FF99"/>
      <color rgb="FF66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1880151</xdr:colOff>
      <xdr:row>5</xdr:row>
      <xdr:rowOff>16566</xdr:rowOff>
    </xdr:from>
    <xdr:to>
      <xdr:col>1</xdr:col>
      <xdr:colOff>2343977</xdr:colOff>
      <xdr:row>6</xdr:row>
      <xdr:rowOff>41414</xdr:rowOff>
    </xdr:to>
    <xdr:sp macro="" textlink="$E$20">
      <xdr:nvSpPr>
        <xdr:cNvPr id="2" name="TextBox 1"/>
        <xdr:cNvSpPr txBox="1"/>
      </xdr:nvSpPr>
      <xdr:spPr>
        <a:xfrm>
          <a:off x="3834847" y="1051892"/>
          <a:ext cx="463826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DE7E538-0D4C-43D8-B707-E4FB45EC4436}" type="TxLink">
            <a:rPr lang="en-US" altLang="en-US" sz="1100" b="0" i="0" u="none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zh-CN" altLang="en-US" sz="1100">
            <a:ln>
              <a:noFill/>
            </a:ln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2</xdr:row>
          <xdr:rowOff>66675</xdr:rowOff>
        </xdr:from>
        <xdr:to>
          <xdr:col>2</xdr:col>
          <xdr:colOff>781050</xdr:colOff>
          <xdr:row>17</xdr:row>
          <xdr:rowOff>76200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19"/>
  <sheetViews>
    <sheetView tabSelected="1" topLeftCell="A16" zoomScaleNormal="100" workbookViewId="0">
      <selection activeCell="C24" sqref="C24"/>
    </sheetView>
  </sheetViews>
  <sheetFormatPr defaultRowHeight="15"/>
  <cols>
    <col min="1" max="1" width="28.7109375" customWidth="1"/>
    <col min="2" max="2" width="51.42578125" customWidth="1"/>
    <col min="3" max="3" width="16.140625" bestFit="1" customWidth="1"/>
    <col min="4" max="4" width="9.5703125" customWidth="1"/>
    <col min="5" max="5" width="25.28515625" customWidth="1"/>
    <col min="6" max="6" width="9.7109375" customWidth="1"/>
    <col min="7" max="7" width="10.140625" customWidth="1"/>
    <col min="8" max="8" width="12.42578125" customWidth="1"/>
    <col min="9" max="9" width="12.5703125" customWidth="1"/>
    <col min="12" max="12" width="16.42578125" customWidth="1"/>
    <col min="13" max="13" width="9.28515625" customWidth="1"/>
  </cols>
  <sheetData>
    <row r="1" spans="1:21" s="8" customFormat="1" ht="25.5" customHeight="1">
      <c r="A1" s="69" t="s">
        <v>194</v>
      </c>
      <c r="B1" s="70"/>
      <c r="C1" s="70"/>
      <c r="D1" s="7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8" customFormat="1" ht="18.75" customHeight="1">
      <c r="A2" s="66" t="s">
        <v>193</v>
      </c>
      <c r="B2" s="67"/>
      <c r="C2" s="67"/>
      <c r="D2" s="6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>
      <c r="A3" s="10"/>
      <c r="B3" s="11"/>
      <c r="C3" s="11"/>
      <c r="D3" s="12"/>
      <c r="E3" s="1"/>
      <c r="F3" s="1"/>
      <c r="G3" s="1"/>
      <c r="H3" s="1"/>
      <c r="I3" s="1"/>
      <c r="J3" s="1"/>
      <c r="O3" s="1"/>
      <c r="P3" s="1"/>
      <c r="Q3" s="1"/>
      <c r="R3" s="1"/>
      <c r="S3" s="1"/>
      <c r="T3" s="1"/>
      <c r="U3" s="1"/>
    </row>
    <row r="4" spans="1:21" ht="16.5">
      <c r="A4" s="13"/>
      <c r="B4" s="14"/>
      <c r="C4" s="14"/>
      <c r="D4" s="15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>
      <c r="A5" s="16"/>
      <c r="B5" s="17"/>
      <c r="C5" s="14"/>
      <c r="D5" s="15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>
      <c r="A6" s="18"/>
      <c r="B6" s="19"/>
      <c r="C6" s="14"/>
      <c r="D6" s="15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>
      <c r="A7" s="18"/>
      <c r="B7" s="19"/>
      <c r="C7" s="14"/>
      <c r="D7" s="15"/>
      <c r="E7" s="1"/>
      <c r="F7" s="1"/>
      <c r="G7" s="1"/>
      <c r="H7" s="1"/>
      <c r="I7" s="1"/>
      <c r="J7" s="1"/>
      <c r="O7" s="1"/>
      <c r="P7" s="1"/>
      <c r="Q7" s="1"/>
      <c r="R7" s="1"/>
      <c r="S7" s="1"/>
      <c r="T7" s="1"/>
      <c r="U7" s="1"/>
    </row>
    <row r="8" spans="1:21" ht="16.5">
      <c r="A8" s="18"/>
      <c r="B8" s="19"/>
      <c r="C8" s="14"/>
      <c r="D8" s="15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>
      <c r="A9" s="18"/>
      <c r="B9" s="19"/>
      <c r="C9" s="14"/>
      <c r="D9" s="15"/>
      <c r="E9" s="1"/>
      <c r="F9" s="1"/>
      <c r="G9" s="1"/>
      <c r="H9" s="1"/>
      <c r="I9" s="1"/>
      <c r="J9" s="1"/>
      <c r="O9" s="1"/>
      <c r="P9" s="1"/>
      <c r="Q9" s="1"/>
      <c r="R9" s="1"/>
      <c r="S9" s="1"/>
      <c r="T9" s="1"/>
      <c r="U9" s="1"/>
    </row>
    <row r="10" spans="1:21" ht="16.5">
      <c r="A10" s="18"/>
      <c r="C10" s="17"/>
      <c r="D10" s="15"/>
      <c r="E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>
      <c r="A11" s="18"/>
      <c r="B11" s="19"/>
      <c r="C11" s="14"/>
      <c r="D11" s="15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>
      <c r="A12" s="18"/>
      <c r="B12" s="19"/>
      <c r="C12" s="14"/>
      <c r="D12" s="15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>
      <c r="A13" s="18"/>
      <c r="B13" s="19"/>
      <c r="G13" s="1"/>
      <c r="H13" s="1"/>
      <c r="I13" s="1"/>
      <c r="J13" s="1"/>
      <c r="O13" s="1"/>
      <c r="P13" s="1"/>
      <c r="R13" s="1"/>
      <c r="S13" s="1"/>
      <c r="T13" s="1"/>
      <c r="U13" s="1"/>
    </row>
    <row r="14" spans="1:21" ht="16.5">
      <c r="A14" s="18"/>
      <c r="B14" s="19"/>
      <c r="G14" s="1"/>
      <c r="H14" s="6"/>
      <c r="I14" s="5"/>
      <c r="J14" s="5"/>
      <c r="L14" s="1"/>
      <c r="M14" s="1"/>
      <c r="N14" s="1"/>
      <c r="O14" s="1"/>
      <c r="P14" s="1"/>
      <c r="R14" s="1"/>
      <c r="S14" s="1"/>
      <c r="T14" s="1"/>
      <c r="U14" s="1"/>
    </row>
    <row r="15" spans="1:21" ht="16.5">
      <c r="A15" s="18"/>
      <c r="B15" s="19"/>
      <c r="C15" s="51"/>
      <c r="D15" s="40"/>
      <c r="E15" s="20" t="s">
        <v>16</v>
      </c>
      <c r="G15" s="1"/>
      <c r="H15" s="6"/>
      <c r="I15" s="5"/>
      <c r="J15" s="5"/>
      <c r="L15" s="1"/>
      <c r="M15" s="1"/>
      <c r="N15" s="1"/>
      <c r="O15" s="1"/>
      <c r="P15" s="1"/>
      <c r="R15" s="1"/>
      <c r="S15" s="1"/>
      <c r="T15" s="1"/>
      <c r="U15" s="1"/>
    </row>
    <row r="16" spans="1:21" ht="16.5">
      <c r="A16" s="18"/>
      <c r="B16" s="19"/>
      <c r="C16" s="51"/>
      <c r="D16" s="30"/>
      <c r="E16" s="20" t="s">
        <v>15</v>
      </c>
      <c r="G16" s="1"/>
      <c r="H16" s="6"/>
      <c r="I16" s="5"/>
      <c r="J16" s="5"/>
      <c r="L16" s="1"/>
      <c r="M16" s="1"/>
      <c r="N16" s="1"/>
      <c r="O16" s="1"/>
      <c r="P16" s="1"/>
      <c r="R16" s="1"/>
      <c r="S16" s="1"/>
      <c r="T16" s="1"/>
      <c r="U16" s="1"/>
    </row>
    <row r="17" spans="1:21" ht="16.5">
      <c r="A17" s="18"/>
      <c r="B17" s="19"/>
      <c r="D17" s="55"/>
      <c r="E17" s="20" t="s">
        <v>190</v>
      </c>
      <c r="G17" s="1"/>
      <c r="H17" s="6"/>
      <c r="I17" s="5"/>
      <c r="J17" s="5"/>
      <c r="L17" s="1"/>
      <c r="M17" s="1"/>
      <c r="N17" s="1"/>
      <c r="O17" s="1"/>
      <c r="P17" s="1"/>
      <c r="R17" s="1"/>
      <c r="S17" s="1"/>
      <c r="T17" s="1"/>
      <c r="U17" s="1"/>
    </row>
    <row r="18" spans="1:21" ht="16.5">
      <c r="A18" s="18"/>
      <c r="B18" s="19"/>
      <c r="G18" s="1"/>
      <c r="H18" s="6"/>
      <c r="I18" s="5"/>
      <c r="J18" s="5"/>
      <c r="L18" s="1"/>
      <c r="M18" s="1"/>
      <c r="N18" s="1"/>
      <c r="O18" s="1"/>
      <c r="P18" s="1"/>
      <c r="R18" s="1"/>
      <c r="S18" s="1"/>
      <c r="T18" s="1"/>
      <c r="U18" s="1"/>
    </row>
    <row r="19" spans="1:21" s="8" customFormat="1" ht="16.5">
      <c r="A19" s="67" t="s">
        <v>0</v>
      </c>
      <c r="B19" s="67"/>
      <c r="C19" s="67"/>
      <c r="D19" s="6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6.5">
      <c r="A20" s="34" t="s">
        <v>52</v>
      </c>
      <c r="B20" s="34" t="s">
        <v>53</v>
      </c>
      <c r="C20" s="35">
        <v>10</v>
      </c>
      <c r="D20" s="35" t="s">
        <v>1</v>
      </c>
      <c r="E20" s="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</row>
    <row r="21" spans="1:21" ht="16.5">
      <c r="A21" s="36" t="s">
        <v>2</v>
      </c>
      <c r="B21" s="36" t="s">
        <v>38</v>
      </c>
      <c r="C21" s="35">
        <v>37</v>
      </c>
      <c r="D21" s="35" t="s">
        <v>1</v>
      </c>
      <c r="E21" s="2"/>
      <c r="F21" s="2"/>
      <c r="G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</row>
    <row r="22" spans="1:21" ht="16.5">
      <c r="A22" s="35" t="s">
        <v>18</v>
      </c>
      <c r="B22" s="35" t="s">
        <v>39</v>
      </c>
      <c r="C22" s="35">
        <v>150</v>
      </c>
      <c r="D22" s="35" t="s">
        <v>8</v>
      </c>
      <c r="E22" s="3"/>
      <c r="F22" s="3"/>
      <c r="G22" s="3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</row>
    <row r="23" spans="1:21" ht="16.5">
      <c r="A23" s="37" t="s">
        <v>60</v>
      </c>
      <c r="B23" s="37" t="s">
        <v>184</v>
      </c>
      <c r="C23" s="35">
        <v>11</v>
      </c>
      <c r="D23" s="37" t="s">
        <v>59</v>
      </c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</row>
    <row r="24" spans="1:21" ht="18.75">
      <c r="A24" s="37" t="s">
        <v>61</v>
      </c>
      <c r="B24" s="37" t="s">
        <v>183</v>
      </c>
      <c r="C24" s="35">
        <v>0.5</v>
      </c>
      <c r="D24" s="37" t="s">
        <v>62</v>
      </c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</row>
    <row r="25" spans="1:21" ht="18.75">
      <c r="A25" s="37" t="s">
        <v>64</v>
      </c>
      <c r="B25" s="37" t="s">
        <v>63</v>
      </c>
      <c r="C25" s="35">
        <f>C23*C24</f>
        <v>5.5</v>
      </c>
      <c r="D25" s="37" t="s">
        <v>62</v>
      </c>
      <c r="E25" s="3"/>
      <c r="F25" s="3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</row>
    <row r="26" spans="1:21" ht="18.75">
      <c r="A26" s="37" t="s">
        <v>65</v>
      </c>
      <c r="B26" s="37" t="s">
        <v>185</v>
      </c>
      <c r="C26" s="35">
        <f>C21/C22*1000</f>
        <v>246.66666666666669</v>
      </c>
      <c r="D26" s="37" t="s">
        <v>62</v>
      </c>
      <c r="E26" s="3"/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</row>
    <row r="27" spans="1:21" ht="16.5">
      <c r="A27" s="36" t="s">
        <v>10</v>
      </c>
      <c r="B27" s="36" t="s">
        <v>41</v>
      </c>
      <c r="C27" s="35">
        <v>90</v>
      </c>
      <c r="D27" s="35" t="s">
        <v>5</v>
      </c>
      <c r="E27" s="3"/>
      <c r="F27" s="3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</row>
    <row r="28" spans="1:21" ht="16.5">
      <c r="A28" s="23" t="s">
        <v>19</v>
      </c>
      <c r="B28" s="23" t="s">
        <v>40</v>
      </c>
      <c r="C28" s="24">
        <f>C22</f>
        <v>150</v>
      </c>
      <c r="D28" s="23" t="s">
        <v>8</v>
      </c>
      <c r="E28" s="2"/>
      <c r="F28" s="2"/>
      <c r="G28" s="2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</row>
    <row r="29" spans="1:21" ht="16.5">
      <c r="A29" s="23" t="s">
        <v>3</v>
      </c>
      <c r="B29" s="28" t="s">
        <v>168</v>
      </c>
      <c r="C29" s="25">
        <f>(1-C20/C21)*100</f>
        <v>72.972972972972968</v>
      </c>
      <c r="D29" s="23" t="s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</row>
    <row r="30" spans="1:21" ht="16.5">
      <c r="A30" s="23" t="s">
        <v>4</v>
      </c>
      <c r="B30" s="23"/>
      <c r="C30" s="25">
        <f>100-C29</f>
        <v>27.027027027027032</v>
      </c>
      <c r="D30" s="23" t="s">
        <v>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</row>
    <row r="31" spans="1:21" s="8" customFormat="1" ht="16.5">
      <c r="A31" s="63" t="s">
        <v>36</v>
      </c>
      <c r="B31" s="64"/>
      <c r="C31" s="64"/>
      <c r="D31" s="6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7"/>
    </row>
    <row r="32" spans="1:21" ht="16.5">
      <c r="A32" s="26" t="s">
        <v>54</v>
      </c>
      <c r="B32" s="26" t="s">
        <v>56</v>
      </c>
      <c r="C32" s="27">
        <f>200/C28</f>
        <v>1.3333333333333333</v>
      </c>
      <c r="D32" s="25" t="s">
        <v>47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</row>
    <row r="33" spans="1:21" s="8" customFormat="1" ht="16.5">
      <c r="A33" s="60" t="s">
        <v>6</v>
      </c>
      <c r="B33" s="60"/>
      <c r="C33" s="60"/>
      <c r="D33" s="6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7"/>
    </row>
    <row r="34" spans="1:21" ht="16.5">
      <c r="A34" s="23" t="s">
        <v>7</v>
      </c>
      <c r="B34" s="23"/>
      <c r="C34" s="24">
        <v>120</v>
      </c>
      <c r="D34" s="31" t="s">
        <v>48</v>
      </c>
      <c r="E34" s="2"/>
      <c r="F34" s="2"/>
      <c r="G34" s="2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</row>
    <row r="35" spans="1:21" s="8" customFormat="1" ht="16.5">
      <c r="A35" s="63" t="s">
        <v>9</v>
      </c>
      <c r="B35" s="64"/>
      <c r="C35" s="64"/>
      <c r="D35" s="6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7"/>
    </row>
    <row r="36" spans="1:21" ht="18.75">
      <c r="A36" s="23" t="s">
        <v>11</v>
      </c>
      <c r="B36" s="23" t="s">
        <v>42</v>
      </c>
      <c r="C36" s="27">
        <f>(C20/C21)^2*((C21-C20)/(C28/1000*C34*1000))*(C27/100/2)*1000000</f>
        <v>49.306062819576333</v>
      </c>
      <c r="D36" s="29" t="s">
        <v>96</v>
      </c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spans="1:21" ht="16.5">
      <c r="A37" s="49" t="s">
        <v>17</v>
      </c>
      <c r="B37" s="49" t="s">
        <v>43</v>
      </c>
      <c r="C37" s="53">
        <v>100</v>
      </c>
      <c r="D37" s="54" t="s">
        <v>97</v>
      </c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</row>
    <row r="38" spans="1:21" ht="18.75">
      <c r="A38" s="28" t="s">
        <v>187</v>
      </c>
      <c r="B38" s="28" t="s">
        <v>44</v>
      </c>
      <c r="C38" s="27">
        <f>((C21*C28/1000)/((C27/100)*C20))+(((C21-C20)*C20*1000)/(2*C37*C34*C21))</f>
        <v>0.92072072072072075</v>
      </c>
      <c r="D38" s="27" t="s">
        <v>49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</row>
    <row r="39" spans="1:21" ht="19.5">
      <c r="A39" s="28" t="s">
        <v>83</v>
      </c>
      <c r="B39" s="28" t="s">
        <v>70</v>
      </c>
      <c r="C39" s="27">
        <f>(C21-C20)*C20/(C37*0.000001)/(C34*1000)/C21</f>
        <v>0.60810810810810823</v>
      </c>
      <c r="D39" s="29" t="s">
        <v>71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</row>
    <row r="40" spans="1:21" ht="18.75">
      <c r="A40" s="28" t="s">
        <v>82</v>
      </c>
      <c r="B40" s="28" t="s">
        <v>81</v>
      </c>
      <c r="C40" s="27">
        <f>C21*C28*0.001/C20/(C27*0.01)</f>
        <v>0.61666666666666659</v>
      </c>
      <c r="D40" s="29" t="s">
        <v>84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</row>
    <row r="41" spans="1:21" s="8" customFormat="1" ht="16.5">
      <c r="A41" s="63" t="s">
        <v>37</v>
      </c>
      <c r="B41" s="64"/>
      <c r="C41" s="64"/>
      <c r="D41" s="6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7"/>
    </row>
    <row r="42" spans="1:21" ht="16.5">
      <c r="A42" s="28" t="s">
        <v>55</v>
      </c>
      <c r="B42" s="28" t="s">
        <v>45</v>
      </c>
      <c r="C42" s="27">
        <f>0.3/C38/2</f>
        <v>0.16291585127201563</v>
      </c>
      <c r="D42" s="27" t="s">
        <v>50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</row>
    <row r="43" spans="1:21" ht="18.75">
      <c r="A43" s="28" t="s">
        <v>113</v>
      </c>
      <c r="B43" s="28" t="s">
        <v>111</v>
      </c>
      <c r="C43" s="27">
        <v>47</v>
      </c>
      <c r="D43" s="29" t="s">
        <v>112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</row>
    <row r="44" spans="1:21" ht="18.75">
      <c r="A44" s="28" t="s">
        <v>114</v>
      </c>
      <c r="B44" s="28" t="s">
        <v>115</v>
      </c>
      <c r="C44" s="27">
        <v>100</v>
      </c>
      <c r="D44" s="29" t="s">
        <v>112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</row>
    <row r="45" spans="1:21" ht="18.75">
      <c r="A45" s="28" t="s">
        <v>180</v>
      </c>
      <c r="B45" s="28" t="s">
        <v>175</v>
      </c>
      <c r="C45" s="27">
        <v>1</v>
      </c>
      <c r="D45" s="32" t="s">
        <v>177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</row>
    <row r="46" spans="1:21" s="8" customFormat="1" ht="16.5">
      <c r="A46" s="63" t="s">
        <v>12</v>
      </c>
      <c r="B46" s="64"/>
      <c r="C46" s="64"/>
      <c r="D46" s="6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7"/>
    </row>
    <row r="47" spans="1:21" ht="16.5">
      <c r="A47" s="35" t="s">
        <v>13</v>
      </c>
      <c r="B47" s="35" t="s">
        <v>46</v>
      </c>
      <c r="C47" s="37">
        <v>50</v>
      </c>
      <c r="D47" s="35" t="s">
        <v>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</row>
    <row r="48" spans="1:21" ht="16.5">
      <c r="A48" s="28" t="s">
        <v>189</v>
      </c>
      <c r="B48" s="28" t="s">
        <v>57</v>
      </c>
      <c r="C48" s="31">
        <v>475</v>
      </c>
      <c r="D48" s="52" t="s">
        <v>176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</row>
    <row r="49" spans="1:21" ht="16.5">
      <c r="A49" s="29" t="s">
        <v>188</v>
      </c>
      <c r="B49" s="29" t="s">
        <v>58</v>
      </c>
      <c r="C49" s="27">
        <f>2*C48/(C47-2)</f>
        <v>19.791666666666668</v>
      </c>
      <c r="D49" s="27" t="s">
        <v>51</v>
      </c>
      <c r="E49" s="2"/>
      <c r="F49" s="2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</row>
    <row r="50" spans="1:21" ht="18.75">
      <c r="A50" s="29" t="s">
        <v>108</v>
      </c>
      <c r="B50" s="29" t="s">
        <v>106</v>
      </c>
      <c r="C50" s="27">
        <v>100</v>
      </c>
      <c r="D50" s="29" t="s">
        <v>107</v>
      </c>
      <c r="E50" s="2"/>
      <c r="F50" s="2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</row>
    <row r="51" spans="1:21" ht="18.75">
      <c r="A51" s="29" t="s">
        <v>109</v>
      </c>
      <c r="B51" s="29" t="s">
        <v>110</v>
      </c>
      <c r="C51" s="27">
        <v>470</v>
      </c>
      <c r="D51" s="29" t="s">
        <v>107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</row>
    <row r="52" spans="1:21" ht="16.5">
      <c r="A52" s="63" t="s">
        <v>67</v>
      </c>
      <c r="B52" s="64"/>
      <c r="C52" s="64"/>
      <c r="D52" s="6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</row>
    <row r="53" spans="1:21" ht="18.75">
      <c r="A53" s="37" t="s">
        <v>170</v>
      </c>
      <c r="B53" s="37" t="s">
        <v>76</v>
      </c>
      <c r="C53" s="37">
        <f>0.01*C20</f>
        <v>0.1</v>
      </c>
      <c r="D53" s="35" t="s">
        <v>14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</row>
    <row r="54" spans="1:21" ht="16.5">
      <c r="A54" s="28" t="s">
        <v>68</v>
      </c>
      <c r="B54" s="28" t="s">
        <v>69</v>
      </c>
      <c r="C54" s="23">
        <f>C39*C29*0.01/2/C53/(C34*1000)*1000000</f>
        <v>18.489773557341124</v>
      </c>
      <c r="D54" s="28" t="s">
        <v>95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</row>
    <row r="55" spans="1:21" ht="18.75">
      <c r="A55" s="28" t="s">
        <v>73</v>
      </c>
      <c r="B55" s="28" t="s">
        <v>72</v>
      </c>
      <c r="C55" s="23">
        <f>C39*SQRT(1/12)*1000</f>
        <v>175.54568995630515</v>
      </c>
      <c r="D55" s="28" t="s">
        <v>74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</row>
    <row r="56" spans="1:21" ht="16.5">
      <c r="A56" s="50" t="s">
        <v>90</v>
      </c>
      <c r="B56" s="50" t="s">
        <v>80</v>
      </c>
      <c r="C56" s="56">
        <v>22</v>
      </c>
      <c r="D56" s="50" t="s">
        <v>94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</row>
    <row r="57" spans="1:21" ht="16.5">
      <c r="A57" s="34" t="s">
        <v>91</v>
      </c>
      <c r="B57" s="34" t="s">
        <v>92</v>
      </c>
      <c r="C57" s="38">
        <v>0.1</v>
      </c>
      <c r="D57" s="34" t="s">
        <v>94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</row>
    <row r="58" spans="1:21" ht="16.5">
      <c r="A58" s="63" t="s">
        <v>75</v>
      </c>
      <c r="B58" s="64"/>
      <c r="C58" s="64"/>
      <c r="D58" s="6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</row>
    <row r="59" spans="1:21" ht="18.75">
      <c r="A59" s="39" t="s">
        <v>191</v>
      </c>
      <c r="B59" s="37" t="s">
        <v>77</v>
      </c>
      <c r="C59" s="37">
        <f>0.001*C21</f>
        <v>3.6999999999999998E-2</v>
      </c>
      <c r="D59" s="35" t="s">
        <v>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</row>
    <row r="60" spans="1:21" ht="16.5">
      <c r="A60" s="28" t="s">
        <v>79</v>
      </c>
      <c r="B60" s="28" t="s">
        <v>78</v>
      </c>
      <c r="C60" s="23">
        <f>C28*0.001*C29*0.01/(C34*1000)/C59*1000000</f>
        <v>24.653031409788166</v>
      </c>
      <c r="D60" s="28" t="s">
        <v>94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</row>
    <row r="61" spans="1:21" ht="18.75">
      <c r="A61" s="28" t="s">
        <v>88</v>
      </c>
      <c r="B61" s="28" t="s">
        <v>89</v>
      </c>
      <c r="C61" s="28">
        <f>SQRT(C30*0.01*C29*0.01*C40*C40+C30*0.01*C39*C39/12)</f>
        <v>0.28866715578262647</v>
      </c>
      <c r="D61" s="28" t="s">
        <v>84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</row>
    <row r="62" spans="1:21" ht="16.5">
      <c r="A62" s="28" t="s">
        <v>186</v>
      </c>
      <c r="B62" s="28" t="s">
        <v>85</v>
      </c>
      <c r="C62" s="28">
        <f>C59/(C28*0.001/(C30*0.01)+C39/2)*1000</f>
        <v>43.070630800692157</v>
      </c>
      <c r="D62" s="28" t="s">
        <v>87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</row>
    <row r="63" spans="1:21" ht="16.5">
      <c r="A63" s="50" t="s">
        <v>98</v>
      </c>
      <c r="B63" s="50" t="s">
        <v>80</v>
      </c>
      <c r="C63" s="56">
        <v>33</v>
      </c>
      <c r="D63" s="50" t="s">
        <v>94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</row>
    <row r="64" spans="1:21" ht="16.5">
      <c r="A64" s="34" t="s">
        <v>99</v>
      </c>
      <c r="B64" s="34" t="s">
        <v>100</v>
      </c>
      <c r="C64" s="38">
        <v>0.1</v>
      </c>
      <c r="D64" s="34" t="s">
        <v>117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</row>
    <row r="65" spans="1:21" ht="16.5">
      <c r="A65" s="63" t="s">
        <v>101</v>
      </c>
      <c r="B65" s="64"/>
      <c r="C65" s="64"/>
      <c r="D65" s="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</row>
    <row r="66" spans="1:21" ht="18">
      <c r="A66" s="39" t="s">
        <v>102</v>
      </c>
      <c r="B66" s="37" t="s">
        <v>103</v>
      </c>
      <c r="C66" s="37">
        <v>0.47</v>
      </c>
      <c r="D66" s="34" t="s">
        <v>94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</row>
    <row r="67" spans="1:21" ht="18">
      <c r="A67" s="39" t="s">
        <v>105</v>
      </c>
      <c r="B67" s="39" t="s">
        <v>104</v>
      </c>
      <c r="C67" s="39">
        <v>1</v>
      </c>
      <c r="D67" s="34" t="s">
        <v>117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</row>
    <row r="68" spans="1:21" ht="16.5">
      <c r="A68" s="63" t="s">
        <v>116</v>
      </c>
      <c r="B68" s="64"/>
      <c r="C68" s="64"/>
      <c r="D68" s="6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</row>
    <row r="69" spans="1:21" ht="18.75">
      <c r="A69" s="28" t="s">
        <v>120</v>
      </c>
      <c r="B69" s="28" t="s">
        <v>181</v>
      </c>
      <c r="C69" s="23">
        <v>100</v>
      </c>
      <c r="D69" s="28" t="s">
        <v>145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</row>
    <row r="70" spans="1:21" ht="18.75">
      <c r="A70" s="28" t="s">
        <v>121</v>
      </c>
      <c r="B70" s="28" t="s">
        <v>118</v>
      </c>
      <c r="C70" s="23">
        <v>70</v>
      </c>
      <c r="D70" s="28" t="s">
        <v>119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</row>
    <row r="71" spans="1:21" ht="18.75">
      <c r="A71" s="28" t="s">
        <v>122</v>
      </c>
      <c r="B71" s="28" t="s">
        <v>123</v>
      </c>
      <c r="C71" s="23">
        <f>POWER(10,C70/20)</f>
        <v>3162.2776601683804</v>
      </c>
      <c r="D71" s="28" t="s">
        <v>126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</row>
    <row r="72" spans="1:21" ht="18.75">
      <c r="A72" s="28" t="s">
        <v>124</v>
      </c>
      <c r="B72" s="28" t="s">
        <v>125</v>
      </c>
      <c r="C72" s="23">
        <f>C30*0.01*C26/C42/(1+(C25+C32)/C26)</f>
        <v>398.17858621277441</v>
      </c>
      <c r="D72" s="28" t="s">
        <v>126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</row>
    <row r="73" spans="1:21" ht="18.75">
      <c r="A73" s="28" t="s">
        <v>131</v>
      </c>
      <c r="B73" s="28" t="s">
        <v>127</v>
      </c>
      <c r="C73" s="23">
        <f>C30*0.01*C30*0.01*C26/2/3.14/(C37*0.000001)</f>
        <v>28691.111493659286</v>
      </c>
      <c r="D73" s="28" t="s">
        <v>132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</row>
    <row r="74" spans="1:21" ht="21" customHeight="1">
      <c r="A74" s="28" t="s">
        <v>129</v>
      </c>
      <c r="B74" s="28" t="s">
        <v>182</v>
      </c>
      <c r="C74" s="23">
        <f>(1+(C25+C32)/C26)/(C25+C32+C62*0.001)/2/3.14/(C63*0.000001)</f>
        <v>721.16149942002528</v>
      </c>
      <c r="D74" s="28" t="s">
        <v>128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</row>
    <row r="75" spans="1:21" ht="36.75" customHeight="1">
      <c r="A75" s="28" t="s">
        <v>130</v>
      </c>
      <c r="B75" s="33" t="s">
        <v>133</v>
      </c>
      <c r="C75" s="23">
        <f>MIN(C73, C74)</f>
        <v>721.16149942002528</v>
      </c>
      <c r="D75" s="28" t="s">
        <v>128</v>
      </c>
      <c r="E75" s="61" t="s">
        <v>169</v>
      </c>
      <c r="F75" s="62"/>
      <c r="G75" s="62"/>
      <c r="H75" s="62"/>
      <c r="I75" s="6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</row>
    <row r="76" spans="1:21" ht="18.75">
      <c r="A76" s="28" t="s">
        <v>134</v>
      </c>
      <c r="B76" s="28" t="s">
        <v>136</v>
      </c>
      <c r="C76" s="23">
        <f>C69/2/3.14/C75*1000</f>
        <v>22.08044507615422</v>
      </c>
      <c r="D76" s="28" t="s">
        <v>135</v>
      </c>
      <c r="E76" s="61"/>
      <c r="F76" s="62"/>
      <c r="G76" s="62"/>
      <c r="H76" s="62"/>
      <c r="I76" s="6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</row>
    <row r="77" spans="1:21" ht="33">
      <c r="A77" s="28" t="s">
        <v>137</v>
      </c>
      <c r="B77" s="33" t="s">
        <v>172</v>
      </c>
      <c r="C77" s="23">
        <f>C76*3</f>
        <v>66.24133522846266</v>
      </c>
      <c r="D77" s="28" t="s">
        <v>135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1:21" ht="18.75">
      <c r="A78" s="50" t="s">
        <v>140</v>
      </c>
      <c r="B78" s="50" t="s">
        <v>138</v>
      </c>
      <c r="C78" s="49">
        <v>68</v>
      </c>
      <c r="D78" s="50" t="s">
        <v>139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1:21" ht="17.25">
      <c r="A79" s="57" t="s">
        <v>192</v>
      </c>
      <c r="B79" s="58"/>
      <c r="C79" s="58"/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1:21" ht="16.5">
      <c r="A80" s="41" t="s">
        <v>30</v>
      </c>
      <c r="B80" s="41" t="s">
        <v>31</v>
      </c>
      <c r="C80" s="42">
        <f>C20</f>
        <v>10</v>
      </c>
      <c r="D80" s="43" t="s">
        <v>29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</row>
    <row r="81" spans="1:21" ht="16.5">
      <c r="A81" s="44" t="s">
        <v>21</v>
      </c>
      <c r="B81" s="44" t="s">
        <v>2</v>
      </c>
      <c r="C81" s="42">
        <f>C21</f>
        <v>37</v>
      </c>
      <c r="D81" s="43" t="s">
        <v>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</row>
    <row r="82" spans="1:21" ht="16.5">
      <c r="A82" s="44" t="s">
        <v>20</v>
      </c>
      <c r="B82" s="44" t="s">
        <v>22</v>
      </c>
      <c r="C82" s="42">
        <f>C22</f>
        <v>150</v>
      </c>
      <c r="D82" s="43" t="s">
        <v>8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</row>
    <row r="83" spans="1:21" ht="16.5">
      <c r="A83" s="44" t="s">
        <v>33</v>
      </c>
      <c r="B83" s="45" t="s">
        <v>34</v>
      </c>
      <c r="C83" s="46">
        <f>C32</f>
        <v>1.3333333333333333</v>
      </c>
      <c r="D83" s="47" t="s">
        <v>86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</row>
    <row r="84" spans="1:21" ht="16.5">
      <c r="A84" s="44" t="s">
        <v>165</v>
      </c>
      <c r="B84" s="44" t="s">
        <v>17</v>
      </c>
      <c r="C84" s="48">
        <f>C37</f>
        <v>100</v>
      </c>
      <c r="D84" s="47" t="s">
        <v>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</row>
    <row r="85" spans="1:21" ht="18.75">
      <c r="A85" s="44" t="s">
        <v>166</v>
      </c>
      <c r="B85" s="44" t="s">
        <v>141</v>
      </c>
      <c r="C85" s="46">
        <f>C38</f>
        <v>0.92072072072072075</v>
      </c>
      <c r="D85" s="43" t="s">
        <v>26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</row>
    <row r="86" spans="1:21" ht="18.75">
      <c r="A86" s="44" t="s">
        <v>167</v>
      </c>
      <c r="B86" s="44" t="s">
        <v>142</v>
      </c>
      <c r="C86" s="46">
        <f>C39</f>
        <v>0.60810810810810823</v>
      </c>
      <c r="D86" s="47" t="s">
        <v>144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</row>
    <row r="87" spans="1:21" ht="18.75">
      <c r="A87" s="44" t="s">
        <v>81</v>
      </c>
      <c r="B87" s="44" t="s">
        <v>143</v>
      </c>
      <c r="C87" s="46">
        <f>C40</f>
        <v>0.61666666666666659</v>
      </c>
      <c r="D87" s="47" t="s">
        <v>144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</row>
    <row r="88" spans="1:21" ht="16.5">
      <c r="A88" s="44" t="s">
        <v>174</v>
      </c>
      <c r="B88" s="44" t="s">
        <v>35</v>
      </c>
      <c r="C88" s="46">
        <f>C42</f>
        <v>0.16291585127201563</v>
      </c>
      <c r="D88" s="47" t="s">
        <v>32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</row>
    <row r="89" spans="1:21" ht="18.75">
      <c r="A89" s="44"/>
      <c r="B89" s="44" t="s">
        <v>173</v>
      </c>
      <c r="C89" s="46">
        <v>1</v>
      </c>
      <c r="D89" s="47" t="s">
        <v>178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</row>
    <row r="90" spans="1:21" ht="18.75">
      <c r="A90" s="44"/>
      <c r="B90" s="44" t="s">
        <v>146</v>
      </c>
      <c r="C90" s="46">
        <f>C44</f>
        <v>100</v>
      </c>
      <c r="D90" s="47" t="s">
        <v>147</v>
      </c>
      <c r="E90" s="2"/>
      <c r="F90" s="2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</row>
    <row r="91" spans="1:21" ht="16.5">
      <c r="A91" s="44" t="s">
        <v>28</v>
      </c>
      <c r="B91" s="44" t="s">
        <v>13</v>
      </c>
      <c r="C91" s="46">
        <f>C47</f>
        <v>50</v>
      </c>
      <c r="D91" s="43" t="s">
        <v>1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1:21" ht="16.5">
      <c r="A92" s="44" t="s">
        <v>23</v>
      </c>
      <c r="B92" s="44" t="s">
        <v>24</v>
      </c>
      <c r="C92" s="42">
        <f>C48</f>
        <v>475</v>
      </c>
      <c r="D92" s="47" t="s">
        <v>179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</row>
    <row r="93" spans="1:21" ht="16.5">
      <c r="A93" s="44"/>
      <c r="B93" s="44" t="s">
        <v>25</v>
      </c>
      <c r="C93" s="46">
        <f>C49</f>
        <v>19.791666666666668</v>
      </c>
      <c r="D93" s="43" t="s">
        <v>27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</row>
    <row r="94" spans="1:21" ht="18.75">
      <c r="A94" s="44"/>
      <c r="B94" s="44" t="s">
        <v>148</v>
      </c>
      <c r="C94" s="46">
        <f>C51</f>
        <v>470</v>
      </c>
      <c r="D94" s="47" t="s">
        <v>107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</row>
    <row r="95" spans="1:21" ht="16.5">
      <c r="A95" s="44" t="s">
        <v>66</v>
      </c>
      <c r="B95" s="44" t="s">
        <v>149</v>
      </c>
      <c r="C95" s="46">
        <f>C56</f>
        <v>22</v>
      </c>
      <c r="D95" s="47" t="s">
        <v>153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</row>
    <row r="96" spans="1:21" ht="18.75">
      <c r="A96" s="44" t="s">
        <v>151</v>
      </c>
      <c r="B96" s="44" t="s">
        <v>152</v>
      </c>
      <c r="C96" s="46">
        <f>C55</f>
        <v>175.54568995630515</v>
      </c>
      <c r="D96" s="47" t="s">
        <v>74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</row>
    <row r="97" spans="1:21" ht="16.5">
      <c r="A97" s="44" t="s">
        <v>150</v>
      </c>
      <c r="B97" s="44" t="s">
        <v>91</v>
      </c>
      <c r="C97" s="46">
        <f>C57</f>
        <v>0.1</v>
      </c>
      <c r="D97" s="47" t="s">
        <v>94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</row>
    <row r="98" spans="1:21" ht="16.5">
      <c r="A98" s="44" t="s">
        <v>154</v>
      </c>
      <c r="B98" s="44" t="s">
        <v>98</v>
      </c>
      <c r="C98" s="46">
        <f>C63</f>
        <v>33</v>
      </c>
      <c r="D98" s="47" t="s">
        <v>171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</row>
    <row r="99" spans="1:21" ht="18.75">
      <c r="A99" s="44" t="s">
        <v>155</v>
      </c>
      <c r="B99" s="44" t="s">
        <v>158</v>
      </c>
      <c r="C99" s="46">
        <f>C61</f>
        <v>0.28866715578262647</v>
      </c>
      <c r="D99" s="47" t="s">
        <v>159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</row>
    <row r="100" spans="1:21" ht="16.5">
      <c r="A100" s="44" t="s">
        <v>156</v>
      </c>
      <c r="B100" s="44" t="s">
        <v>157</v>
      </c>
      <c r="C100" s="46">
        <f>C64</f>
        <v>0.1</v>
      </c>
      <c r="D100" s="47" t="s">
        <v>117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</row>
    <row r="101" spans="1:21" ht="18.75">
      <c r="A101" s="44" t="s">
        <v>160</v>
      </c>
      <c r="B101" s="44" t="s">
        <v>161</v>
      </c>
      <c r="C101" s="46">
        <f>C67</f>
        <v>1</v>
      </c>
      <c r="D101" s="47" t="s">
        <v>93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  <row r="102" spans="1:21" ht="18.75">
      <c r="A102" s="44" t="s">
        <v>162</v>
      </c>
      <c r="B102" s="44" t="s">
        <v>164</v>
      </c>
      <c r="C102" s="46">
        <f>C78</f>
        <v>68</v>
      </c>
      <c r="D102" s="47" t="s">
        <v>163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</row>
    <row r="103" spans="1:21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</row>
    <row r="104" spans="1:21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</row>
    <row r="105" spans="1:21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</row>
    <row r="106" spans="1:21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</row>
    <row r="107" spans="1:21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</row>
    <row r="108" spans="1:21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</row>
    <row r="109" spans="1:21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</row>
    <row r="110" spans="1:21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</row>
    <row r="111" spans="1:21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</row>
    <row r="112" spans="1:21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</row>
    <row r="113" spans="1:21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</row>
    <row r="114" spans="1:21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</row>
    <row r="115" spans="1:21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</row>
    <row r="116" spans="1:21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</row>
    <row r="117" spans="1:21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</row>
    <row r="118" spans="1:21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</row>
    <row r="119" spans="1:21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</row>
    <row r="120" spans="1:21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</row>
    <row r="121" spans="1:21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</row>
    <row r="122" spans="1:21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</row>
    <row r="123" spans="1:21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</row>
    <row r="124" spans="1:21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</row>
    <row r="125" spans="1:21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</row>
    <row r="126" spans="1:21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</row>
    <row r="127" spans="1:21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</row>
    <row r="128" spans="1:21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</row>
    <row r="129" spans="1:21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</row>
    <row r="130" spans="1:21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</row>
    <row r="131" spans="1:21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</row>
    <row r="132" spans="1:21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</row>
    <row r="133" spans="1:21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</row>
    <row r="134" spans="1:21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</row>
    <row r="135" spans="1:21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</row>
    <row r="136" spans="1:21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1:21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/>
    </row>
    <row r="138" spans="1:21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</row>
    <row r="139" spans="1:21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/>
    </row>
    <row r="140" spans="1:21" ht="16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</row>
    <row r="141" spans="1:21" ht="16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/>
    </row>
    <row r="142" spans="1:21" ht="16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/>
    </row>
    <row r="143" spans="1:21" ht="16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/>
    </row>
    <row r="144" spans="1:21" ht="16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/>
    </row>
    <row r="145" spans="1:21" ht="16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/>
    </row>
    <row r="146" spans="1:21" ht="16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/>
    </row>
    <row r="147" spans="1:21" ht="16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/>
    </row>
    <row r="148" spans="1:21" ht="16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/>
    </row>
    <row r="149" spans="1:21" ht="16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/>
    </row>
    <row r="150" spans="1:21" ht="16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/>
    </row>
    <row r="151" spans="1:21" ht="16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/>
    </row>
    <row r="152" spans="1:21" ht="16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/>
    </row>
    <row r="153" spans="1:21" ht="16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/>
    </row>
    <row r="154" spans="1:21" ht="16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/>
    </row>
    <row r="155" spans="1:21" ht="16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</row>
    <row r="156" spans="1:21" ht="16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</row>
    <row r="157" spans="1:21" ht="16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</row>
    <row r="158" spans="1:21" ht="16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</row>
    <row r="159" spans="1:21" ht="16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/>
    </row>
    <row r="160" spans="1:21" ht="16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/>
    </row>
    <row r="161" spans="1:21" ht="16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</row>
    <row r="162" spans="1:21" ht="16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</row>
    <row r="163" spans="1:21" ht="16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/>
    </row>
    <row r="164" spans="1:21" ht="16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</row>
    <row r="165" spans="1:21" ht="16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</row>
    <row r="166" spans="1:21" ht="16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/>
    </row>
    <row r="167" spans="1:21" ht="16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/>
    </row>
    <row r="168" spans="1:21" ht="16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/>
    </row>
    <row r="169" spans="1:21" ht="16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/>
    </row>
    <row r="170" spans="1:21" ht="16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/>
    </row>
    <row r="171" spans="1:21" ht="16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/>
    </row>
    <row r="172" spans="1:21" ht="16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/>
    </row>
    <row r="173" spans="1:21" ht="16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/>
    </row>
    <row r="174" spans="1:21" ht="16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/>
    </row>
    <row r="175" spans="1:21" ht="16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/>
    </row>
    <row r="176" spans="1:21" ht="16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/>
    </row>
    <row r="177" spans="1:21" ht="16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6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6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6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6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6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6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6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6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6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6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6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6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6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6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6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6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6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6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6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6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6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6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6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6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6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6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6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6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6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</sheetData>
  <sheetProtection password="DE51" sheet="1" objects="1" scenarios="1" selectLockedCells="1"/>
  <mergeCells count="14">
    <mergeCell ref="A2:D2"/>
    <mergeCell ref="A1:D1"/>
    <mergeCell ref="A19:D19"/>
    <mergeCell ref="A46:D46"/>
    <mergeCell ref="A41:D41"/>
    <mergeCell ref="A35:D35"/>
    <mergeCell ref="A31:D31"/>
    <mergeCell ref="A79:D79"/>
    <mergeCell ref="A33:D33"/>
    <mergeCell ref="E75:I76"/>
    <mergeCell ref="A52:D52"/>
    <mergeCell ref="A58:D58"/>
    <mergeCell ref="A65:D65"/>
    <mergeCell ref="A68:D68"/>
  </mergeCells>
  <phoneticPr fontId="1" type="noConversion"/>
  <conditionalFormatting sqref="I34 I28 I21:I22">
    <cfRule type="containsText" dxfId="7" priority="9" operator="containsText" text="Out">
      <formula>NOT(ISERROR(SEARCH("Out",I21)))</formula>
    </cfRule>
    <cfRule type="containsText" dxfId="6" priority="10" operator="containsText" text="In">
      <formula>NOT(ISERROR(SEARCH("In",I21)))</formula>
    </cfRule>
  </conditionalFormatting>
  <conditionalFormatting sqref="I20">
    <cfRule type="containsText" dxfId="5" priority="11" operator="containsText" text="Out">
      <formula>NOT(ISERROR(SEARCH("Out",I20)))</formula>
    </cfRule>
    <cfRule type="containsText" dxfId="4" priority="12" operator="containsText" text="In">
      <formula>NOT(ISERROR(SEARCH("In",I20)))</formula>
    </cfRule>
    <cfRule type="containsText" dxfId="3" priority="13" operator="containsText" text="In">
      <formula>NOT(ISERROR(SEARCH("In",I20)))</formula>
    </cfRule>
    <cfRule type="containsText" dxfId="2" priority="14" operator="containsText" text="Out Range">
      <formula>NOT(ISERROR(SEARCH("Out Range",I20)))</formula>
    </cfRule>
    <cfRule type="containsText" dxfId="1" priority="15" operator="containsText" text="In Range">
      <formula>NOT(ISERROR(SEARCH("In Range",I20)))</formula>
    </cfRule>
    <cfRule type="cellIs" dxfId="0" priority="16" operator="equal">
      <formula>"""In Range"""</formula>
    </cfRule>
    <cfRule type="colorScale" priority="17">
      <colorScale>
        <cfvo type="formula" val="&quot;In Range&quot;"/>
        <cfvo type="formula" val="&quot;Out Range&quot;"/>
        <color theme="6"/>
        <color rgb="FFFF0000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40" r:id="rId4">
          <objectPr defaultSize="0" autoPict="0" r:id="rId5">
            <anchor moveWithCells="1" sizeWithCells="1">
              <from>
                <xdr:col>0</xdr:col>
                <xdr:colOff>28575</xdr:colOff>
                <xdr:row>2</xdr:row>
                <xdr:rowOff>66675</xdr:rowOff>
              </from>
              <to>
                <xdr:col>2</xdr:col>
                <xdr:colOff>781050</xdr:colOff>
                <xdr:row>17</xdr:row>
                <xdr:rowOff>76200</xdr:rowOff>
              </to>
            </anchor>
          </objectPr>
        </oleObject>
      </mc:Choice>
      <mc:Fallback>
        <oleObject progId="Visio.Drawing.11" shapeId="1040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99B05-E9B0-4AA4-8D71-8F577E023598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BB5FF3-3FC3-4119-851F-F3FB06B44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9878DB-3BB5-4A4E-9739-5AC533E140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2021-05-17T19:10:38Z</dcterms:modified>
</cp:coreProperties>
</file>