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0" windowWidth="24020" windowHeight="4500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B39" i="1" l="1"/>
  <c r="H42" i="1"/>
  <c r="B36" i="1"/>
  <c r="A27" i="1"/>
  <c r="A22" i="1"/>
  <c r="F35" i="1" l="1"/>
  <c r="F34" i="1"/>
  <c r="A20" i="1" l="1"/>
  <c r="B63" i="1"/>
  <c r="B46" i="1"/>
  <c r="A19" i="1"/>
  <c r="H37" i="1" l="1"/>
  <c r="F37" i="1" s="1"/>
  <c r="G29" i="1" l="1"/>
  <c r="F36" i="1" l="1"/>
  <c r="C44" i="2" l="1"/>
  <c r="A13" i="2"/>
  <c r="D72" i="2" l="1"/>
  <c r="D44" i="2"/>
  <c r="E72" i="2" l="1"/>
  <c r="H41" i="2" s="1"/>
  <c r="E44" i="2"/>
  <c r="G32" i="1"/>
  <c r="G31" i="1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F20" i="1"/>
  <c r="J263" i="3" s="1"/>
  <c r="E9" i="2" l="1"/>
  <c r="C72" i="2"/>
  <c r="C68" i="2"/>
  <c r="C64" i="2"/>
  <c r="C60" i="2"/>
  <c r="C56" i="2"/>
  <c r="C52" i="2"/>
  <c r="C48" i="2"/>
  <c r="A38" i="2"/>
  <c r="A34" i="2"/>
  <c r="A30" i="2"/>
  <c r="A26" i="2"/>
  <c r="A22" i="2"/>
  <c r="A18" i="2"/>
  <c r="A14" i="2"/>
  <c r="C71" i="2"/>
  <c r="C67" i="2"/>
  <c r="C63" i="2"/>
  <c r="C59" i="2"/>
  <c r="C55" i="2"/>
  <c r="C51" i="2"/>
  <c r="C47" i="2"/>
  <c r="A41" i="2"/>
  <c r="A37" i="2"/>
  <c r="A33" i="2"/>
  <c r="A29" i="2"/>
  <c r="A25" i="2"/>
  <c r="C70" i="2"/>
  <c r="C66" i="2"/>
  <c r="C62" i="2"/>
  <c r="C58" i="2"/>
  <c r="C54" i="2"/>
  <c r="C50" i="2"/>
  <c r="C46" i="2"/>
  <c r="A40" i="2"/>
  <c r="A36" i="2"/>
  <c r="A32" i="2"/>
  <c r="A28" i="2"/>
  <c r="A24" i="2"/>
  <c r="A20" i="2"/>
  <c r="A16" i="2"/>
  <c r="C69" i="2"/>
  <c r="C65" i="2"/>
  <c r="C61" i="2"/>
  <c r="C57" i="2"/>
  <c r="C53" i="2"/>
  <c r="C49" i="2"/>
  <c r="C45" i="2"/>
  <c r="A39" i="2"/>
  <c r="A35" i="2"/>
  <c r="A31" i="2"/>
  <c r="A27" i="2"/>
  <c r="A58" i="2" s="1"/>
  <c r="B58" i="2" s="1"/>
  <c r="A23" i="2"/>
  <c r="A19" i="2"/>
  <c r="A15" i="2"/>
  <c r="A21" i="2"/>
  <c r="A17" i="2"/>
  <c r="A40" i="3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B78" i="3"/>
  <c r="C78" i="3" s="1"/>
  <c r="M23" i="3"/>
  <c r="A43" i="3" s="1"/>
  <c r="B264" i="3"/>
  <c r="C264" i="3" s="1"/>
  <c r="B262" i="3"/>
  <c r="C262" i="3" s="1"/>
  <c r="B263" i="3"/>
  <c r="C263" i="3" s="1"/>
  <c r="AJ263" i="3" s="1"/>
  <c r="B261" i="3"/>
  <c r="C261" i="3" s="1"/>
  <c r="B259" i="3"/>
  <c r="C259" i="3" s="1"/>
  <c r="B256" i="3"/>
  <c r="C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AJ255" i="3" s="1"/>
  <c r="B254" i="3"/>
  <c r="C254" i="3" s="1"/>
  <c r="B246" i="3"/>
  <c r="C246" i="3" s="1"/>
  <c r="AJ246" i="3" s="1"/>
  <c r="B244" i="3"/>
  <c r="C244" i="3" s="1"/>
  <c r="B242" i="3"/>
  <c r="C242" i="3" s="1"/>
  <c r="B240" i="3"/>
  <c r="C240" i="3" s="1"/>
  <c r="AJ240" i="3" s="1"/>
  <c r="B238" i="3"/>
  <c r="C238" i="3" s="1"/>
  <c r="AJ238" i="3" s="1"/>
  <c r="B236" i="3"/>
  <c r="C236" i="3" s="1"/>
  <c r="B250" i="3"/>
  <c r="C250" i="3" s="1"/>
  <c r="B248" i="3"/>
  <c r="C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B245" i="3"/>
  <c r="C245" i="3" s="1"/>
  <c r="B243" i="3"/>
  <c r="C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B216" i="3"/>
  <c r="C216" i="3" s="1"/>
  <c r="AJ216" i="3" s="1"/>
  <c r="B226" i="3"/>
  <c r="C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B208" i="3"/>
  <c r="C208" i="3" s="1"/>
  <c r="B206" i="3"/>
  <c r="C206" i="3" s="1"/>
  <c r="B215" i="3"/>
  <c r="C215" i="3" s="1"/>
  <c r="AJ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AJ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B196" i="3"/>
  <c r="C196" i="3" s="1"/>
  <c r="B186" i="3"/>
  <c r="C186" i="3" s="1"/>
  <c r="AJ186" i="3" s="1"/>
  <c r="B184" i="3"/>
  <c r="C184" i="3" s="1"/>
  <c r="AJ184" i="3" s="1"/>
  <c r="B194" i="3"/>
  <c r="C194" i="3" s="1"/>
  <c r="B190" i="3"/>
  <c r="C190" i="3" s="1"/>
  <c r="B182" i="3"/>
  <c r="C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AJ192" i="3" s="1"/>
  <c r="B188" i="3"/>
  <c r="C188" i="3" s="1"/>
  <c r="B187" i="3"/>
  <c r="C187" i="3" s="1"/>
  <c r="B185" i="3"/>
  <c r="C185" i="3" s="1"/>
  <c r="B175" i="3"/>
  <c r="C175" i="3" s="1"/>
  <c r="B181" i="3"/>
  <c r="C181" i="3" s="1"/>
  <c r="B173" i="3"/>
  <c r="C173" i="3" s="1"/>
  <c r="B168" i="3"/>
  <c r="C168" i="3" s="1"/>
  <c r="B166" i="3"/>
  <c r="C166" i="3" s="1"/>
  <c r="AJ166" i="3" s="1"/>
  <c r="B164" i="3"/>
  <c r="C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AJ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AJ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B129" i="3"/>
  <c r="C129" i="3" s="1"/>
  <c r="B127" i="3"/>
  <c r="C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AJ153" i="3" s="1"/>
  <c r="B151" i="3"/>
  <c r="C151" i="3" s="1"/>
  <c r="B149" i="3"/>
  <c r="C149" i="3" s="1"/>
  <c r="AJ149" i="3" s="1"/>
  <c r="B147" i="3"/>
  <c r="C147" i="3" s="1"/>
  <c r="B145" i="3"/>
  <c r="C145" i="3" s="1"/>
  <c r="AJ145" i="3" s="1"/>
  <c r="B143" i="3"/>
  <c r="C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B112" i="3"/>
  <c r="C112" i="3" s="1"/>
  <c r="B110" i="3"/>
  <c r="C110" i="3" s="1"/>
  <c r="AJ110" i="3" s="1"/>
  <c r="B108" i="3"/>
  <c r="C108" i="3" s="1"/>
  <c r="AJ108" i="3" s="1"/>
  <c r="B106" i="3"/>
  <c r="C106" i="3" s="1"/>
  <c r="B104" i="3"/>
  <c r="C104" i="3" s="1"/>
  <c r="AJ104" i="3" s="1"/>
  <c r="B102" i="3"/>
  <c r="C102" i="3" s="1"/>
  <c r="B100" i="3"/>
  <c r="C100" i="3" s="1"/>
  <c r="AJ100" i="3" s="1"/>
  <c r="B98" i="3"/>
  <c r="C98" i="3" s="1"/>
  <c r="B96" i="3"/>
  <c r="C96" i="3" s="1"/>
  <c r="AJ96" i="3" s="1"/>
  <c r="B94" i="3"/>
  <c r="C94" i="3" s="1"/>
  <c r="B92" i="3"/>
  <c r="C92" i="3" s="1"/>
  <c r="AJ92" i="3" s="1"/>
  <c r="B90" i="3"/>
  <c r="C90" i="3" s="1"/>
  <c r="AJ90" i="3" s="1"/>
  <c r="B88" i="3"/>
  <c r="C88" i="3" s="1"/>
  <c r="AJ88" i="3" s="1"/>
  <c r="B86" i="3"/>
  <c r="C86" i="3" s="1"/>
  <c r="B84" i="3"/>
  <c r="C84" i="3" s="1"/>
  <c r="AJ84" i="3" s="1"/>
  <c r="B82" i="3"/>
  <c r="C82" i="3" s="1"/>
  <c r="AJ82" i="3" s="1"/>
  <c r="B79" i="3"/>
  <c r="C79" i="3" s="1"/>
  <c r="B77" i="3"/>
  <c r="C77" i="3" s="1"/>
  <c r="B75" i="3"/>
  <c r="C75" i="3" s="1"/>
  <c r="B73" i="3"/>
  <c r="C73" i="3" s="1"/>
  <c r="B71" i="3"/>
  <c r="C71" i="3" s="1"/>
  <c r="B69" i="3"/>
  <c r="C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AJ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B85" i="3"/>
  <c r="C85" i="3" s="1"/>
  <c r="B81" i="3"/>
  <c r="C81" i="3" s="1"/>
  <c r="M28" i="3"/>
  <c r="K29" i="3" s="1"/>
  <c r="K31" i="3" s="1"/>
  <c r="B64" i="3"/>
  <c r="C64" i="3" s="1"/>
  <c r="B66" i="3"/>
  <c r="C66" i="3" s="1"/>
  <c r="B68" i="3"/>
  <c r="C68" i="3" s="1"/>
  <c r="AJ68" i="3" s="1"/>
  <c r="B70" i="3"/>
  <c r="C70" i="3" s="1"/>
  <c r="B72" i="3"/>
  <c r="C72" i="3" s="1"/>
  <c r="B74" i="3"/>
  <c r="C74" i="3" s="1"/>
  <c r="B76" i="3"/>
  <c r="C76" i="3" s="1"/>
  <c r="AJ80" i="3"/>
  <c r="I10" i="2"/>
  <c r="B88" i="1"/>
  <c r="B93" i="1"/>
  <c r="K32" i="1" s="1"/>
  <c r="B56" i="1"/>
  <c r="A60" i="2" l="1"/>
  <c r="B60" i="2" s="1"/>
  <c r="F29" i="2" s="1"/>
  <c r="A44" i="2"/>
  <c r="B44" i="2" s="1"/>
  <c r="F13" i="2" s="1"/>
  <c r="A46" i="2"/>
  <c r="B46" i="2" s="1"/>
  <c r="F15" i="2" s="1"/>
  <c r="A62" i="2"/>
  <c r="B62" i="2" s="1"/>
  <c r="F31" i="2" s="1"/>
  <c r="A55" i="2"/>
  <c r="B55" i="2" s="1"/>
  <c r="F24" i="2" s="1"/>
  <c r="A71" i="2"/>
  <c r="B71" i="2" s="1"/>
  <c r="N71" i="2" s="1"/>
  <c r="A56" i="2"/>
  <c r="B56" i="2" s="1"/>
  <c r="F25" i="2" s="1"/>
  <c r="A72" i="2"/>
  <c r="B72" i="2" s="1"/>
  <c r="G41" i="2" s="1"/>
  <c r="A45" i="2"/>
  <c r="B45" i="2" s="1"/>
  <c r="F14" i="2" s="1"/>
  <c r="A50" i="2"/>
  <c r="B50" i="2" s="1"/>
  <c r="F19" i="2" s="1"/>
  <c r="A66" i="2"/>
  <c r="B66" i="2" s="1"/>
  <c r="F35" i="2" s="1"/>
  <c r="A59" i="2"/>
  <c r="B59" i="2" s="1"/>
  <c r="F28" i="2" s="1"/>
  <c r="A49" i="2"/>
  <c r="B49" i="2" s="1"/>
  <c r="F18" i="2" s="1"/>
  <c r="A61" i="2"/>
  <c r="B61" i="2" s="1"/>
  <c r="F30" i="2" s="1"/>
  <c r="A65" i="2"/>
  <c r="B65" i="2" s="1"/>
  <c r="F34" i="2" s="1"/>
  <c r="A54" i="2"/>
  <c r="B54" i="2" s="1"/>
  <c r="F23" i="2" s="1"/>
  <c r="A53" i="2"/>
  <c r="B53" i="2" s="1"/>
  <c r="F22" i="2" s="1"/>
  <c r="A69" i="2"/>
  <c r="B69" i="2" s="1"/>
  <c r="O69" i="2" s="1"/>
  <c r="L259" i="3"/>
  <c r="D169" i="3"/>
  <c r="E250" i="3"/>
  <c r="D80" i="3"/>
  <c r="E193" i="3"/>
  <c r="E100" i="3"/>
  <c r="E218" i="3"/>
  <c r="E80" i="3"/>
  <c r="D126" i="3"/>
  <c r="D252" i="3"/>
  <c r="D150" i="3"/>
  <c r="D67" i="3"/>
  <c r="D81" i="3"/>
  <c r="D69" i="3"/>
  <c r="E77" i="3"/>
  <c r="D94" i="3"/>
  <c r="D143" i="3"/>
  <c r="D127" i="3"/>
  <c r="D120" i="3"/>
  <c r="D168" i="3"/>
  <c r="E194" i="3"/>
  <c r="E198" i="3"/>
  <c r="E226" i="3"/>
  <c r="E247" i="3"/>
  <c r="E244" i="3"/>
  <c r="E133" i="3"/>
  <c r="E95" i="3"/>
  <c r="E132" i="3"/>
  <c r="D162" i="3"/>
  <c r="E229" i="3"/>
  <c r="E70" i="3"/>
  <c r="E87" i="3"/>
  <c r="D73" i="3"/>
  <c r="E106" i="3"/>
  <c r="E114" i="3"/>
  <c r="D147" i="3"/>
  <c r="E131" i="3"/>
  <c r="D164" i="3"/>
  <c r="E181" i="3"/>
  <c r="D188" i="3"/>
  <c r="E167" i="3"/>
  <c r="E182" i="3"/>
  <c r="D210" i="3"/>
  <c r="D218" i="3"/>
  <c r="D243" i="3"/>
  <c r="D248" i="3"/>
  <c r="D240" i="3"/>
  <c r="D254" i="3"/>
  <c r="E256" i="3"/>
  <c r="D262" i="3"/>
  <c r="D142" i="3"/>
  <c r="E115" i="3"/>
  <c r="D133" i="3"/>
  <c r="D190" i="3"/>
  <c r="E264" i="3"/>
  <c r="AP80" i="3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F100" i="3" s="1"/>
  <c r="H100" i="3" s="1"/>
  <c r="E103" i="3"/>
  <c r="E92" i="3"/>
  <c r="D118" i="3"/>
  <c r="D141" i="3"/>
  <c r="E184" i="3"/>
  <c r="E224" i="3"/>
  <c r="E245" i="3"/>
  <c r="D264" i="3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D181" i="3"/>
  <c r="D209" i="3"/>
  <c r="E234" i="3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A48" i="2"/>
  <c r="B48" i="2" s="1"/>
  <c r="F17" i="2" s="1"/>
  <c r="A64" i="2"/>
  <c r="B64" i="2" s="1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A47" i="2"/>
  <c r="B47" i="2" s="1"/>
  <c r="F16" i="2" s="1"/>
  <c r="A63" i="2"/>
  <c r="B63" i="2" s="1"/>
  <c r="F32" i="2" s="1"/>
  <c r="A57" i="2"/>
  <c r="B57" i="2" s="1"/>
  <c r="F26" i="2" s="1"/>
  <c r="A52" i="2"/>
  <c r="B52" i="2" s="1"/>
  <c r="A68" i="2"/>
  <c r="B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G72" i="2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A51" i="2"/>
  <c r="B51" i="2" s="1"/>
  <c r="F20" i="2" s="1"/>
  <c r="A67" i="2"/>
  <c r="B67" i="2" s="1"/>
  <c r="F36" i="2" s="1"/>
  <c r="A70" i="2"/>
  <c r="B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F27" i="2"/>
  <c r="B75" i="1"/>
  <c r="L29" i="1" s="1"/>
  <c r="B59" i="1"/>
  <c r="L28" i="1" s="1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F18" i="1"/>
  <c r="F17" i="1" s="1"/>
  <c r="F23" i="1"/>
  <c r="B72" i="1" s="1"/>
  <c r="D180" i="3"/>
  <c r="L122" i="3"/>
  <c r="L220" i="3"/>
  <c r="E123" i="3"/>
  <c r="D154" i="3"/>
  <c r="D161" i="3"/>
  <c r="E173" i="3"/>
  <c r="F173" i="3" s="1"/>
  <c r="H173" i="3" s="1"/>
  <c r="E188" i="3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F254" i="3" s="1"/>
  <c r="H254" i="3" s="1"/>
  <c r="AJ93" i="3"/>
  <c r="AJ122" i="3"/>
  <c r="AJ187" i="3"/>
  <c r="AJ218" i="3"/>
  <c r="AJ256" i="3"/>
  <c r="AT80" i="3"/>
  <c r="AU80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AM91" i="3" s="1"/>
  <c r="AN91" i="3" s="1"/>
  <c r="K91" i="3"/>
  <c r="AR91" i="3"/>
  <c r="S91" i="3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 s="1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S136" i="3"/>
  <c r="AR136" i="3"/>
  <c r="K136" i="3"/>
  <c r="AS136" i="3"/>
  <c r="AK136" i="3"/>
  <c r="AL136" i="3"/>
  <c r="AM136" i="3" s="1"/>
  <c r="AN136" i="3" s="1"/>
  <c r="AQ144" i="3"/>
  <c r="S144" i="3"/>
  <c r="AR144" i="3"/>
  <c r="K144" i="3"/>
  <c r="AS144" i="3"/>
  <c r="AK144" i="3"/>
  <c r="AL144" i="3"/>
  <c r="AM144" i="3" s="1"/>
  <c r="AN144" i="3" s="1"/>
  <c r="AL185" i="3"/>
  <c r="AM185" i="3" s="1"/>
  <c r="AN185" i="3" s="1"/>
  <c r="AS185" i="3"/>
  <c r="AK185" i="3"/>
  <c r="AQ185" i="3"/>
  <c r="S185" i="3"/>
  <c r="AR185" i="3"/>
  <c r="K185" i="3"/>
  <c r="AL183" i="3"/>
  <c r="AM183" i="3" s="1"/>
  <c r="AN183" i="3" s="1"/>
  <c r="AS183" i="3"/>
  <c r="AK183" i="3"/>
  <c r="AQ183" i="3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S189" i="3"/>
  <c r="AQ189" i="3"/>
  <c r="AL189" i="3"/>
  <c r="AM189" i="3" s="1"/>
  <c r="AN189" i="3" s="1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S214" i="3"/>
  <c r="AQ214" i="3"/>
  <c r="AL214" i="3"/>
  <c r="AM214" i="3" s="1"/>
  <c r="AN214" i="3" s="1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AJ177" i="3"/>
  <c r="AJ185" i="3"/>
  <c r="AJ206" i="3"/>
  <c r="AJ239" i="3"/>
  <c r="AJ233" i="3"/>
  <c r="K30" i="3"/>
  <c r="K32" i="3" s="1"/>
  <c r="K33" i="3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M66" i="3" s="1"/>
  <c r="AN66" i="3" s="1"/>
  <c r="AR66" i="3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AM95" i="3" s="1"/>
  <c r="AN95" i="3" s="1"/>
  <c r="K95" i="3"/>
  <c r="AR95" i="3"/>
  <c r="S95" i="3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S82" i="3"/>
  <c r="AR82" i="3"/>
  <c r="AL82" i="3"/>
  <c r="AM82" i="3" s="1"/>
  <c r="AN82" i="3" s="1"/>
  <c r="AK82" i="3"/>
  <c r="AP82" i="3" s="1"/>
  <c r="K82" i="3"/>
  <c r="AS82" i="3"/>
  <c r="AQ98" i="3"/>
  <c r="S98" i="3"/>
  <c r="AR98" i="3"/>
  <c r="AL98" i="3"/>
  <c r="AM98" i="3" s="1"/>
  <c r="AN98" i="3" s="1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D90" i="3"/>
  <c r="AJ78" i="3"/>
  <c r="D77" i="3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L67" i="3"/>
  <c r="AR75" i="3"/>
  <c r="K75" i="3"/>
  <c r="AK75" i="3"/>
  <c r="S75" i="3"/>
  <c r="AS75" i="3"/>
  <c r="AQ75" i="3"/>
  <c r="AL75" i="3"/>
  <c r="AM75" i="3" s="1"/>
  <c r="AN75" i="3" s="1"/>
  <c r="L75" i="3"/>
  <c r="AQ84" i="3"/>
  <c r="S84" i="3"/>
  <c r="AR84" i="3"/>
  <c r="AL84" i="3"/>
  <c r="AM84" i="3" s="1"/>
  <c r="AN84" i="3" s="1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AQ100" i="3"/>
  <c r="S100" i="3"/>
  <c r="AR100" i="3"/>
  <c r="AL100" i="3"/>
  <c r="AM100" i="3" s="1"/>
  <c r="AN100" i="3" s="1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P108" i="3" s="1"/>
  <c r="AQ171" i="3"/>
  <c r="S171" i="3"/>
  <c r="AK171" i="3"/>
  <c r="K171" i="3"/>
  <c r="AR171" i="3"/>
  <c r="AS171" i="3"/>
  <c r="AL171" i="3"/>
  <c r="AM171" i="3" s="1"/>
  <c r="AN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M117" i="3" s="1"/>
  <c r="AN117" i="3" s="1"/>
  <c r="AR117" i="3"/>
  <c r="S117" i="3"/>
  <c r="AS117" i="3"/>
  <c r="K117" i="3"/>
  <c r="AQ117" i="3"/>
  <c r="AK117" i="3"/>
  <c r="AL125" i="3"/>
  <c r="AM125" i="3" s="1"/>
  <c r="AN125" i="3" s="1"/>
  <c r="AR125" i="3"/>
  <c r="S125" i="3"/>
  <c r="AQ125" i="3"/>
  <c r="AK125" i="3"/>
  <c r="AP125" i="3" s="1"/>
  <c r="AS125" i="3"/>
  <c r="K125" i="3"/>
  <c r="AL133" i="3"/>
  <c r="AM133" i="3" s="1"/>
  <c r="AN133" i="3" s="1"/>
  <c r="AR133" i="3"/>
  <c r="S133" i="3"/>
  <c r="AQ133" i="3"/>
  <c r="AK133" i="3"/>
  <c r="AS133" i="3"/>
  <c r="K133" i="3"/>
  <c r="AL162" i="3"/>
  <c r="AM162" i="3" s="1"/>
  <c r="AN162" i="3" s="1"/>
  <c r="AS162" i="3"/>
  <c r="K162" i="3"/>
  <c r="AK162" i="3"/>
  <c r="AP162" i="3" s="1"/>
  <c r="AR162" i="3"/>
  <c r="S162" i="3"/>
  <c r="AQ162" i="3"/>
  <c r="AR118" i="3"/>
  <c r="K118" i="3"/>
  <c r="AK118" i="3"/>
  <c r="AQ118" i="3"/>
  <c r="AL118" i="3"/>
  <c r="AM118" i="3" s="1"/>
  <c r="AN118" i="3" s="1"/>
  <c r="AS118" i="3"/>
  <c r="S118" i="3"/>
  <c r="AR126" i="3"/>
  <c r="K126" i="3"/>
  <c r="AK126" i="3"/>
  <c r="AQ126" i="3"/>
  <c r="AL126" i="3"/>
  <c r="AM126" i="3" s="1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AM192" i="3" s="1"/>
  <c r="AN192" i="3" s="1"/>
  <c r="K192" i="3"/>
  <c r="AS192" i="3"/>
  <c r="AQ192" i="3"/>
  <c r="AK192" i="3"/>
  <c r="AP192" i="3" s="1"/>
  <c r="AR192" i="3"/>
  <c r="S192" i="3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AM190" i="3" s="1"/>
  <c r="AN190" i="3" s="1"/>
  <c r="K190" i="3"/>
  <c r="AS190" i="3"/>
  <c r="AQ190" i="3"/>
  <c r="AK190" i="3"/>
  <c r="S190" i="3"/>
  <c r="AR190" i="3"/>
  <c r="AL196" i="3"/>
  <c r="AM196" i="3" s="1"/>
  <c r="AN196" i="3" s="1"/>
  <c r="AS196" i="3"/>
  <c r="AR196" i="3"/>
  <c r="K196" i="3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M241" i="3" s="1"/>
  <c r="AN241" i="3" s="1"/>
  <c r="AS241" i="3"/>
  <c r="AK241" i="3"/>
  <c r="AQ241" i="3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S203" i="3"/>
  <c r="AR203" i="3"/>
  <c r="AL203" i="3"/>
  <c r="AM203" i="3" s="1"/>
  <c r="AN203" i="3" s="1"/>
  <c r="AK203" i="3"/>
  <c r="K203" i="3"/>
  <c r="AS203" i="3"/>
  <c r="AL215" i="3"/>
  <c r="AM215" i="3" s="1"/>
  <c r="AN215" i="3" s="1"/>
  <c r="AS215" i="3"/>
  <c r="AK215" i="3"/>
  <c r="AP215" i="3" s="1"/>
  <c r="AQ215" i="3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M237" i="3" s="1"/>
  <c r="AN237" i="3" s="1"/>
  <c r="AQ237" i="3"/>
  <c r="AK237" i="3"/>
  <c r="K237" i="3"/>
  <c r="AR237" i="3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S259" i="3"/>
  <c r="AQ259" i="3"/>
  <c r="AL259" i="3"/>
  <c r="AM259" i="3" s="1"/>
  <c r="AN259" i="3" s="1"/>
  <c r="AK259" i="3"/>
  <c r="AS264" i="3"/>
  <c r="AK264" i="3"/>
  <c r="AR264" i="3"/>
  <c r="K264" i="3"/>
  <c r="AL264" i="3"/>
  <c r="AM264" i="3" s="1"/>
  <c r="AN264" i="3" s="1"/>
  <c r="S264" i="3"/>
  <c r="AQ264" i="3"/>
  <c r="AJ106" i="3"/>
  <c r="AJ70" i="3"/>
  <c r="E125" i="3"/>
  <c r="L76" i="3"/>
  <c r="AJ74" i="3"/>
  <c r="AJ66" i="3"/>
  <c r="AJ131" i="3"/>
  <c r="E81" i="3"/>
  <c r="F81" i="3" s="1"/>
  <c r="E109" i="3"/>
  <c r="E127" i="3"/>
  <c r="D148" i="3"/>
  <c r="D66" i="3"/>
  <c r="D74" i="3"/>
  <c r="D89" i="3"/>
  <c r="D97" i="3"/>
  <c r="D105" i="3"/>
  <c r="E82" i="3"/>
  <c r="E90" i="3"/>
  <c r="E98" i="3"/>
  <c r="D159" i="3"/>
  <c r="E164" i="3"/>
  <c r="D182" i="3"/>
  <c r="D116" i="3"/>
  <c r="D124" i="3"/>
  <c r="D132" i="3"/>
  <c r="E139" i="3"/>
  <c r="E147" i="3"/>
  <c r="E155" i="3"/>
  <c r="D115" i="3"/>
  <c r="D123" i="3"/>
  <c r="D131" i="3"/>
  <c r="D139" i="3"/>
  <c r="D155" i="3"/>
  <c r="E162" i="3"/>
  <c r="D186" i="3"/>
  <c r="E142" i="3"/>
  <c r="E150" i="3"/>
  <c r="E159" i="3"/>
  <c r="D167" i="3"/>
  <c r="D178" i="3"/>
  <c r="E202" i="3"/>
  <c r="D171" i="3"/>
  <c r="D179" i="3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F243" i="3" s="1"/>
  <c r="D239" i="3"/>
  <c r="D247" i="3"/>
  <c r="D250" i="3"/>
  <c r="E248" i="3"/>
  <c r="E249" i="3"/>
  <c r="E257" i="3"/>
  <c r="D255" i="3"/>
  <c r="E262" i="3"/>
  <c r="E261" i="3"/>
  <c r="AJ119" i="3"/>
  <c r="AJ141" i="3"/>
  <c r="AJ67" i="3"/>
  <c r="AP67" i="3" s="1"/>
  <c r="AJ75" i="3"/>
  <c r="AJ91" i="3"/>
  <c r="AJ107" i="3"/>
  <c r="AJ117" i="3"/>
  <c r="AJ109" i="3"/>
  <c r="AJ178" i="3"/>
  <c r="AJ120" i="3"/>
  <c r="AJ136" i="3"/>
  <c r="AJ144" i="3"/>
  <c r="AJ164" i="3"/>
  <c r="AJ182" i="3"/>
  <c r="AJ175" i="3"/>
  <c r="AJ183" i="3"/>
  <c r="AJ167" i="3"/>
  <c r="AJ190" i="3"/>
  <c r="AJ198" i="3"/>
  <c r="AJ212" i="3"/>
  <c r="AJ202" i="3"/>
  <c r="AJ214" i="3"/>
  <c r="AJ226" i="3"/>
  <c r="AJ237" i="3"/>
  <c r="AJ223" i="3"/>
  <c r="AP223" i="3" s="1"/>
  <c r="AJ231" i="3"/>
  <c r="AJ245" i="3"/>
  <c r="AJ253" i="3"/>
  <c r="AJ254" i="3"/>
  <c r="AJ261" i="3"/>
  <c r="AJ264" i="3"/>
  <c r="AL72" i="3"/>
  <c r="AM72" i="3" s="1"/>
  <c r="AN72" i="3" s="1"/>
  <c r="AR72" i="3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Q69" i="3"/>
  <c r="AL69" i="3"/>
  <c r="AM69" i="3" s="1"/>
  <c r="AN69" i="3" s="1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 s="1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AM194" i="3" s="1"/>
  <c r="AN194" i="3" s="1"/>
  <c r="K194" i="3"/>
  <c r="AS194" i="3"/>
  <c r="AQ194" i="3"/>
  <c r="AK194" i="3"/>
  <c r="AR194" i="3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L230" i="3"/>
  <c r="AM230" i="3" s="1"/>
  <c r="AN230" i="3" s="1"/>
  <c r="AS230" i="3"/>
  <c r="AK230" i="3"/>
  <c r="AQ230" i="3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Q71" i="3"/>
  <c r="AL71" i="3"/>
  <c r="AM71" i="3" s="1"/>
  <c r="AN71" i="3" s="1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S96" i="3"/>
  <c r="AR96" i="3"/>
  <c r="AL96" i="3"/>
  <c r="AM96" i="3" s="1"/>
  <c r="AN96" i="3" s="1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M112" i="3" s="1"/>
  <c r="AN112" i="3" s="1"/>
  <c r="AQ112" i="3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S113" i="3"/>
  <c r="AQ113" i="3"/>
  <c r="AL113" i="3"/>
  <c r="AM113" i="3" s="1"/>
  <c r="AN113" i="3" s="1"/>
  <c r="AL121" i="3"/>
  <c r="AM121" i="3" s="1"/>
  <c r="AN121" i="3" s="1"/>
  <c r="AR121" i="3"/>
  <c r="S121" i="3"/>
  <c r="AS121" i="3"/>
  <c r="AK121" i="3"/>
  <c r="AQ121" i="3"/>
  <c r="K121" i="3"/>
  <c r="AL129" i="3"/>
  <c r="AM129" i="3" s="1"/>
  <c r="AN129" i="3" s="1"/>
  <c r="AR129" i="3"/>
  <c r="S129" i="3"/>
  <c r="AQ129" i="3"/>
  <c r="AK129" i="3"/>
  <c r="AS129" i="3"/>
  <c r="K129" i="3"/>
  <c r="AL158" i="3"/>
  <c r="AM158" i="3" s="1"/>
  <c r="AN158" i="3" s="1"/>
  <c r="AS158" i="3"/>
  <c r="K158" i="3"/>
  <c r="AK158" i="3"/>
  <c r="AR158" i="3"/>
  <c r="S158" i="3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S138" i="3"/>
  <c r="AR138" i="3"/>
  <c r="K138" i="3"/>
  <c r="AS138" i="3"/>
  <c r="AK138" i="3"/>
  <c r="AP138" i="3" s="1"/>
  <c r="AL138" i="3"/>
  <c r="AM138" i="3" s="1"/>
  <c r="AN138" i="3" s="1"/>
  <c r="AQ146" i="3"/>
  <c r="S146" i="3"/>
  <c r="AR146" i="3"/>
  <c r="K146" i="3"/>
  <c r="AS146" i="3"/>
  <c r="AK146" i="3"/>
  <c r="AL146" i="3"/>
  <c r="AM146" i="3" s="1"/>
  <c r="AN146" i="3" s="1"/>
  <c r="AQ154" i="3"/>
  <c r="S154" i="3"/>
  <c r="AR154" i="3"/>
  <c r="K154" i="3"/>
  <c r="AS154" i="3"/>
  <c r="AK154" i="3"/>
  <c r="AP154" i="3" s="1"/>
  <c r="AL154" i="3"/>
  <c r="AM154" i="3" s="1"/>
  <c r="AN154" i="3" s="1"/>
  <c r="AQ173" i="3"/>
  <c r="S173" i="3"/>
  <c r="AK173" i="3"/>
  <c r="K173" i="3"/>
  <c r="AR173" i="3"/>
  <c r="AS173" i="3"/>
  <c r="AL173" i="3"/>
  <c r="AM173" i="3" s="1"/>
  <c r="AN173" i="3" s="1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M157" i="3" s="1"/>
  <c r="AN157" i="3" s="1"/>
  <c r="AS157" i="3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S209" i="3"/>
  <c r="AK209" i="3"/>
  <c r="K209" i="3"/>
  <c r="AR209" i="3"/>
  <c r="AS209" i="3"/>
  <c r="AL209" i="3"/>
  <c r="AM209" i="3" s="1"/>
  <c r="AN209" i="3" s="1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AM208" i="3" s="1"/>
  <c r="AN208" i="3" s="1"/>
  <c r="S208" i="3"/>
  <c r="K208" i="3"/>
  <c r="AQ208" i="3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M232" i="3" s="1"/>
  <c r="AN232" i="3" s="1"/>
  <c r="AS232" i="3"/>
  <c r="AK232" i="3"/>
  <c r="AQ232" i="3"/>
  <c r="S232" i="3"/>
  <c r="AR232" i="3"/>
  <c r="K232" i="3"/>
  <c r="AS252" i="3"/>
  <c r="AK252" i="3"/>
  <c r="AQ252" i="3"/>
  <c r="AL252" i="3"/>
  <c r="AM252" i="3" s="1"/>
  <c r="AN252" i="3" s="1"/>
  <c r="K252" i="3"/>
  <c r="AR252" i="3"/>
  <c r="S252" i="3"/>
  <c r="AR219" i="3"/>
  <c r="K219" i="3"/>
  <c r="AQ219" i="3"/>
  <c r="AL219" i="3"/>
  <c r="AM219" i="3" s="1"/>
  <c r="AN219" i="3" s="1"/>
  <c r="AK219" i="3"/>
  <c r="AS219" i="3"/>
  <c r="S219" i="3"/>
  <c r="AR227" i="3"/>
  <c r="K227" i="3"/>
  <c r="AQ227" i="3"/>
  <c r="AL227" i="3"/>
  <c r="AM227" i="3" s="1"/>
  <c r="AN227" i="3" s="1"/>
  <c r="AK227" i="3"/>
  <c r="AS227" i="3"/>
  <c r="S227" i="3"/>
  <c r="AL235" i="3"/>
  <c r="AM235" i="3" s="1"/>
  <c r="AN235" i="3" s="1"/>
  <c r="AQ235" i="3"/>
  <c r="AK235" i="3"/>
  <c r="K235" i="3"/>
  <c r="S235" i="3"/>
  <c r="AR235" i="3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 s="1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E67" i="3"/>
  <c r="E89" i="3"/>
  <c r="E97" i="3"/>
  <c r="E105" i="3"/>
  <c r="E113" i="3"/>
  <c r="D144" i="3"/>
  <c r="E79" i="3"/>
  <c r="D70" i="3"/>
  <c r="D85" i="3"/>
  <c r="D93" i="3"/>
  <c r="D101" i="3"/>
  <c r="D109" i="3"/>
  <c r="E129" i="3"/>
  <c r="D172" i="3"/>
  <c r="E86" i="3"/>
  <c r="E94" i="3"/>
  <c r="E102" i="3"/>
  <c r="E110" i="3"/>
  <c r="E118" i="3"/>
  <c r="E126" i="3"/>
  <c r="E134" i="3"/>
  <c r="D163" i="3"/>
  <c r="E168" i="3"/>
  <c r="D112" i="3"/>
  <c r="D128" i="3"/>
  <c r="E135" i="3"/>
  <c r="E143" i="3"/>
  <c r="E151" i="3"/>
  <c r="D119" i="3"/>
  <c r="D135" i="3"/>
  <c r="F135" i="3" s="1"/>
  <c r="D151" i="3"/>
  <c r="E158" i="3"/>
  <c r="D176" i="3"/>
  <c r="E138" i="3"/>
  <c r="E146" i="3"/>
  <c r="E154" i="3"/>
  <c r="E163" i="3"/>
  <c r="D170" i="3"/>
  <c r="D189" i="3"/>
  <c r="D175" i="3"/>
  <c r="D156" i="3"/>
  <c r="D191" i="3"/>
  <c r="E175" i="3"/>
  <c r="E183" i="3"/>
  <c r="E186" i="3"/>
  <c r="E208" i="3"/>
  <c r="E190" i="3"/>
  <c r="D212" i="3"/>
  <c r="D201" i="3"/>
  <c r="D214" i="3"/>
  <c r="D206" i="3"/>
  <c r="D192" i="3"/>
  <c r="D200" i="3"/>
  <c r="D207" i="3"/>
  <c r="D244" i="3"/>
  <c r="E209" i="3"/>
  <c r="E217" i="3"/>
  <c r="D219" i="3"/>
  <c r="D227" i="3"/>
  <c r="D235" i="3"/>
  <c r="E219" i="3"/>
  <c r="E227" i="3"/>
  <c r="E228" i="3"/>
  <c r="D236" i="3"/>
  <c r="E231" i="3"/>
  <c r="E239" i="3"/>
  <c r="D224" i="3"/>
  <c r="D232" i="3"/>
  <c r="D251" i="3"/>
  <c r="E252" i="3"/>
  <c r="E253" i="3"/>
  <c r="E258" i="3"/>
  <c r="D258" i="3"/>
  <c r="D261" i="3"/>
  <c r="E72" i="3"/>
  <c r="AJ133" i="3"/>
  <c r="AJ71" i="3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J228" i="3"/>
  <c r="AJ219" i="3"/>
  <c r="AP219" i="3" s="1"/>
  <c r="AJ227" i="3"/>
  <c r="AJ241" i="3"/>
  <c r="AJ242" i="3"/>
  <c r="AJ250" i="3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D99" i="3"/>
  <c r="D107" i="3"/>
  <c r="D110" i="3"/>
  <c r="E156" i="3"/>
  <c r="E144" i="3"/>
  <c r="E152" i="3"/>
  <c r="E214" i="3"/>
  <c r="AJ77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AM73" i="3" s="1"/>
  <c r="AN73" i="3" s="1"/>
  <c r="L73" i="3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M115" i="3" s="1"/>
  <c r="AN115" i="3" s="1"/>
  <c r="AR115" i="3"/>
  <c r="S115" i="3"/>
  <c r="AS115" i="3"/>
  <c r="AK115" i="3"/>
  <c r="AP115" i="3" s="1"/>
  <c r="K115" i="3"/>
  <c r="AQ115" i="3"/>
  <c r="AL123" i="3"/>
  <c r="AM123" i="3" s="1"/>
  <c r="AN123" i="3" s="1"/>
  <c r="AR123" i="3"/>
  <c r="S123" i="3"/>
  <c r="AQ123" i="3"/>
  <c r="AK123" i="3"/>
  <c r="AP123" i="3" s="1"/>
  <c r="AS123" i="3"/>
  <c r="K123" i="3"/>
  <c r="AL131" i="3"/>
  <c r="AM131" i="3" s="1"/>
  <c r="AN131" i="3" s="1"/>
  <c r="AR131" i="3"/>
  <c r="S131" i="3"/>
  <c r="AQ131" i="3"/>
  <c r="AK131" i="3"/>
  <c r="AS131" i="3"/>
  <c r="K131" i="3"/>
  <c r="AL160" i="3"/>
  <c r="AM160" i="3" s="1"/>
  <c r="AN160" i="3" s="1"/>
  <c r="AS160" i="3"/>
  <c r="K160" i="3"/>
  <c r="AK160" i="3"/>
  <c r="AP160" i="3" s="1"/>
  <c r="AR160" i="3"/>
  <c r="S160" i="3"/>
  <c r="AQ160" i="3"/>
  <c r="AR116" i="3"/>
  <c r="K116" i="3"/>
  <c r="AK116" i="3"/>
  <c r="AP116" i="3" s="1"/>
  <c r="AQ116" i="3"/>
  <c r="AL116" i="3"/>
  <c r="AM116" i="3" s="1"/>
  <c r="AN116" i="3" s="1"/>
  <c r="AS116" i="3"/>
  <c r="S116" i="3"/>
  <c r="AR124" i="3"/>
  <c r="K124" i="3"/>
  <c r="AK124" i="3"/>
  <c r="AP124" i="3" s="1"/>
  <c r="AQ124" i="3"/>
  <c r="AL124" i="3"/>
  <c r="AM124" i="3" s="1"/>
  <c r="AN124" i="3" s="1"/>
  <c r="AS124" i="3"/>
  <c r="S124" i="3"/>
  <c r="AR132" i="3"/>
  <c r="K132" i="3"/>
  <c r="AK132" i="3"/>
  <c r="AP132" i="3" s="1"/>
  <c r="AQ132" i="3"/>
  <c r="AL132" i="3"/>
  <c r="AM132" i="3" s="1"/>
  <c r="AN132" i="3" s="1"/>
  <c r="AS132" i="3"/>
  <c r="S132" i="3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M164" i="3" s="1"/>
  <c r="AN164" i="3" s="1"/>
  <c r="AS164" i="3"/>
  <c r="AK164" i="3"/>
  <c r="AR164" i="3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S174" i="3"/>
  <c r="AL174" i="3"/>
  <c r="AM174" i="3" s="1"/>
  <c r="AN174" i="3" s="1"/>
  <c r="K174" i="3"/>
  <c r="AQ174" i="3"/>
  <c r="AS182" i="3"/>
  <c r="AK182" i="3"/>
  <c r="AR182" i="3"/>
  <c r="S182" i="3"/>
  <c r="AQ182" i="3"/>
  <c r="AL182" i="3"/>
  <c r="AM182" i="3" s="1"/>
  <c r="AN182" i="3" s="1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R193" i="3"/>
  <c r="K193" i="3"/>
  <c r="AS193" i="3"/>
  <c r="S193" i="3"/>
  <c r="AQ193" i="3"/>
  <c r="AL193" i="3"/>
  <c r="AM193" i="3" s="1"/>
  <c r="AN193" i="3" s="1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M217" i="3" s="1"/>
  <c r="AN217" i="3" s="1"/>
  <c r="AS217" i="3"/>
  <c r="AK217" i="3"/>
  <c r="AP217" i="3" s="1"/>
  <c r="AQ217" i="3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M234" i="3" s="1"/>
  <c r="AN234" i="3" s="1"/>
  <c r="AS234" i="3"/>
  <c r="AK234" i="3"/>
  <c r="AQ234" i="3"/>
  <c r="S234" i="3"/>
  <c r="AR234" i="3"/>
  <c r="K234" i="3"/>
  <c r="AL243" i="3"/>
  <c r="AM243" i="3" s="1"/>
  <c r="AN243" i="3" s="1"/>
  <c r="AS243" i="3"/>
  <c r="AK243" i="3"/>
  <c r="AQ243" i="3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 s="1"/>
  <c r="AN262" i="3" s="1"/>
  <c r="S262" i="3"/>
  <c r="AQ262" i="3"/>
  <c r="AJ98" i="3"/>
  <c r="AJ86" i="3"/>
  <c r="AJ72" i="3"/>
  <c r="AJ151" i="3"/>
  <c r="AJ94" i="3"/>
  <c r="E76" i="3"/>
  <c r="E68" i="3"/>
  <c r="AJ135" i="3"/>
  <c r="D82" i="3"/>
  <c r="E73" i="3"/>
  <c r="E65" i="3"/>
  <c r="E91" i="3"/>
  <c r="E99" i="3"/>
  <c r="E107" i="3"/>
  <c r="E117" i="3"/>
  <c r="D152" i="3"/>
  <c r="D140" i="3"/>
  <c r="D64" i="3"/>
  <c r="D72" i="3"/>
  <c r="D87" i="3"/>
  <c r="D95" i="3"/>
  <c r="D103" i="3"/>
  <c r="D111" i="3"/>
  <c r="D138" i="3"/>
  <c r="E174" i="3"/>
  <c r="E88" i="3"/>
  <c r="E96" i="3"/>
  <c r="E104" i="3"/>
  <c r="E112" i="3"/>
  <c r="E120" i="3"/>
  <c r="F120" i="3" s="1"/>
  <c r="E128" i="3"/>
  <c r="D157" i="3"/>
  <c r="D174" i="3"/>
  <c r="F174" i="3" s="1"/>
  <c r="E176" i="3"/>
  <c r="D114" i="3"/>
  <c r="D122" i="3"/>
  <c r="D130" i="3"/>
  <c r="E137" i="3"/>
  <c r="E145" i="3"/>
  <c r="E153" i="3"/>
  <c r="D184" i="3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E169" i="3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D194" i="3"/>
  <c r="D202" i="3"/>
  <c r="D208" i="3"/>
  <c r="D211" i="3"/>
  <c r="E203" i="3"/>
  <c r="E211" i="3"/>
  <c r="E220" i="3"/>
  <c r="E240" i="3"/>
  <c r="D221" i="3"/>
  <c r="D229" i="3"/>
  <c r="E236" i="3"/>
  <c r="E221" i="3"/>
  <c r="E238" i="3"/>
  <c r="E230" i="3"/>
  <c r="D238" i="3"/>
  <c r="E233" i="3"/>
  <c r="E241" i="3"/>
  <c r="D226" i="3"/>
  <c r="D234" i="3"/>
  <c r="E242" i="3"/>
  <c r="D237" i="3"/>
  <c r="D245" i="3"/>
  <c r="D253" i="3"/>
  <c r="D259" i="3"/>
  <c r="D256" i="3"/>
  <c r="E255" i="3"/>
  <c r="E259" i="3"/>
  <c r="E260" i="3"/>
  <c r="D260" i="3"/>
  <c r="D263" i="3"/>
  <c r="E64" i="3"/>
  <c r="AJ137" i="3"/>
  <c r="AJ129" i="3"/>
  <c r="AJ65" i="3"/>
  <c r="AJ73" i="3"/>
  <c r="AJ81" i="3"/>
  <c r="AJ89" i="3"/>
  <c r="AJ97" i="3"/>
  <c r="AJ105" i="3"/>
  <c r="AJ112" i="3"/>
  <c r="AJ147" i="3"/>
  <c r="AJ176" i="3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J196" i="3"/>
  <c r="AJ203" i="3"/>
  <c r="AJ208" i="3"/>
  <c r="AJ191" i="3"/>
  <c r="AJ199" i="3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I71" i="2" l="1"/>
  <c r="O71" i="2"/>
  <c r="F40" i="2"/>
  <c r="P69" i="2"/>
  <c r="D13" i="2"/>
  <c r="J71" i="2"/>
  <c r="E13" i="2"/>
  <c r="G13" i="2"/>
  <c r="M71" i="2"/>
  <c r="P71" i="2"/>
  <c r="J70" i="2"/>
  <c r="N68" i="2"/>
  <c r="K71" i="2"/>
  <c r="F38" i="2"/>
  <c r="F41" i="2"/>
  <c r="E41" i="2"/>
  <c r="L70" i="2"/>
  <c r="D41" i="2"/>
  <c r="L68" i="2"/>
  <c r="L72" i="2"/>
  <c r="L69" i="2"/>
  <c r="L71" i="2"/>
  <c r="M69" i="2"/>
  <c r="J69" i="2"/>
  <c r="K69" i="2"/>
  <c r="I69" i="2"/>
  <c r="N69" i="2"/>
  <c r="F92" i="3"/>
  <c r="G92" i="3" s="1"/>
  <c r="F87" i="3"/>
  <c r="G87" i="3" s="1"/>
  <c r="F240" i="3"/>
  <c r="G240" i="3" s="1"/>
  <c r="F210" i="3"/>
  <c r="G210" i="3" s="1"/>
  <c r="F184" i="3"/>
  <c r="G184" i="3" s="1"/>
  <c r="F130" i="3"/>
  <c r="H130" i="3" s="1"/>
  <c r="F95" i="3"/>
  <c r="G95" i="3" s="1"/>
  <c r="F70" i="3"/>
  <c r="H70" i="3" s="1"/>
  <c r="AO171" i="3"/>
  <c r="AP133" i="3"/>
  <c r="AP190" i="3"/>
  <c r="AO213" i="3"/>
  <c r="AP250" i="3"/>
  <c r="F169" i="3"/>
  <c r="G169" i="3" s="1"/>
  <c r="F250" i="3"/>
  <c r="H250" i="3" s="1"/>
  <c r="F77" i="3"/>
  <c r="G77" i="3" s="1"/>
  <c r="F181" i="3"/>
  <c r="G181" i="3" s="1"/>
  <c r="F218" i="3"/>
  <c r="G218" i="3" s="1"/>
  <c r="F80" i="3"/>
  <c r="G80" i="3" s="1"/>
  <c r="AP135" i="3"/>
  <c r="F150" i="3"/>
  <c r="H150" i="3" s="1"/>
  <c r="F264" i="3"/>
  <c r="H264" i="3" s="1"/>
  <c r="F226" i="3"/>
  <c r="H226" i="3" s="1"/>
  <c r="F114" i="3"/>
  <c r="H114" i="3" s="1"/>
  <c r="AP245" i="3"/>
  <c r="F142" i="3"/>
  <c r="H142" i="3" s="1"/>
  <c r="AP65" i="3"/>
  <c r="F67" i="3"/>
  <c r="H67" i="3" s="1"/>
  <c r="AP232" i="3"/>
  <c r="F188" i="3"/>
  <c r="H188" i="3" s="1"/>
  <c r="F224" i="3"/>
  <c r="H224" i="3" s="1"/>
  <c r="F146" i="3"/>
  <c r="H146" i="3" s="1"/>
  <c r="F168" i="3"/>
  <c r="H168" i="3" s="1"/>
  <c r="F247" i="3"/>
  <c r="H247" i="3" s="1"/>
  <c r="F73" i="3"/>
  <c r="H73" i="3" s="1"/>
  <c r="AP71" i="3"/>
  <c r="AT194" i="3"/>
  <c r="AU194" i="3" s="1"/>
  <c r="AP242" i="3"/>
  <c r="AP228" i="3"/>
  <c r="F193" i="3"/>
  <c r="H193" i="3" s="1"/>
  <c r="F133" i="3"/>
  <c r="G133" i="3" s="1"/>
  <c r="G22" i="2"/>
  <c r="H22" i="2"/>
  <c r="F126" i="3"/>
  <c r="H126" i="3" s="1"/>
  <c r="F252" i="3"/>
  <c r="G252" i="3" s="1"/>
  <c r="F124" i="3"/>
  <c r="G124" i="3" s="1"/>
  <c r="F245" i="3"/>
  <c r="H245" i="3" s="1"/>
  <c r="F235" i="3"/>
  <c r="H235" i="3" s="1"/>
  <c r="F209" i="3"/>
  <c r="H209" i="3" s="1"/>
  <c r="F75" i="3"/>
  <c r="H75" i="3" s="1"/>
  <c r="F179" i="3"/>
  <c r="G179" i="3" s="1"/>
  <c r="F167" i="3"/>
  <c r="H167" i="3" s="1"/>
  <c r="F131" i="3"/>
  <c r="H131" i="3" s="1"/>
  <c r="F262" i="3"/>
  <c r="H262" i="3" s="1"/>
  <c r="F248" i="3"/>
  <c r="H248" i="3" s="1"/>
  <c r="F106" i="3"/>
  <c r="H106" i="3" s="1"/>
  <c r="F256" i="3"/>
  <c r="H256" i="3" s="1"/>
  <c r="F194" i="3"/>
  <c r="H194" i="3" s="1"/>
  <c r="F244" i="3"/>
  <c r="H244" i="3" s="1"/>
  <c r="F190" i="3"/>
  <c r="G190" i="3" s="1"/>
  <c r="F143" i="3"/>
  <c r="G143" i="3" s="1"/>
  <c r="F162" i="3"/>
  <c r="H162" i="3" s="1"/>
  <c r="F182" i="3"/>
  <c r="H182" i="3" s="1"/>
  <c r="F127" i="3"/>
  <c r="G127" i="3" s="1"/>
  <c r="AO170" i="3"/>
  <c r="AP199" i="3"/>
  <c r="AP81" i="3"/>
  <c r="AP137" i="3"/>
  <c r="AO247" i="3"/>
  <c r="AO235" i="3"/>
  <c r="F229" i="3"/>
  <c r="G229" i="3" s="1"/>
  <c r="F69" i="3"/>
  <c r="H69" i="3" s="1"/>
  <c r="F94" i="3"/>
  <c r="G94" i="3" s="1"/>
  <c r="F147" i="3"/>
  <c r="G147" i="3" s="1"/>
  <c r="F198" i="3"/>
  <c r="G198" i="3" s="1"/>
  <c r="F115" i="3"/>
  <c r="G115" i="3" s="1"/>
  <c r="F132" i="3"/>
  <c r="H132" i="3" s="1"/>
  <c r="F164" i="3"/>
  <c r="H164" i="3" s="1"/>
  <c r="F191" i="3"/>
  <c r="G191" i="3" s="1"/>
  <c r="F149" i="3"/>
  <c r="H149" i="3" s="1"/>
  <c r="F251" i="3"/>
  <c r="H251" i="3" s="1"/>
  <c r="F85" i="3"/>
  <c r="G85" i="3" s="1"/>
  <c r="F118" i="3"/>
  <c r="H118" i="3" s="1"/>
  <c r="F79" i="3"/>
  <c r="H79" i="3" s="1"/>
  <c r="F83" i="3"/>
  <c r="H83" i="3" s="1"/>
  <c r="F196" i="3"/>
  <c r="H196" i="3" s="1"/>
  <c r="AW80" i="3"/>
  <c r="AY80" i="3" s="1"/>
  <c r="AP119" i="3"/>
  <c r="AO262" i="3"/>
  <c r="AP188" i="3"/>
  <c r="F125" i="3"/>
  <c r="G125" i="3" s="1"/>
  <c r="F101" i="3"/>
  <c r="G101" i="3" s="1"/>
  <c r="AT73" i="3"/>
  <c r="AU73" i="3" s="1"/>
  <c r="AT220" i="3"/>
  <c r="AU220" i="3" s="1"/>
  <c r="AT211" i="3"/>
  <c r="AU211" i="3" s="1"/>
  <c r="AT205" i="3"/>
  <c r="AU205" i="3" s="1"/>
  <c r="AW205" i="3" s="1"/>
  <c r="AP176" i="3"/>
  <c r="AP136" i="3"/>
  <c r="AO67" i="3"/>
  <c r="AP214" i="3"/>
  <c r="AO181" i="3"/>
  <c r="AP97" i="3"/>
  <c r="AO75" i="3"/>
  <c r="AP86" i="3"/>
  <c r="F134" i="3"/>
  <c r="H134" i="3" s="1"/>
  <c r="F113" i="3"/>
  <c r="G113" i="3" s="1"/>
  <c r="F215" i="3"/>
  <c r="G215" i="3" s="1"/>
  <c r="F66" i="3"/>
  <c r="H66" i="3" s="1"/>
  <c r="F141" i="3"/>
  <c r="H141" i="3" s="1"/>
  <c r="F103" i="3"/>
  <c r="G103" i="3" s="1"/>
  <c r="F98" i="3"/>
  <c r="G98" i="3" s="1"/>
  <c r="F263" i="3"/>
  <c r="G263" i="3" s="1"/>
  <c r="F78" i="3"/>
  <c r="G78" i="3" s="1"/>
  <c r="F220" i="3"/>
  <c r="G220" i="3" s="1"/>
  <c r="F165" i="3"/>
  <c r="H165" i="3" s="1"/>
  <c r="F187" i="3"/>
  <c r="G187" i="3" s="1"/>
  <c r="F84" i="3"/>
  <c r="G84" i="3" s="1"/>
  <c r="F237" i="3"/>
  <c r="G237" i="3" s="1"/>
  <c r="F241" i="3"/>
  <c r="H241" i="3" s="1"/>
  <c r="F166" i="3"/>
  <c r="H166" i="3" s="1"/>
  <c r="F121" i="3"/>
  <c r="G121" i="3" s="1"/>
  <c r="F117" i="3"/>
  <c r="H117" i="3" s="1"/>
  <c r="F93" i="3"/>
  <c r="H93" i="3" s="1"/>
  <c r="F71" i="3"/>
  <c r="H71" i="3" s="1"/>
  <c r="F199" i="3"/>
  <c r="H199" i="3" s="1"/>
  <c r="F180" i="3"/>
  <c r="G180" i="3" s="1"/>
  <c r="F234" i="3"/>
  <c r="G234" i="3" s="1"/>
  <c r="F122" i="3"/>
  <c r="H122" i="3" s="1"/>
  <c r="F104" i="3"/>
  <c r="G104" i="3" s="1"/>
  <c r="F232" i="3"/>
  <c r="G232" i="3" s="1"/>
  <c r="F37" i="2"/>
  <c r="K68" i="2"/>
  <c r="AT232" i="3"/>
  <c r="AU232" i="3" s="1"/>
  <c r="AW232" i="3" s="1"/>
  <c r="AT117" i="3"/>
  <c r="AU117" i="3" s="1"/>
  <c r="AT189" i="3"/>
  <c r="AU189" i="3" s="1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E20" i="2" s="1"/>
  <c r="G60" i="2"/>
  <c r="E29" i="2" s="1"/>
  <c r="G46" i="2"/>
  <c r="E15" i="2" s="1"/>
  <c r="F46" i="2"/>
  <c r="D15" i="2" s="1"/>
  <c r="F67" i="2"/>
  <c r="D36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M157" i="3"/>
  <c r="N157" i="3" s="1"/>
  <c r="O157" i="3" s="1"/>
  <c r="P157" i="3" s="1"/>
  <c r="M182" i="3"/>
  <c r="N182" i="3" s="1"/>
  <c r="O182" i="3" s="1"/>
  <c r="P182" i="3" s="1"/>
  <c r="M191" i="3"/>
  <c r="N191" i="3" s="1"/>
  <c r="O191" i="3" s="1"/>
  <c r="P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M90" i="3"/>
  <c r="T90" i="3" s="1"/>
  <c r="U90" i="3" s="1"/>
  <c r="V90" i="3" s="1"/>
  <c r="AB90" i="3" s="1"/>
  <c r="AC90" i="3" s="1"/>
  <c r="M66" i="3"/>
  <c r="T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M226" i="3"/>
  <c r="N226" i="3" s="1"/>
  <c r="O226" i="3" s="1"/>
  <c r="P226" i="3" s="1"/>
  <c r="M239" i="3"/>
  <c r="N239" i="3" s="1"/>
  <c r="O239" i="3" s="1"/>
  <c r="P239" i="3" s="1"/>
  <c r="M250" i="3"/>
  <c r="N250" i="3" s="1"/>
  <c r="O250" i="3" s="1"/>
  <c r="P250" i="3" s="1"/>
  <c r="X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M97" i="3"/>
  <c r="T97" i="3" s="1"/>
  <c r="U97" i="3" s="1"/>
  <c r="V97" i="3" s="1"/>
  <c r="AB97" i="3" s="1"/>
  <c r="M130" i="3"/>
  <c r="N130" i="3" s="1"/>
  <c r="O130" i="3" s="1"/>
  <c r="P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M78" i="3"/>
  <c r="N78" i="3" s="1"/>
  <c r="O78" i="3" s="1"/>
  <c r="P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M196" i="3"/>
  <c r="N196" i="3" s="1"/>
  <c r="O196" i="3" s="1"/>
  <c r="P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X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M87" i="3"/>
  <c r="N87" i="3" s="1"/>
  <c r="O87" i="3" s="1"/>
  <c r="P87" i="3" s="1"/>
  <c r="M71" i="3"/>
  <c r="N71" i="3" s="1"/>
  <c r="O71" i="3" s="1"/>
  <c r="P71" i="3" s="1"/>
  <c r="M65" i="3"/>
  <c r="N65" i="3" s="1"/>
  <c r="O65" i="3" s="1"/>
  <c r="P65" i="3" s="1"/>
  <c r="M92" i="3"/>
  <c r="N92" i="3" s="1"/>
  <c r="O92" i="3" s="1"/>
  <c r="P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X95" i="3" s="1"/>
  <c r="M67" i="3"/>
  <c r="T67" i="3" s="1"/>
  <c r="M85" i="3"/>
  <c r="N85" i="3" s="1"/>
  <c r="O85" i="3" s="1"/>
  <c r="P85" i="3" s="1"/>
  <c r="M101" i="3"/>
  <c r="N101" i="3" s="1"/>
  <c r="O101" i="3" s="1"/>
  <c r="P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M150" i="3"/>
  <c r="N150" i="3" s="1"/>
  <c r="O150" i="3" s="1"/>
  <c r="P150" i="3" s="1"/>
  <c r="M181" i="3"/>
  <c r="N181" i="3" s="1"/>
  <c r="O181" i="3" s="1"/>
  <c r="P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AU69" i="3" s="1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G170" i="3" s="1"/>
  <c r="F253" i="3"/>
  <c r="G253" i="3" s="1"/>
  <c r="AT188" i="3"/>
  <c r="AU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W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H218" i="3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G188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P253" i="3"/>
  <c r="AP183" i="3"/>
  <c r="AP144" i="3"/>
  <c r="F249" i="3"/>
  <c r="H249" i="3" s="1"/>
  <c r="F216" i="3"/>
  <c r="H216" i="3" s="1"/>
  <c r="AO242" i="3"/>
  <c r="AT250" i="3"/>
  <c r="AU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T177" i="3"/>
  <c r="AU177" i="3" s="1"/>
  <c r="AT119" i="3"/>
  <c r="AU119" i="3" s="1"/>
  <c r="AT91" i="3"/>
  <c r="AU91" i="3" s="1"/>
  <c r="AT64" i="3"/>
  <c r="AU64" i="3" s="1"/>
  <c r="G173" i="3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H243" i="3"/>
  <c r="G243" i="3"/>
  <c r="G142" i="3"/>
  <c r="G81" i="3"/>
  <c r="H81" i="3"/>
  <c r="H125" i="3"/>
  <c r="H169" i="3"/>
  <c r="H120" i="3"/>
  <c r="G120" i="3"/>
  <c r="G75" i="3"/>
  <c r="G174" i="3"/>
  <c r="H174" i="3"/>
  <c r="H95" i="3"/>
  <c r="AT106" i="3"/>
  <c r="AU106" i="3" s="1"/>
  <c r="AT90" i="3"/>
  <c r="AU90" i="3" s="1"/>
  <c r="AW90" i="3" s="1"/>
  <c r="G245" i="3"/>
  <c r="H229" i="3"/>
  <c r="F185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T199" i="3"/>
  <c r="AU199" i="3" s="1"/>
  <c r="AT191" i="3"/>
  <c r="AU191" i="3" s="1"/>
  <c r="AT157" i="3"/>
  <c r="AU157" i="3" s="1"/>
  <c r="AT113" i="3"/>
  <c r="AU113" i="3" s="1"/>
  <c r="AO96" i="3"/>
  <c r="F233" i="3"/>
  <c r="AT102" i="3"/>
  <c r="AU102" i="3" s="1"/>
  <c r="AP254" i="3"/>
  <c r="AP167" i="3"/>
  <c r="AP164" i="3"/>
  <c r="F242" i="3"/>
  <c r="G182" i="3"/>
  <c r="F89" i="3"/>
  <c r="AO203" i="3"/>
  <c r="AP259" i="3"/>
  <c r="AP235" i="3"/>
  <c r="AP210" i="3"/>
  <c r="AP203" i="3"/>
  <c r="AP180" i="3"/>
  <c r="AP147" i="3"/>
  <c r="AP129" i="3"/>
  <c r="F260" i="3"/>
  <c r="F221" i="3"/>
  <c r="F195" i="3"/>
  <c r="F153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F110" i="3"/>
  <c r="F99" i="3"/>
  <c r="AT127" i="3"/>
  <c r="AU127" i="3" s="1"/>
  <c r="AP194" i="3"/>
  <c r="F258" i="3"/>
  <c r="F200" i="3"/>
  <c r="F156" i="3"/>
  <c r="F176" i="3"/>
  <c r="F119" i="3"/>
  <c r="F128" i="3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F74" i="3"/>
  <c r="AP74" i="3"/>
  <c r="AP106" i="3"/>
  <c r="AT259" i="3"/>
  <c r="AU259" i="3" s="1"/>
  <c r="AT251" i="3"/>
  <c r="AU251" i="3" s="1"/>
  <c r="AO255" i="3"/>
  <c r="AT242" i="3"/>
  <c r="AU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AW67" i="3" s="1"/>
  <c r="H77" i="3"/>
  <c r="AT139" i="3"/>
  <c r="AU139" i="3" s="1"/>
  <c r="AT98" i="3"/>
  <c r="AU98" i="3" s="1"/>
  <c r="AT82" i="3"/>
  <c r="AU82" i="3" s="1"/>
  <c r="AW82" i="3" s="1"/>
  <c r="AT65" i="3"/>
  <c r="AU65" i="3" s="1"/>
  <c r="AT70" i="3"/>
  <c r="AU70" i="3" s="1"/>
  <c r="F86" i="3"/>
  <c r="AP143" i="3"/>
  <c r="AP206" i="3"/>
  <c r="AP177" i="3"/>
  <c r="F91" i="3"/>
  <c r="AT214" i="3"/>
  <c r="AU214" i="3" s="1"/>
  <c r="AT204" i="3"/>
  <c r="AU204" i="3" s="1"/>
  <c r="AT178" i="3"/>
  <c r="AU178" i="3" s="1"/>
  <c r="AT185" i="3"/>
  <c r="AU185" i="3" s="1"/>
  <c r="AT107" i="3"/>
  <c r="AU107" i="3" s="1"/>
  <c r="F112" i="3"/>
  <c r="AO187" i="3"/>
  <c r="AO112" i="3"/>
  <c r="AT96" i="3"/>
  <c r="AU96" i="3" s="1"/>
  <c r="AW96" i="3" s="1"/>
  <c r="H133" i="3"/>
  <c r="AO102" i="3"/>
  <c r="AP226" i="3"/>
  <c r="AP198" i="3"/>
  <c r="H215" i="3"/>
  <c r="F197" i="3"/>
  <c r="F160" i="3"/>
  <c r="F178" i="3"/>
  <c r="F139" i="3"/>
  <c r="F159" i="3"/>
  <c r="F105" i="3"/>
  <c r="AO259" i="3"/>
  <c r="AT245" i="3"/>
  <c r="AU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H92" i="3"/>
  <c r="AO84" i="3"/>
  <c r="N261" i="3"/>
  <c r="O261" i="3" s="1"/>
  <c r="P261" i="3" s="1"/>
  <c r="T261" i="3"/>
  <c r="U261" i="3" s="1"/>
  <c r="V261" i="3" s="1"/>
  <c r="AB261" i="3" s="1"/>
  <c r="G264" i="3"/>
  <c r="F183" i="3"/>
  <c r="F76" i="3"/>
  <c r="AO94" i="3"/>
  <c r="F177" i="3"/>
  <c r="G165" i="3"/>
  <c r="F157" i="3"/>
  <c r="H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F227" i="3"/>
  <c r="G244" i="3"/>
  <c r="F206" i="3"/>
  <c r="F15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F257" i="3"/>
  <c r="AT244" i="3"/>
  <c r="AU244" i="3" s="1"/>
  <c r="AT225" i="3"/>
  <c r="AU225" i="3" s="1"/>
  <c r="AT163" i="3"/>
  <c r="AU163" i="3" s="1"/>
  <c r="AT156" i="3"/>
  <c r="AU156" i="3" s="1"/>
  <c r="AO69" i="3"/>
  <c r="AT81" i="3"/>
  <c r="AU81" i="3" s="1"/>
  <c r="AP182" i="3"/>
  <c r="AP120" i="3"/>
  <c r="F255" i="3"/>
  <c r="F228" i="3"/>
  <c r="G204" i="3"/>
  <c r="H204" i="3"/>
  <c r="H179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O117" i="3"/>
  <c r="AO108" i="3"/>
  <c r="AT92" i="3"/>
  <c r="AU92" i="3" s="1"/>
  <c r="AW92" i="3" s="1"/>
  <c r="F90" i="3"/>
  <c r="AO98" i="3"/>
  <c r="AO82" i="3"/>
  <c r="F102" i="3"/>
  <c r="H198" i="3"/>
  <c r="G149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G106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T135" i="3"/>
  <c r="AU135" i="3" s="1"/>
  <c r="AO135" i="3"/>
  <c r="AT94" i="3"/>
  <c r="AU94" i="3" s="1"/>
  <c r="AT86" i="3"/>
  <c r="AU86" i="3" s="1"/>
  <c r="AO91" i="3"/>
  <c r="AT76" i="3"/>
  <c r="AU76" i="3" s="1"/>
  <c r="B13" i="2" l="1"/>
  <c r="C13" i="2" s="1"/>
  <c r="B41" i="2"/>
  <c r="C41" i="2" s="1"/>
  <c r="X92" i="3"/>
  <c r="Y92" i="3" s="1"/>
  <c r="G131" i="3"/>
  <c r="H184" i="3"/>
  <c r="AW250" i="3"/>
  <c r="AX250" i="3" s="1"/>
  <c r="AW65" i="3"/>
  <c r="AW242" i="3"/>
  <c r="AX242" i="3" s="1"/>
  <c r="H98" i="3"/>
  <c r="G73" i="3"/>
  <c r="X80" i="3"/>
  <c r="Y80" i="3" s="1"/>
  <c r="X125" i="3"/>
  <c r="Y125" i="3" s="1"/>
  <c r="G250" i="3"/>
  <c r="G224" i="3"/>
  <c r="G130" i="3"/>
  <c r="G247" i="3"/>
  <c r="H191" i="3"/>
  <c r="H80" i="3"/>
  <c r="G226" i="3"/>
  <c r="G118" i="3"/>
  <c r="H240" i="3"/>
  <c r="G248" i="3"/>
  <c r="X198" i="3"/>
  <c r="Z198" i="3" s="1"/>
  <c r="X142" i="3"/>
  <c r="Y142" i="3" s="1"/>
  <c r="X87" i="3"/>
  <c r="Z87" i="3" s="1"/>
  <c r="X188" i="3"/>
  <c r="Z188" i="3" s="1"/>
  <c r="X226" i="3"/>
  <c r="Z226" i="3" s="1"/>
  <c r="X191" i="3"/>
  <c r="Y191" i="3" s="1"/>
  <c r="G194" i="3"/>
  <c r="X229" i="3"/>
  <c r="Z229" i="3" s="1"/>
  <c r="X264" i="3"/>
  <c r="Y264" i="3" s="1"/>
  <c r="X169" i="3"/>
  <c r="Y169" i="3" s="1"/>
  <c r="X130" i="3"/>
  <c r="Z130" i="3" s="1"/>
  <c r="X240" i="3"/>
  <c r="Z240" i="3" s="1"/>
  <c r="X182" i="3"/>
  <c r="Y182" i="3" s="1"/>
  <c r="G70" i="3"/>
  <c r="G193" i="3"/>
  <c r="H190" i="3"/>
  <c r="H210" i="3"/>
  <c r="X70" i="3"/>
  <c r="Y70" i="3" s="1"/>
  <c r="H127" i="3"/>
  <c r="G168" i="3"/>
  <c r="H252" i="3"/>
  <c r="G150" i="3"/>
  <c r="G132" i="3"/>
  <c r="X168" i="3"/>
  <c r="Y168" i="3" s="1"/>
  <c r="X181" i="3"/>
  <c r="Y181" i="3" s="1"/>
  <c r="X78" i="3"/>
  <c r="Y78" i="3" s="1"/>
  <c r="X209" i="3"/>
  <c r="Z209" i="3" s="1"/>
  <c r="H181" i="3"/>
  <c r="X150" i="3"/>
  <c r="Z150" i="3" s="1"/>
  <c r="X133" i="3"/>
  <c r="Z133" i="3" s="1"/>
  <c r="AW81" i="3"/>
  <c r="AZ81" i="3" s="1"/>
  <c r="AW228" i="3"/>
  <c r="AX228" i="3" s="1"/>
  <c r="AW245" i="3"/>
  <c r="AZ245" i="3" s="1"/>
  <c r="AW71" i="3"/>
  <c r="AY71" i="3" s="1"/>
  <c r="G67" i="3"/>
  <c r="G146" i="3"/>
  <c r="X235" i="3"/>
  <c r="Y235" i="3" s="1"/>
  <c r="X106" i="3"/>
  <c r="Y106" i="3" s="1"/>
  <c r="G167" i="3"/>
  <c r="G114" i="3"/>
  <c r="G126" i="3"/>
  <c r="X101" i="3"/>
  <c r="Y101" i="3" s="1"/>
  <c r="X71" i="3"/>
  <c r="Y71" i="3" s="1"/>
  <c r="X187" i="3"/>
  <c r="Z187" i="3" s="1"/>
  <c r="X146" i="3"/>
  <c r="Y146" i="3" s="1"/>
  <c r="X77" i="3"/>
  <c r="Y77" i="3" s="1"/>
  <c r="X69" i="3"/>
  <c r="Y69" i="3" s="1"/>
  <c r="AW135" i="3"/>
  <c r="AY135" i="3" s="1"/>
  <c r="G235" i="3"/>
  <c r="X114" i="3"/>
  <c r="Y114" i="3" s="1"/>
  <c r="X232" i="3"/>
  <c r="Z232" i="3" s="1"/>
  <c r="X117" i="3"/>
  <c r="Z117" i="3" s="1"/>
  <c r="X65" i="3"/>
  <c r="Z65" i="3" s="1"/>
  <c r="X68" i="3"/>
  <c r="Z68" i="3" s="1"/>
  <c r="U67" i="3"/>
  <c r="V67" i="3" s="1"/>
  <c r="AB67" i="3" s="1"/>
  <c r="U66" i="3"/>
  <c r="V66" i="3" s="1"/>
  <c r="AB66" i="3" s="1"/>
  <c r="H124" i="3"/>
  <c r="G196" i="3"/>
  <c r="H143" i="3"/>
  <c r="H147" i="3"/>
  <c r="G262" i="3"/>
  <c r="H85" i="3"/>
  <c r="G162" i="3"/>
  <c r="G164" i="3"/>
  <c r="X196" i="3"/>
  <c r="Z196" i="3" s="1"/>
  <c r="X75" i="3"/>
  <c r="Z75" i="3" s="1"/>
  <c r="X262" i="3"/>
  <c r="Y262" i="3" s="1"/>
  <c r="H121" i="3"/>
  <c r="H94" i="3"/>
  <c r="G209" i="3"/>
  <c r="H115" i="3"/>
  <c r="G256" i="3"/>
  <c r="G69" i="3"/>
  <c r="H263" i="3"/>
  <c r="AW199" i="3"/>
  <c r="AY199" i="3" s="1"/>
  <c r="AW137" i="3"/>
  <c r="AZ137" i="3" s="1"/>
  <c r="G166" i="3"/>
  <c r="G79" i="3"/>
  <c r="X164" i="3"/>
  <c r="Z164" i="3" s="1"/>
  <c r="G199" i="3"/>
  <c r="G216" i="3"/>
  <c r="G123" i="3"/>
  <c r="G83" i="3"/>
  <c r="G251" i="3"/>
  <c r="H101" i="3"/>
  <c r="H170" i="3"/>
  <c r="AX80" i="3"/>
  <c r="G122" i="3"/>
  <c r="G66" i="3"/>
  <c r="H187" i="3"/>
  <c r="X85" i="3"/>
  <c r="Z85" i="3" s="1"/>
  <c r="AW119" i="3"/>
  <c r="AY119" i="3" s="1"/>
  <c r="AW188" i="3"/>
  <c r="AY188" i="3" s="1"/>
  <c r="N203" i="3"/>
  <c r="O203" i="3" s="1"/>
  <c r="P203" i="3" s="1"/>
  <c r="AW136" i="3"/>
  <c r="AX136" i="3" s="1"/>
  <c r="AW97" i="3"/>
  <c r="AX97" i="3" s="1"/>
  <c r="B32" i="2"/>
  <c r="C32" i="2" s="1"/>
  <c r="G141" i="3"/>
  <c r="H232" i="3"/>
  <c r="X103" i="3"/>
  <c r="Y103" i="3" s="1"/>
  <c r="H84" i="3"/>
  <c r="G134" i="3"/>
  <c r="H104" i="3"/>
  <c r="H103" i="3"/>
  <c r="H237" i="3"/>
  <c r="H220" i="3"/>
  <c r="H113" i="3"/>
  <c r="H78" i="3"/>
  <c r="G117" i="3"/>
  <c r="H180" i="3"/>
  <c r="X199" i="3"/>
  <c r="Y199" i="3" s="1"/>
  <c r="AW176" i="3"/>
  <c r="AX176" i="3" s="1"/>
  <c r="AW86" i="3"/>
  <c r="AX86" i="3" s="1"/>
  <c r="AW214" i="3"/>
  <c r="AY214" i="3" s="1"/>
  <c r="G71" i="3"/>
  <c r="G116" i="3"/>
  <c r="X215" i="3"/>
  <c r="Z215" i="3" s="1"/>
  <c r="X122" i="3"/>
  <c r="Y122" i="3" s="1"/>
  <c r="H234" i="3"/>
  <c r="G261" i="3"/>
  <c r="X165" i="3"/>
  <c r="Z165" i="3" s="1"/>
  <c r="X261" i="3"/>
  <c r="Z261" i="3" s="1"/>
  <c r="H253" i="3"/>
  <c r="G93" i="3"/>
  <c r="G241" i="3"/>
  <c r="H203" i="3"/>
  <c r="X104" i="3"/>
  <c r="Z104" i="3" s="1"/>
  <c r="H136" i="3"/>
  <c r="X241" i="3"/>
  <c r="Z241" i="3" s="1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B26" i="2"/>
  <c r="C26" i="2" s="1"/>
  <c r="B95" i="1"/>
  <c r="B41" i="1" s="1"/>
  <c r="N66" i="3"/>
  <c r="O66" i="3" s="1"/>
  <c r="P66" i="3" s="1"/>
  <c r="X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AF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AF103" i="3" s="1"/>
  <c r="AH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AX139" i="3" s="1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203" i="3"/>
  <c r="Y203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AB216" i="3"/>
  <c r="AZ216" i="3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H186" i="3"/>
  <c r="AC179" i="3"/>
  <c r="AC243" i="3"/>
  <c r="X171" i="3"/>
  <c r="AF171" i="3" s="1"/>
  <c r="AC263" i="3"/>
  <c r="X228" i="3"/>
  <c r="Y228" i="3" s="1"/>
  <c r="X144" i="3"/>
  <c r="Y144" i="3" s="1"/>
  <c r="X89" i="3"/>
  <c r="Z89" i="3" s="1"/>
  <c r="X175" i="3"/>
  <c r="AD138" i="3"/>
  <c r="AD221" i="3"/>
  <c r="X86" i="3"/>
  <c r="G231" i="3"/>
  <c r="G88" i="3"/>
  <c r="AC190" i="3"/>
  <c r="AC172" i="3"/>
  <c r="X258" i="3"/>
  <c r="AD225" i="3"/>
  <c r="X119" i="3"/>
  <c r="X183" i="3"/>
  <c r="AC131" i="3"/>
  <c r="X239" i="3"/>
  <c r="Z239" i="3" s="1"/>
  <c r="X99" i="3"/>
  <c r="Z99" i="3" s="1"/>
  <c r="X74" i="3"/>
  <c r="X230" i="3"/>
  <c r="Y230" i="3" s="1"/>
  <c r="X148" i="3"/>
  <c r="Z148" i="3" s="1"/>
  <c r="AD127" i="3"/>
  <c r="X208" i="3"/>
  <c r="AC123" i="3"/>
  <c r="AD116" i="3"/>
  <c r="AC11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AY190" i="3"/>
  <c r="AZ190" i="3"/>
  <c r="AX190" i="3"/>
  <c r="AD163" i="3"/>
  <c r="AC163" i="3"/>
  <c r="AX145" i="3"/>
  <c r="AY145" i="3"/>
  <c r="AC97" i="3"/>
  <c r="AD9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AX103" i="3"/>
  <c r="AY103" i="3"/>
  <c r="AZ132" i="3"/>
  <c r="AX132" i="3"/>
  <c r="AY132" i="3"/>
  <c r="AX99" i="3"/>
  <c r="AY99" i="3"/>
  <c r="Z135" i="3"/>
  <c r="Y135" i="3"/>
  <c r="AY255" i="3"/>
  <c r="AX255" i="3"/>
  <c r="AX169" i="3"/>
  <c r="AY169" i="3"/>
  <c r="AD111" i="3"/>
  <c r="AC111" i="3"/>
  <c r="AY217" i="3"/>
  <c r="AX217" i="3"/>
  <c r="AZ124" i="3"/>
  <c r="AX124" i="3"/>
  <c r="AY124" i="3"/>
  <c r="AY166" i="3"/>
  <c r="AX166" i="3"/>
  <c r="AZ166" i="3"/>
  <c r="AY245" i="3"/>
  <c r="AX245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2" i="3"/>
  <c r="AY82" i="3"/>
  <c r="AC170" i="3"/>
  <c r="AD170" i="3"/>
  <c r="AZ84" i="3"/>
  <c r="AX84" i="3"/>
  <c r="AY84" i="3"/>
  <c r="AZ88" i="3"/>
  <c r="AX88" i="3"/>
  <c r="AY88" i="3"/>
  <c r="AB115" i="3"/>
  <c r="AZ115" i="3"/>
  <c r="AY195" i="3"/>
  <c r="AX195" i="3"/>
  <c r="AY193" i="3"/>
  <c r="AX193" i="3"/>
  <c r="AZ193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AC213" i="3"/>
  <c r="AD213" i="3"/>
  <c r="AB64" i="3"/>
  <c r="AY65" i="3"/>
  <c r="AX65" i="3"/>
  <c r="AC140" i="3"/>
  <c r="AD140" i="3"/>
  <c r="AD244" i="3"/>
  <c r="AC244" i="3"/>
  <c r="AY215" i="3"/>
  <c r="AX215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Y67" i="3"/>
  <c r="AX67" i="3"/>
  <c r="AX153" i="3"/>
  <c r="AY153" i="3"/>
  <c r="AZ153" i="3"/>
  <c r="Z250" i="3"/>
  <c r="Y250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H197" i="3"/>
  <c r="G197" i="3"/>
  <c r="AW226" i="3"/>
  <c r="H112" i="3"/>
  <c r="G112" i="3"/>
  <c r="AC91" i="3"/>
  <c r="AD91" i="3"/>
  <c r="G91" i="3"/>
  <c r="H91" i="3"/>
  <c r="AW206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AC107" i="3"/>
  <c r="AD107" i="3"/>
  <c r="AD126" i="3"/>
  <c r="AC12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C83" i="3"/>
  <c r="AD83" i="3"/>
  <c r="AX149" i="3"/>
  <c r="AY149" i="3"/>
  <c r="AZ149" i="3"/>
  <c r="AZ205" i="3"/>
  <c r="AY205" i="3"/>
  <c r="AX205" i="3"/>
  <c r="G90" i="3"/>
  <c r="H90" i="3"/>
  <c r="AC192" i="3"/>
  <c r="AD192" i="3"/>
  <c r="AC251" i="3"/>
  <c r="AD251" i="3"/>
  <c r="H257" i="3"/>
  <c r="G257" i="3"/>
  <c r="Z247" i="3"/>
  <c r="Y247" i="3"/>
  <c r="H255" i="3"/>
  <c r="G255" i="3"/>
  <c r="X255" i="3"/>
  <c r="G206" i="3"/>
  <c r="H206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F95" i="3"/>
  <c r="Z95" i="3"/>
  <c r="Y95" i="3"/>
  <c r="AC84" i="3"/>
  <c r="AD84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Z80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AZ128" i="3"/>
  <c r="H68" i="3"/>
  <c r="G68" i="3"/>
  <c r="AD151" i="3"/>
  <c r="AC151" i="3"/>
  <c r="AD132" i="3"/>
  <c r="AC132" i="3"/>
  <c r="AD143" i="3"/>
  <c r="AC143" i="3"/>
  <c r="G86" i="3"/>
  <c r="H86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G151" i="3"/>
  <c r="H151" i="3"/>
  <c r="X257" i="3"/>
  <c r="G183" i="3"/>
  <c r="H183" i="3"/>
  <c r="G159" i="3"/>
  <c r="H159" i="3"/>
  <c r="G178" i="3"/>
  <c r="H178" i="3"/>
  <c r="AW143" i="3"/>
  <c r="AC176" i="3"/>
  <c r="AD176" i="3"/>
  <c r="G155" i="3"/>
  <c r="H155" i="3"/>
  <c r="AW75" i="3"/>
  <c r="G225" i="3"/>
  <c r="H225" i="3"/>
  <c r="X112" i="3"/>
  <c r="H119" i="3"/>
  <c r="G119" i="3"/>
  <c r="H258" i="3"/>
  <c r="G258" i="3"/>
  <c r="AW151" i="3"/>
  <c r="AW129" i="3"/>
  <c r="AW180" i="3"/>
  <c r="AW235" i="3"/>
  <c r="AC166" i="3"/>
  <c r="AD166" i="3"/>
  <c r="G89" i="3"/>
  <c r="H89" i="3"/>
  <c r="AW167" i="3"/>
  <c r="H144" i="3"/>
  <c r="G144" i="3"/>
  <c r="G107" i="3"/>
  <c r="H107" i="3"/>
  <c r="Z92" i="3" l="1"/>
  <c r="Z182" i="3"/>
  <c r="Y130" i="3"/>
  <c r="Z169" i="3"/>
  <c r="Y87" i="3"/>
  <c r="AY250" i="3"/>
  <c r="AY228" i="3"/>
  <c r="AY242" i="3"/>
  <c r="AZ242" i="3"/>
  <c r="BA242" i="3" s="1"/>
  <c r="Y240" i="3"/>
  <c r="Z168" i="3"/>
  <c r="Y188" i="3"/>
  <c r="AF87" i="3"/>
  <c r="AH87" i="3" s="1"/>
  <c r="Z71" i="3"/>
  <c r="AZ67" i="3"/>
  <c r="BD67" i="3" s="1"/>
  <c r="BE67" i="3" s="1"/>
  <c r="BH67" i="3" s="1"/>
  <c r="Y232" i="3"/>
  <c r="Y117" i="3"/>
  <c r="Y229" i="3"/>
  <c r="Y150" i="3"/>
  <c r="Z264" i="3"/>
  <c r="Y198" i="3"/>
  <c r="AX199" i="3"/>
  <c r="AX81" i="3"/>
  <c r="Z142" i="3"/>
  <c r="Z70" i="3"/>
  <c r="Y226" i="3"/>
  <c r="Z125" i="3"/>
  <c r="Z191" i="3"/>
  <c r="Z181" i="3"/>
  <c r="Y65" i="3"/>
  <c r="AZ66" i="3"/>
  <c r="BD66" i="3" s="1"/>
  <c r="BF66" i="3" s="1"/>
  <c r="BI66" i="3" s="1"/>
  <c r="Z235" i="3"/>
  <c r="Z146" i="3"/>
  <c r="Z78" i="3"/>
  <c r="Y133" i="3"/>
  <c r="Y187" i="3"/>
  <c r="AF117" i="3"/>
  <c r="AG117" i="3" s="1"/>
  <c r="Y209" i="3"/>
  <c r="Z69" i="3"/>
  <c r="Y196" i="3"/>
  <c r="AY81" i="3"/>
  <c r="AF71" i="3"/>
  <c r="AG71" i="3" s="1"/>
  <c r="AF78" i="3"/>
  <c r="AH78" i="3" s="1"/>
  <c r="AX135" i="3"/>
  <c r="AX71" i="3"/>
  <c r="AX137" i="3"/>
  <c r="Z114" i="3"/>
  <c r="Z77" i="3"/>
  <c r="Z106" i="3"/>
  <c r="Z101" i="3"/>
  <c r="Y68" i="3"/>
  <c r="Y75" i="3"/>
  <c r="AC66" i="3"/>
  <c r="AD66" i="3"/>
  <c r="AD67" i="3"/>
  <c r="AC67" i="3"/>
  <c r="Z67" i="3"/>
  <c r="Y67" i="3"/>
  <c r="U68" i="3"/>
  <c r="V68" i="3" s="1"/>
  <c r="AB68" i="3" s="1"/>
  <c r="U65" i="3"/>
  <c r="V65" i="3" s="1"/>
  <c r="AB65" i="3" s="1"/>
  <c r="Y66" i="3"/>
  <c r="Z66" i="3"/>
  <c r="Z64" i="3"/>
  <c r="Y64" i="3"/>
  <c r="AY137" i="3"/>
  <c r="AF75" i="3"/>
  <c r="AG75" i="3" s="1"/>
  <c r="Z262" i="3"/>
  <c r="Y164" i="3"/>
  <c r="Y85" i="3"/>
  <c r="AX188" i="3"/>
  <c r="AX119" i="3"/>
  <c r="Y165" i="3"/>
  <c r="Y215" i="3"/>
  <c r="Z103" i="3"/>
  <c r="AZ176" i="3"/>
  <c r="BB176" i="3" s="1"/>
  <c r="AY97" i="3"/>
  <c r="AY176" i="3"/>
  <c r="AZ97" i="3"/>
  <c r="BB97" i="3" s="1"/>
  <c r="AY136" i="3"/>
  <c r="Z199" i="3"/>
  <c r="AY139" i="3"/>
  <c r="Y104" i="3"/>
  <c r="AY86" i="3"/>
  <c r="AX214" i="3"/>
  <c r="Z122" i="3"/>
  <c r="AF261" i="3"/>
  <c r="AG261" i="3" s="1"/>
  <c r="Y263" i="3"/>
  <c r="AZ214" i="3"/>
  <c r="BA214" i="3" s="1"/>
  <c r="AD214" i="3"/>
  <c r="Y261" i="3"/>
  <c r="AF66" i="3"/>
  <c r="AH66" i="3" s="1"/>
  <c r="AC117" i="3"/>
  <c r="Y162" i="3"/>
  <c r="Y241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AD77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BD190" i="3"/>
  <c r="BE190" i="3" s="1"/>
  <c r="BH190" i="3" s="1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AG103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A193" i="3"/>
  <c r="BB193" i="3"/>
  <c r="BD193" i="3"/>
  <c r="BA115" i="3"/>
  <c r="BB115" i="3"/>
  <c r="BA155" i="3"/>
  <c r="BB155" i="3"/>
  <c r="BA161" i="3"/>
  <c r="BB161" i="3"/>
  <c r="BA124" i="3"/>
  <c r="BB124" i="3"/>
  <c r="AG166" i="3"/>
  <c r="AH166" i="3"/>
  <c r="BD115" i="3"/>
  <c r="Y242" i="3"/>
  <c r="AF242" i="3"/>
  <c r="Z242" i="3"/>
  <c r="BD242" i="3"/>
  <c r="AH79" i="3"/>
  <c r="AG79" i="3"/>
  <c r="AH171" i="3"/>
  <c r="AG171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Y226" i="3"/>
  <c r="AZ226" i="3"/>
  <c r="AX226" i="3"/>
  <c r="BA110" i="3"/>
  <c r="BB110" i="3"/>
  <c r="BA159" i="3"/>
  <c r="BB159" i="3"/>
  <c r="BB177" i="3"/>
  <c r="BA17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247" i="3"/>
  <c r="AG247" i="3"/>
  <c r="BB205" i="3"/>
  <c r="BA205" i="3"/>
  <c r="BB137" i="3"/>
  <c r="BA137" i="3"/>
  <c r="AY235" i="3"/>
  <c r="AX235" i="3"/>
  <c r="AZ235" i="3"/>
  <c r="AF97" i="3"/>
  <c r="Z97" i="3"/>
  <c r="Y97" i="3"/>
  <c r="Y195" i="3"/>
  <c r="Z195" i="3"/>
  <c r="AF195" i="3"/>
  <c r="AX225" i="3"/>
  <c r="AY225" i="3"/>
  <c r="AZ225" i="3"/>
  <c r="BD225" i="3" s="1"/>
  <c r="AH95" i="3"/>
  <c r="AG95" i="3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BA251" i="3"/>
  <c r="BB251" i="3"/>
  <c r="BD251" i="3"/>
  <c r="BA190" i="3"/>
  <c r="BB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AG87" i="3" l="1"/>
  <c r="BE66" i="3"/>
  <c r="BH66" i="3" s="1"/>
  <c r="BB67" i="3"/>
  <c r="BA66" i="3"/>
  <c r="BA67" i="3"/>
  <c r="AG78" i="3"/>
  <c r="BB66" i="3"/>
  <c r="AH71" i="3"/>
  <c r="AH117" i="3"/>
  <c r="AZ65" i="3"/>
  <c r="BA65" i="3" s="1"/>
  <c r="AH261" i="3"/>
  <c r="AZ68" i="3"/>
  <c r="BD68" i="3" s="1"/>
  <c r="BF68" i="3" s="1"/>
  <c r="BI68" i="3" s="1"/>
  <c r="AD65" i="3"/>
  <c r="AC65" i="3"/>
  <c r="AF65" i="3"/>
  <c r="AG65" i="3" s="1"/>
  <c r="AC68" i="3"/>
  <c r="AD68" i="3"/>
  <c r="AF68" i="3"/>
  <c r="AG68" i="3" s="1"/>
  <c r="AH75" i="3"/>
  <c r="BD97" i="3"/>
  <c r="BF97" i="3" s="1"/>
  <c r="BI97" i="3" s="1"/>
  <c r="BA97" i="3"/>
  <c r="BD176" i="3"/>
  <c r="BE176" i="3" s="1"/>
  <c r="BH176" i="3" s="1"/>
  <c r="BA176" i="3"/>
  <c r="AG66" i="3"/>
  <c r="BD214" i="3"/>
  <c r="BE214" i="3" s="1"/>
  <c r="BH214" i="3" s="1"/>
  <c r="BB214" i="3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F67" i="3"/>
  <c r="BI67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BF190" i="3"/>
  <c r="BI190" i="3" s="1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B65" i="3" l="1"/>
  <c r="BD65" i="3"/>
  <c r="BF65" i="3" s="1"/>
  <c r="BI65" i="3" s="1"/>
  <c r="BE68" i="3"/>
  <c r="BH68" i="3" s="1"/>
  <c r="BF214" i="3"/>
  <c r="BI214" i="3" s="1"/>
  <c r="AH68" i="3"/>
  <c r="BB68" i="3"/>
  <c r="BA68" i="3"/>
  <c r="AH65" i="3"/>
  <c r="BE97" i="3"/>
  <c r="BH97" i="3" s="1"/>
  <c r="BF176" i="3"/>
  <c r="BI176" i="3" s="1"/>
  <c r="BE99" i="3"/>
  <c r="BH99" i="3" s="1"/>
  <c r="BE232" i="3"/>
  <c r="BH232" i="3" s="1"/>
  <c r="BE82" i="3"/>
  <c r="BH82" i="3" s="1"/>
  <c r="BF200" i="3"/>
  <c r="BI200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BE65" i="3" l="1"/>
  <c r="BH65" i="3" s="1"/>
  <c r="M36" i="3"/>
  <c r="O36" i="3" s="1"/>
  <c r="M34" i="3"/>
  <c r="M35" i="3"/>
  <c r="O35" i="3" s="1"/>
</calcChain>
</file>

<file path=xl/sharedStrings.xml><?xml version="1.0" encoding="utf-8"?>
<sst xmlns="http://schemas.openxmlformats.org/spreadsheetml/2006/main" count="397" uniqueCount="284">
  <si>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</si>
  <si>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</si>
  <si>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</si>
  <si>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</si>
  <si>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</si>
  <si>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</si>
  <si>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</si>
  <si>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</si>
  <si>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</si>
  <si>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</si>
  <si>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</si>
  <si>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</si>
  <si>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</si>
  <si>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</si>
  <si>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</si>
  <si>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</si>
  <si>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</si>
  <si>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</si>
  <si>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</si>
  <si>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</si>
  <si>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</si>
  <si>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</si>
  <si>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</si>
  <si>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</si>
  <si>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</si>
  <si>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</si>
  <si>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</si>
  <si>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</si>
  <si>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</si>
  <si>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</si>
  <si>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</si>
  <si>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</si>
  <si>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</si>
  <si>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</si>
  <si>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</si>
  <si>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</si>
  <si>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</si>
  <si>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</si>
  <si>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</si>
  <si>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</si>
  <si>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</si>
  <si>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</si>
  <si>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</si>
  <si>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</si>
  <si>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</si>
  <si>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</si>
  <si>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</si>
  <si>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</si>
  <si>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</si>
  <si>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</si>
  <si>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</si>
  <si>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</si>
  <si>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</si>
  <si>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</si>
  <si>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</si>
  <si>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</si>
  <si>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</si>
  <si>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</si>
  <si>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</si>
  <si>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</si>
  <si>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</si>
  <si>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</si>
  <si>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</si>
  <si>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</si>
  <si>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</si>
  <si>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</si>
  <si>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</si>
  <si>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</si>
  <si>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</si>
  <si>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</si>
  <si>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</si>
  <si>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</si>
  <si>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</si>
  <si>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</si>
  <si>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</si>
  <si>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</si>
  <si>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</si>
  <si>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</si>
  <si>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</si>
  <si>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</si>
  <si>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</si>
  <si>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</si>
  <si>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</si>
  <si>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</si>
  <si>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</si>
  <si>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</si>
  <si>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</si>
  <si>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</si>
  <si>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</si>
  <si>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</si>
  <si>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</si>
  <si>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</si>
  <si>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</si>
  <si>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</si>
  <si>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</si>
  <si>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</si>
  <si>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</si>
  <si>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</si>
  <si>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</si>
  <si>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</si>
  <si>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</si>
  <si>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</si>
  <si>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</si>
  <si>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</si>
  <si>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</si>
  <si>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</si>
  <si>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</si>
  <si>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</si>
  <si>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</si>
  <si>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</si>
  <si>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</si>
  <si>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</si>
  <si>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</si>
  <si>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</si>
  <si>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</si>
  <si>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</si>
  <si>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</si>
  <si>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</si>
  <si>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</si>
  <si>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</si>
  <si>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</si>
  <si>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</si>
  <si>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</si>
  <si>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</si>
  <si>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</si>
  <si>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</si>
  <si>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</si>
  <si>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</si>
  <si>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</si>
  <si>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</si>
  <si>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</si>
  <si>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</si>
  <si>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</si>
  <si>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</si>
  <si>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</si>
  <si>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</si>
  <si>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</si>
  <si>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</si>
  <si>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</si>
  <si>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</si>
  <si>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</si>
  <si>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</si>
  <si>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</si>
  <si>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</si>
  <si>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</si>
  <si>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</si>
  <si>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</si>
  <si>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</si>
  <si>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</si>
  <si>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</si>
  <si>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</si>
  <si>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</si>
  <si>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</si>
  <si>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</si>
  <si>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</si>
  <si>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</si>
  <si>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</si>
  <si>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</si>
  <si>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</si>
  <si>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</si>
  <si>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</si>
  <si>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</si>
  <si>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</si>
  <si>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</si>
  <si>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</si>
  <si>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</si>
  <si>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</si>
  <si>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</si>
  <si>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</si>
  <si>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</si>
  <si>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</si>
  <si>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</si>
  <si>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</si>
  <si>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</si>
  <si>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</si>
  <si>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</si>
  <si>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</si>
  <si>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</si>
  <si>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</si>
  <si>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</si>
  <si>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</si>
  <si>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</si>
  <si>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</si>
  <si>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</si>
  <si>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</si>
  <si>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</si>
  <si>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</si>
  <si>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</si>
  <si>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</si>
  <si>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</si>
  <si>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</si>
  <si>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</si>
  <si>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</si>
  <si>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</si>
  <si>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</si>
  <si>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</si>
  <si>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</si>
  <si>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</si>
  <si>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</si>
  <si>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</si>
  <si>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</si>
  <si>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</si>
  <si>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</si>
  <si>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</si>
  <si>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</si>
  <si>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</si>
  <si>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</si>
  <si>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</si>
  <si>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</si>
  <si>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</si>
  <si>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</si>
  <si>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</si>
  <si>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</si>
  <si>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</si>
  <si>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</si>
  <si>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</si>
  <si>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</si>
  <si>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</si>
  <si>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</si>
  <si>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</si>
  <si>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</si>
  <si>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</si>
  <si>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</si>
  <si>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</si>
  <si>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</si>
  <si>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</si>
  <si>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</si>
  <si>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</si>
  <si>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</si>
  <si>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</si>
  <si>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</si>
  <si>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</si>
  <si>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</si>
  <si>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</si>
  <si>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</si>
  <si>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</si>
  <si>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</si>
  <si>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</si>
  <si>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</si>
  <si>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</si>
  <si>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</si>
  <si>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</si>
  <si>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</si>
  <si>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</si>
  <si>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</si>
  <si>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</si>
  <si>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</si>
  <si>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</si>
  <si>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</si>
  <si>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</si>
  <si>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</si>
  <si>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</si>
  <si>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r>
      <t>V</t>
    </r>
    <r>
      <rPr>
        <b/>
        <vertAlign val="subscript"/>
        <sz val="10"/>
        <rFont val="Arial"/>
        <family val="2"/>
      </rPr>
      <t>OFF</t>
    </r>
  </si>
  <si>
    <t>Version 2.0</t>
  </si>
  <si>
    <t>R5</t>
  </si>
  <si>
    <t>Part Number</t>
  </si>
  <si>
    <t>Internal</t>
  </si>
  <si>
    <t>External</t>
  </si>
  <si>
    <t>Time shift</t>
  </si>
  <si>
    <t>Frequency</t>
  </si>
  <si>
    <t>Energy Current</t>
  </si>
  <si>
    <t>DCM-CCM Boundary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</si>
  <si>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</si>
  <si>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</si>
  <si>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RT</t>
  </si>
  <si>
    <t>User Selects C4</t>
  </si>
  <si>
    <t>R3</t>
  </si>
  <si>
    <t>R4</t>
  </si>
  <si>
    <t>6. Go to File, then Option.</t>
  </si>
  <si>
    <t>7. Select Advance.</t>
  </si>
  <si>
    <t>8. Unselect Use System separator</t>
  </si>
  <si>
    <t>9. Change to local Decimal/Thousand separator to "." or ","</t>
  </si>
  <si>
    <t>10. Click OK.</t>
  </si>
  <si>
    <r>
      <t>T</t>
    </r>
    <r>
      <rPr>
        <b/>
        <vertAlign val="subscript"/>
        <sz val="10"/>
        <rFont val="Arial"/>
        <family val="2"/>
      </rPr>
      <t>ss</t>
    </r>
  </si>
  <si>
    <r>
      <t>C</t>
    </r>
    <r>
      <rPr>
        <b/>
        <vertAlign val="subscript"/>
        <sz val="10"/>
        <rFont val="Arial"/>
        <family val="2"/>
      </rPr>
      <t>SS</t>
    </r>
  </si>
  <si>
    <t>AP64352</t>
  </si>
  <si>
    <t>AP64352Q</t>
  </si>
  <si>
    <t>AP64502</t>
  </si>
  <si>
    <t>AP64502Q</t>
  </si>
  <si>
    <t>AP64102</t>
  </si>
  <si>
    <t>AP64102Q</t>
  </si>
  <si>
    <t>AP64202</t>
  </si>
  <si>
    <t>AP64202Q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</si>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</sst>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name val="Calibri"/>
      <family val="2"/>
    </font>
    <font>
      <b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4" borderId="0" xfId="0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0" fillId="0" borderId="13" xfId="0" applyFont="1" applyBorder="1" applyProtection="1"/>
    <xf numFmtId="0" fontId="22" fillId="2" borderId="0" xfId="0" applyFont="1" applyFill="1"/>
    <xf numFmtId="0" fontId="23" fillId="2" borderId="0" xfId="0" applyFont="1" applyFill="1" applyBorder="1" applyProtection="1"/>
    <xf numFmtId="2" fontId="22" fillId="2" borderId="0" xfId="0" applyNumberFormat="1" applyFont="1" applyFill="1" applyBorder="1"/>
    <xf numFmtId="0" fontId="22" fillId="0" borderId="0" xfId="0" applyFont="1"/>
    <xf numFmtId="0" fontId="24" fillId="2" borderId="0" xfId="0" applyFont="1" applyFill="1"/>
    <xf numFmtId="0" fontId="21" fillId="2" borderId="0" xfId="0" applyFont="1" applyFill="1"/>
    <xf numFmtId="0" fontId="25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2" fontId="21" fillId="5" borderId="13" xfId="0" applyNumberFormat="1" applyFont="1" applyFill="1" applyBorder="1"/>
    <xf numFmtId="0" fontId="20" fillId="0" borderId="11" xfId="0" applyFont="1" applyBorder="1" applyProtection="1"/>
    <xf numFmtId="11" fontId="27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0" borderId="0" xfId="0" applyFont="1" applyFill="1" applyProtection="1"/>
    <xf numFmtId="0" fontId="0" fillId="11" borderId="10" xfId="0" applyFill="1" applyBorder="1" applyProtection="1"/>
    <xf numFmtId="0" fontId="0" fillId="4" borderId="9" xfId="0" applyFill="1" applyBorder="1" applyProtection="1"/>
    <xf numFmtId="0" fontId="0" fillId="11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1" borderId="11" xfId="0" applyNumberFormat="1" applyFill="1" applyBorder="1" applyProtection="1"/>
    <xf numFmtId="11" fontId="0" fillId="11" borderId="13" xfId="0" applyNumberFormat="1" applyFill="1" applyBorder="1" applyProtection="1"/>
    <xf numFmtId="0" fontId="0" fillId="4" borderId="14" xfId="0" applyFill="1" applyBorder="1" applyProtection="1"/>
    <xf numFmtId="0" fontId="21" fillId="5" borderId="0" xfId="0" applyFont="1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0" borderId="0" xfId="0" applyFont="1" applyFill="1" applyAlignment="1" applyProtection="1">
      <alignment horizontal="right"/>
    </xf>
    <xf numFmtId="0" fontId="29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1" fontId="21" fillId="5" borderId="0" xfId="0" applyNumberFormat="1" applyFont="1" applyFill="1" applyBorder="1"/>
    <xf numFmtId="0" fontId="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vertical="center"/>
    </xf>
    <xf numFmtId="0" fontId="34" fillId="2" borderId="0" xfId="0" applyFont="1" applyFill="1"/>
    <xf numFmtId="9" fontId="20" fillId="3" borderId="0" xfId="1" applyFont="1" applyFill="1" applyBorder="1" applyProtection="1">
      <protection locked="0"/>
    </xf>
    <xf numFmtId="0" fontId="31" fillId="2" borderId="2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vertical="center"/>
    </xf>
    <xf numFmtId="0" fontId="21" fillId="5" borderId="13" xfId="0" applyFont="1" applyFill="1" applyBorder="1" applyProtection="1"/>
    <xf numFmtId="0" fontId="35" fillId="2" borderId="0" xfId="0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36" fillId="2" borderId="0" xfId="0" applyFont="1" applyFill="1" applyProtection="1">
      <protection hidden="1"/>
    </xf>
    <xf numFmtId="0" fontId="8" fillId="2" borderId="0" xfId="2" applyFont="1" applyFill="1" applyProtection="1">
      <protection hidden="1"/>
    </xf>
    <xf numFmtId="165" fontId="8" fillId="2" borderId="0" xfId="2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36" fillId="2" borderId="0" xfId="0" applyNumberFormat="1" applyFont="1" applyFill="1" applyProtection="1">
      <protection hidden="1"/>
    </xf>
    <xf numFmtId="0" fontId="8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170" fontId="8" fillId="2" borderId="0" xfId="0" applyNumberFormat="1" applyFont="1" applyFill="1"/>
    <xf numFmtId="11" fontId="24" fillId="2" borderId="0" xfId="0" applyNumberFormat="1" applyFont="1" applyFill="1"/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4" fillId="2" borderId="0" xfId="0" quotePrefix="1" applyFont="1" applyFill="1"/>
    <xf numFmtId="0" fontId="24" fillId="2" borderId="0" xfId="4" quotePrefix="1" applyFont="1" applyFill="1"/>
    <xf numFmtId="0" fontId="24" fillId="2" borderId="0" xfId="4" applyFont="1" applyFill="1"/>
    <xf numFmtId="164" fontId="2" fillId="12" borderId="0" xfId="0" applyNumberFormat="1" applyFont="1" applyFill="1" applyAlignment="1" applyProtection="1">
      <alignment vertical="center"/>
      <protection locked="0"/>
    </xf>
    <xf numFmtId="0" fontId="2" fillId="12" borderId="0" xfId="0" applyFont="1" applyFill="1"/>
    <xf numFmtId="0" fontId="2" fillId="10" borderId="0" xfId="0" applyFont="1" applyFill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5" fillId="0" borderId="0" xfId="3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0" fillId="0" borderId="0" xfId="0" applyAlignment="1"/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8" borderId="0" xfId="0" applyFont="1" applyFill="1" applyAlignment="1">
      <alignment horizontal="center"/>
    </xf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8" fillId="5" borderId="12" xfId="0" applyFont="1" applyFill="1" applyBorder="1" applyAlignment="1" applyProtection="1"/>
    <xf numFmtId="0" fontId="28" fillId="0" borderId="14" xfId="0" applyFont="1" applyBorder="1" applyAlignment="1" applyProtection="1"/>
    <xf numFmtId="0" fontId="8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0.17150902626178122</c:v>
                </c:pt>
                <c:pt idx="1">
                  <c:v>0.43640374253663328</c:v>
                </c:pt>
                <c:pt idx="3">
                  <c:v>5.1590693877551018E-2</c:v>
                </c:pt>
                <c:pt idx="4" formatCode="0.000E+00">
                  <c:v>8.2383673469387756E-4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0.14026539396216961</c:v>
                </c:pt>
                <c:pt idx="1">
                  <c:v>8.7054717856598504E-2</c:v>
                </c:pt>
                <c:pt idx="2">
                  <c:v>1E-3</c:v>
                </c:pt>
                <c:pt idx="3">
                  <c:v>2.9533715630562504E-2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223040"/>
        <c:axId val="226780672"/>
      </c:barChart>
      <c:catAx>
        <c:axId val="2252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7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5223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62304902726853E-2"/>
          <c:y val="0.16374300176466894"/>
          <c:w val="0.88634542819552131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3.9990000000000008E-3</c:v>
                </c:pt>
                <c:pt idx="2">
                  <c:v>6.9980000000000007E-3</c:v>
                </c:pt>
                <c:pt idx="3">
                  <c:v>1.2996000000000001E-2</c:v>
                </c:pt>
                <c:pt idx="4">
                  <c:v>1.8994E-2</c:v>
                </c:pt>
                <c:pt idx="5">
                  <c:v>2.4992000000000004E-2</c:v>
                </c:pt>
                <c:pt idx="6">
                  <c:v>3.0990000000000004E-2</c:v>
                </c:pt>
                <c:pt idx="7">
                  <c:v>6.0980000000000006E-2</c:v>
                </c:pt>
                <c:pt idx="8">
                  <c:v>0.12096000000000001</c:v>
                </c:pt>
                <c:pt idx="9">
                  <c:v>0.18093999999999999</c:v>
                </c:pt>
                <c:pt idx="10">
                  <c:v>0.24092000000000002</c:v>
                </c:pt>
                <c:pt idx="11">
                  <c:v>0.30090000000000006</c:v>
                </c:pt>
                <c:pt idx="12">
                  <c:v>0.45084999999999997</c:v>
                </c:pt>
                <c:pt idx="13">
                  <c:v>0.60080000000000011</c:v>
                </c:pt>
                <c:pt idx="14">
                  <c:v>0.75075000000000003</c:v>
                </c:pt>
                <c:pt idx="15">
                  <c:v>1.0506499999999999</c:v>
                </c:pt>
                <c:pt idx="16">
                  <c:v>1.2006000000000001</c:v>
                </c:pt>
                <c:pt idx="17">
                  <c:v>1.3505499999999999</c:v>
                </c:pt>
                <c:pt idx="18">
                  <c:v>1.5004999999999999</c:v>
                </c:pt>
                <c:pt idx="19">
                  <c:v>1.6504500000000002</c:v>
                </c:pt>
                <c:pt idx="20">
                  <c:v>1.8003999999999998</c:v>
                </c:pt>
                <c:pt idx="21">
                  <c:v>1.95035</c:v>
                </c:pt>
                <c:pt idx="22">
                  <c:v>2.1002999999999998</c:v>
                </c:pt>
                <c:pt idx="23">
                  <c:v>2.2502499999999999</c:v>
                </c:pt>
                <c:pt idx="24">
                  <c:v>2.4002000000000003</c:v>
                </c:pt>
                <c:pt idx="25">
                  <c:v>2.5501499999999999</c:v>
                </c:pt>
                <c:pt idx="26">
                  <c:v>2.7000999999999999</c:v>
                </c:pt>
                <c:pt idx="27">
                  <c:v>2.85005</c:v>
                </c:pt>
                <c:pt idx="28">
                  <c:v>3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1.4953672805266838</c:v>
                </c:pt>
                <c:pt idx="1">
                  <c:v>5.7139028536100653</c:v>
                </c:pt>
                <c:pt idx="2">
                  <c:v>9.5728690467516095</c:v>
                </c:pt>
                <c:pt idx="3">
                  <c:v>16.38081983313241</c:v>
                </c:pt>
                <c:pt idx="4">
                  <c:v>22.195478781184118</c:v>
                </c:pt>
                <c:pt idx="5">
                  <c:v>27.218370742475102</c:v>
                </c:pt>
                <c:pt idx="6">
                  <c:v>31.599956984714538</c:v>
                </c:pt>
                <c:pt idx="7">
                  <c:v>47.127656979577026</c:v>
                </c:pt>
                <c:pt idx="8">
                  <c:v>62.860031990284703</c:v>
                </c:pt>
                <c:pt idx="9">
                  <c:v>70.682275149064679</c:v>
                </c:pt>
                <c:pt idx="10">
                  <c:v>75.203898542914843</c:v>
                </c:pt>
                <c:pt idx="11">
                  <c:v>78.069226670584854</c:v>
                </c:pt>
                <c:pt idx="12">
                  <c:v>82.000775775463026</c:v>
                </c:pt>
                <c:pt idx="13">
                  <c:v>83.61482792328222</c:v>
                </c:pt>
                <c:pt idx="14">
                  <c:v>84.02384454696346</c:v>
                </c:pt>
                <c:pt idx="15">
                  <c:v>83.291362219362952</c:v>
                </c:pt>
                <c:pt idx="16">
                  <c:v>83.2909705450476</c:v>
                </c:pt>
                <c:pt idx="17">
                  <c:v>83.154798581924496</c:v>
                </c:pt>
                <c:pt idx="18">
                  <c:v>82.924311554186033</c:v>
                </c:pt>
                <c:pt idx="19">
                  <c:v>82.626448415566557</c:v>
                </c:pt>
                <c:pt idx="20">
                  <c:v>82.279448970203504</c:v>
                </c:pt>
                <c:pt idx="21">
                  <c:v>81.896085063845277</c:v>
                </c:pt>
                <c:pt idx="22">
                  <c:v>81.485551768812144</c:v>
                </c:pt>
                <c:pt idx="23">
                  <c:v>81.054624955014589</c:v>
                </c:pt>
                <c:pt idx="24">
                  <c:v>80.608397071682148</c:v>
                </c:pt>
                <c:pt idx="25">
                  <c:v>80.150760160347517</c:v>
                </c:pt>
                <c:pt idx="26">
                  <c:v>79.684731905605261</c:v>
                </c:pt>
                <c:pt idx="27">
                  <c:v>79.212681161593366</c:v>
                </c:pt>
                <c:pt idx="28">
                  <c:v>79.31225953281546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05056"/>
        <c:axId val="233920000"/>
      </c:scatterChart>
      <c:valAx>
        <c:axId val="23340505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Output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920000"/>
        <c:crosses val="autoZero"/>
        <c:crossBetween val="midCat"/>
      </c:valAx>
      <c:valAx>
        <c:axId val="233920000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405056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23010550963087E-2"/>
          <c:y val="7.0422632073382577E-2"/>
          <c:w val="0.86346653263545869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3.8450862760530335</c:v>
                </c:pt>
                <c:pt idx="1">
                  <c:v>3.8450862050987737</c:v>
                </c:pt>
                <c:pt idx="2">
                  <c:v>3.8450861272957026</c:v>
                </c:pt>
                <c:pt idx="3">
                  <c:v>3.8450860419826371</c:v>
                </c:pt>
                <c:pt idx="4">
                  <c:v>3.8450859484340096</c:v>
                </c:pt>
                <c:pt idx="5">
                  <c:v>3.8450858458544399</c:v>
                </c:pt>
                <c:pt idx="6">
                  <c:v>3.8450857333716435</c:v>
                </c:pt>
                <c:pt idx="7">
                  <c:v>3.8450856100286441</c:v>
                </c:pt>
                <c:pt idx="8">
                  <c:v>3.8450854747761847</c:v>
                </c:pt>
                <c:pt idx="9">
                  <c:v>3.845085326463344</c:v>
                </c:pt>
                <c:pt idx="10">
                  <c:v>3.8450851638276595</c:v>
                </c:pt>
                <c:pt idx="11">
                  <c:v>3.8450849854843634</c:v>
                </c:pt>
                <c:pt idx="12">
                  <c:v>3.8450847899148362</c:v>
                </c:pt>
                <c:pt idx="13">
                  <c:v>3.8450845754529928</c:v>
                </c:pt>
                <c:pt idx="14">
                  <c:v>3.8450843402713168</c:v>
                </c:pt>
                <c:pt idx="15">
                  <c:v>3.845084082364838</c:v>
                </c:pt>
                <c:pt idx="16">
                  <c:v>3.8450837995340321</c:v>
                </c:pt>
                <c:pt idx="17">
                  <c:v>3.8450834893659858</c:v>
                </c:pt>
                <c:pt idx="18">
                  <c:v>3.8450831492128379</c:v>
                </c:pt>
                <c:pt idx="19">
                  <c:v>3.8450827761695603</c:v>
                </c:pt>
                <c:pt idx="20">
                  <c:v>3.845082367048211</c:v>
                </c:pt>
                <c:pt idx="21">
                  <c:v>3.8450819183503877</c:v>
                </c:pt>
                <c:pt idx="22">
                  <c:v>3.8450814262363258</c:v>
                </c:pt>
                <c:pt idx="23">
                  <c:v>3.8450808864919646</c:v>
                </c:pt>
                <c:pt idx="24">
                  <c:v>3.8450802944911038</c:v>
                </c:pt>
                <c:pt idx="25">
                  <c:v>3.8450796451551783</c:v>
                </c:pt>
                <c:pt idx="26">
                  <c:v>3.845078932908188</c:v>
                </c:pt>
                <c:pt idx="27">
                  <c:v>3.845078151626979</c:v>
                </c:pt>
                <c:pt idx="28">
                  <c:v>3.8450772945871448</c:v>
                </c:pt>
                <c:pt idx="29">
                  <c:v>3.8450763544020656</c:v>
                </c:pt>
                <c:pt idx="30">
                  <c:v>3.8450753229574448</c:v>
                </c:pt>
                <c:pt idx="31">
                  <c:v>3.8450741913368707</c:v>
                </c:pt>
                <c:pt idx="32">
                  <c:v>3.8450729497411085</c:v>
                </c:pt>
                <c:pt idx="33">
                  <c:v>3.8450715873986656</c:v>
                </c:pt>
                <c:pt idx="34">
                  <c:v>3.8450700924659125</c:v>
                </c:pt>
                <c:pt idx="35">
                  <c:v>3.8450684519173066</c:v>
                </c:pt>
                <c:pt idx="36">
                  <c:v>3.845066651423573</c:v>
                </c:pt>
                <c:pt idx="37">
                  <c:v>3.8450646752158395</c:v>
                </c:pt>
                <c:pt idx="38">
                  <c:v>3.8450625059363785</c:v>
                </c:pt>
                <c:pt idx="39">
                  <c:v>3.8450601244700566</c:v>
                </c:pt>
                <c:pt idx="40">
                  <c:v>3.8450575097591644</c:v>
                </c:pt>
                <c:pt idx="41">
                  <c:v>3.845054638595883</c:v>
                </c:pt>
                <c:pt idx="42">
                  <c:v>3.8450514853906488</c:v>
                </c:pt>
                <c:pt idx="43">
                  <c:v>3.8450480219137271</c:v>
                </c:pt>
                <c:pt idx="44">
                  <c:v>3.8450442170058317</c:v>
                </c:pt>
                <c:pt idx="45">
                  <c:v>3.8450400362536676</c:v>
                </c:pt>
                <c:pt idx="46">
                  <c:v>3.8450354416256713</c:v>
                </c:pt>
                <c:pt idx="47">
                  <c:v>3.8450303910632586</c:v>
                </c:pt>
                <c:pt idx="48">
                  <c:v>3.8450248380199703</c:v>
                </c:pt>
                <c:pt idx="49">
                  <c:v>3.8450187309400592</c:v>
                </c:pt>
                <c:pt idx="50">
                  <c:v>3.8450120126721847</c:v>
                </c:pt>
                <c:pt idx="51">
                  <c:v>3.8450046198027614</c:v>
                </c:pt>
                <c:pt idx="52">
                  <c:v>3.8449964819006643</c:v>
                </c:pt>
                <c:pt idx="53">
                  <c:v>3.8449875206583206</c:v>
                </c:pt>
                <c:pt idx="54">
                  <c:v>3.8449776489133041</c:v>
                </c:pt>
                <c:pt idx="55">
                  <c:v>3.8449667695304575</c:v>
                </c:pt>
                <c:pt idx="56">
                  <c:v>3.844954774124147</c:v>
                </c:pt>
                <c:pt idx="57">
                  <c:v>3.8449415415928629</c:v>
                </c:pt>
                <c:pt idx="58">
                  <c:v>3.8449269364350807</c:v>
                </c:pt>
                <c:pt idx="59">
                  <c:v>3.8449108068109323</c:v>
                </c:pt>
                <c:pt idx="60">
                  <c:v>3.8448929823054421</c:v>
                </c:pt>
                <c:pt idx="61">
                  <c:v>3.8448732713425997</c:v>
                </c:pt>
                <c:pt idx="62">
                  <c:v>3.8448514581891571</c:v>
                </c:pt>
                <c:pt idx="63">
                  <c:v>3.8448272994766519</c:v>
                </c:pt>
                <c:pt idx="64">
                  <c:v>3.8448005201556184</c:v>
                </c:pt>
                <c:pt idx="65">
                  <c:v>3.8447708087804826</c:v>
                </c:pt>
                <c:pt idx="66">
                  <c:v>3.8447378120049738</c:v>
                </c:pt>
                <c:pt idx="67">
                  <c:v>3.8447011281420993</c:v>
                </c:pt>
                <c:pt idx="68">
                  <c:v>3.8446602996196355</c:v>
                </c:pt>
                <c:pt idx="69">
                  <c:v>3.8446148041240793</c:v>
                </c:pt>
                <c:pt idx="70">
                  <c:v>3.8445640441912325</c:v>
                </c:pt>
                <c:pt idx="71">
                  <c:v>3.8445073349495051</c:v>
                </c:pt>
                <c:pt idx="72">
                  <c:v>3.8444438896707744</c:v>
                </c:pt>
                <c:pt idx="73">
                  <c:v>3.8443728027098096</c:v>
                </c:pt>
                <c:pt idx="74">
                  <c:v>3.844293029337269</c:v>
                </c:pt>
                <c:pt idx="75">
                  <c:v>3.8442033618704712</c:v>
                </c:pt>
                <c:pt idx="76">
                  <c:v>3.8441024013901277</c:v>
                </c:pt>
                <c:pt idx="77">
                  <c:v>3.8439885241921354</c:v>
                </c:pt>
                <c:pt idx="78">
                  <c:v>3.843859841953944</c:v>
                </c:pt>
                <c:pt idx="79">
                  <c:v>3.8437141543960318</c:v>
                </c:pt>
                <c:pt idx="80">
                  <c:v>3.8435488929753103</c:v>
                </c:pt>
                <c:pt idx="81">
                  <c:v>3.8433610538600336</c:v>
                </c:pt>
                <c:pt idx="82">
                  <c:v>3.8431471180885231</c:v>
                </c:pt>
                <c:pt idx="83">
                  <c:v>3.8429029563993562</c:v>
                </c:pt>
                <c:pt idx="84">
                  <c:v>3.8426237157229179</c:v>
                </c:pt>
                <c:pt idx="85">
                  <c:v>3.8423036837291575</c:v>
                </c:pt>
                <c:pt idx="86">
                  <c:v>3.8419361271136792</c:v>
                </c:pt>
                <c:pt idx="87">
                  <c:v>3.8415130984517134</c:v>
                </c:pt>
                <c:pt idx="88">
                  <c:v>3.8410252054305265</c:v>
                </c:pt>
                <c:pt idx="89">
                  <c:v>3.8404613350544077</c:v>
                </c:pt>
                <c:pt idx="90">
                  <c:v>3.839808323963763</c:v>
                </c:pt>
                <c:pt idx="91">
                  <c:v>3.8390505642784878</c:v>
                </c:pt>
                <c:pt idx="92">
                  <c:v>3.8381695323217571</c:v>
                </c:pt>
                <c:pt idx="93">
                  <c:v>3.8371432251295818</c:v>
                </c:pt>
                <c:pt idx="94">
                  <c:v>3.8359454867642877</c:v>
                </c:pt>
                <c:pt idx="95">
                  <c:v>3.8345452030242235</c:v>
                </c:pt>
                <c:pt idx="96">
                  <c:v>3.8329053391201073</c:v>
                </c:pt>
                <c:pt idx="97">
                  <c:v>3.8309817901729835</c:v>
                </c:pt>
                <c:pt idx="98">
                  <c:v>3.8287220088911917</c:v>
                </c:pt>
                <c:pt idx="99">
                  <c:v>3.8260633684231058</c:v>
                </c:pt>
                <c:pt idx="100">
                  <c:v>3.8229312110861722</c:v>
                </c:pt>
                <c:pt idx="101">
                  <c:v>3.8192365253922489</c:v>
                </c:pt>
                <c:pt idx="102">
                  <c:v>3.8148731845391328</c:v>
                </c:pt>
                <c:pt idx="103">
                  <c:v>3.809714669400166</c:v>
                </c:pt>
                <c:pt idx="104">
                  <c:v>3.8036101882502384</c:v>
                </c:pt>
                <c:pt idx="105">
                  <c:v>3.7963800944339834</c:v>
                </c:pt>
                <c:pt idx="106">
                  <c:v>3.7878104926325511</c:v>
                </c:pt>
                <c:pt idx="107">
                  <c:v>3.7776469154693575</c:v>
                </c:pt>
                <c:pt idx="108">
                  <c:v>3.765586946642923</c:v>
                </c:pt>
                <c:pt idx="109">
                  <c:v>3.7512716671493513</c:v>
                </c:pt>
                <c:pt idx="110">
                  <c:v>3.7342758110808711</c:v>
                </c:pt>
                <c:pt idx="111">
                  <c:v>3.7140965419562679</c:v>
                </c:pt>
                <c:pt idx="112">
                  <c:v>3.6901408062385106</c:v>
                </c:pt>
                <c:pt idx="113">
                  <c:v>3.6617112961617764</c:v>
                </c:pt>
                <c:pt idx="114">
                  <c:v>3.6279911697084808</c:v>
                </c:pt>
                <c:pt idx="115">
                  <c:v>3.5880278434578767</c:v>
                </c:pt>
                <c:pt idx="116">
                  <c:v>3.5407164062954912</c:v>
                </c:pt>
                <c:pt idx="117">
                  <c:v>3.4847835086530674</c:v>
                </c:pt>
                <c:pt idx="118">
                  <c:v>3.418772966679354</c:v>
                </c:pt>
                <c:pt idx="119">
                  <c:v>3.3410347743102302</c:v>
                </c:pt>
                <c:pt idx="120">
                  <c:v>3.2497197076903559</c:v>
                </c:pt>
                <c:pt idx="121">
                  <c:v>3.1427821729922538</c:v>
                </c:pt>
                <c:pt idx="122">
                  <c:v>3.0179942865627907</c:v>
                </c:pt>
                <c:pt idx="123">
                  <c:v>2.8729742379460053</c:v>
                </c:pt>
                <c:pt idx="124">
                  <c:v>2.7052315915113949</c:v>
                </c:pt>
                <c:pt idx="125">
                  <c:v>2.5122311521162688</c:v>
                </c:pt>
                <c:pt idx="126">
                  <c:v>2.291475237824085</c:v>
                </c:pt>
                <c:pt idx="127">
                  <c:v>2.0406016971471326</c:v>
                </c:pt>
                <c:pt idx="128">
                  <c:v>1.7574920351924619</c:v>
                </c:pt>
                <c:pt idx="129">
                  <c:v>1.4403810902523364</c:v>
                </c:pt>
                <c:pt idx="130">
                  <c:v>1.0879575506567909</c:v>
                </c:pt>
                <c:pt idx="131">
                  <c:v>0.69944396592077496</c:v>
                </c:pt>
                <c:pt idx="132">
                  <c:v>0.2746462890230878</c:v>
                </c:pt>
                <c:pt idx="133">
                  <c:v>-0.18603360276908729</c:v>
                </c:pt>
                <c:pt idx="134">
                  <c:v>-0.68162411045842708</c:v>
                </c:pt>
                <c:pt idx="135">
                  <c:v>-1.2106453041160943</c:v>
                </c:pt>
                <c:pt idx="136">
                  <c:v>-1.77119752685836</c:v>
                </c:pt>
                <c:pt idx="137">
                  <c:v>-2.3610665118919942</c:v>
                </c:pt>
                <c:pt idx="138">
                  <c:v>-2.9778336795948879</c:v>
                </c:pt>
                <c:pt idx="139">
                  <c:v>-3.6189815336157842</c:v>
                </c:pt>
                <c:pt idx="140">
                  <c:v>-4.2819865906291907</c:v>
                </c:pt>
                <c:pt idx="141">
                  <c:v>-4.9643952938614735</c:v>
                </c:pt>
                <c:pt idx="142">
                  <c:v>-5.6638812129659657</c:v>
                </c:pt>
                <c:pt idx="143">
                  <c:v>-6.3782840969317594</c:v>
                </c:pt>
                <c:pt idx="144">
                  <c:v>-7.1056328551189658</c:v>
                </c:pt>
                <c:pt idx="145">
                  <c:v>-7.8441553272552689</c:v>
                </c:pt>
                <c:pt idx="146">
                  <c:v>-8.5922779138766696</c:v>
                </c:pt>
                <c:pt idx="147">
                  <c:v>-9.3486179592675853</c:v>
                </c:pt>
                <c:pt idx="148">
                  <c:v>-10.111971380532331</c:v>
                </c:pt>
                <c:pt idx="149">
                  <c:v>-10.881297551356727</c:v>
                </c:pt>
                <c:pt idx="150">
                  <c:v>-11.655702965730422</c:v>
                </c:pt>
                <c:pt idx="151">
                  <c:v>-12.434424775657094</c:v>
                </c:pt>
                <c:pt idx="152">
                  <c:v>-13.216814939731943</c:v>
                </c:pt>
                <c:pt idx="153">
                  <c:v>-14.002325440168198</c:v>
                </c:pt>
                <c:pt idx="154">
                  <c:v>-14.79049481785726</c:v>
                </c:pt>
                <c:pt idx="155">
                  <c:v>-15.58093612717246</c:v>
                </c:pt>
                <c:pt idx="156">
                  <c:v>-16.373326312148684</c:v>
                </c:pt>
                <c:pt idx="157">
                  <c:v>-17.167396941902528</c:v>
                </c:pt>
                <c:pt idx="158">
                  <c:v>-17.962926205878833</c:v>
                </c:pt>
                <c:pt idx="159">
                  <c:v>-18.759732050861309</c:v>
                </c:pt>
                <c:pt idx="160">
                  <c:v>-19.557666335616439</c:v>
                </c:pt>
                <c:pt idx="161">
                  <c:v>-20.356609881061708</c:v>
                </c:pt>
                <c:pt idx="162">
                  <c:v>-21.156468300763954</c:v>
                </c:pt>
                <c:pt idx="163">
                  <c:v>-21.957168506122127</c:v>
                </c:pt>
                <c:pt idx="164">
                  <c:v>-22.758655791278532</c:v>
                </c:pt>
                <c:pt idx="165">
                  <c:v>-23.56089141362704</c:v>
                </c:pt>
                <c:pt idx="166">
                  <c:v>-24.363850596175457</c:v>
                </c:pt>
                <c:pt idx="167">
                  <c:v>-25.167520887569658</c:v>
                </c:pt>
                <c:pt idx="168">
                  <c:v>-25.971900824182281</c:v>
                </c:pt>
                <c:pt idx="169">
                  <c:v>-26.776998846187769</c:v>
                </c:pt>
                <c:pt idx="170">
                  <c:v>-27.582832426038159</c:v>
                </c:pt>
                <c:pt idx="171">
                  <c:v>-28.389427373239023</c:v>
                </c:pt>
                <c:pt idx="172">
                  <c:v>-29.196817283885839</c:v>
                </c:pt>
                <c:pt idx="173">
                  <c:v>-30.005043107133623</c:v>
                </c:pt>
                <c:pt idx="174">
                  <c:v>-30.814152803717999</c:v>
                </c:pt>
                <c:pt idx="175">
                  <c:v>-31.624201073901979</c:v>
                </c:pt>
                <c:pt idx="176">
                  <c:v>-32.435249133877669</c:v>
                </c:pt>
                <c:pt idx="177">
                  <c:v>-33.247364520765842</c:v>
                </c:pt>
                <c:pt idx="178">
                  <c:v>-34.060620907021018</c:v>
                </c:pt>
                <c:pt idx="179">
                  <c:v>-34.875097905319691</c:v>
                </c:pt>
                <c:pt idx="180">
                  <c:v>-35.690880844989508</c:v>
                </c:pt>
                <c:pt idx="181">
                  <c:v>-36.508060500787451</c:v>
                </c:pt>
                <c:pt idx="182">
                  <c:v>-37.326732754474961</c:v>
                </c:pt>
                <c:pt idx="183">
                  <c:v>-38.146998169266503</c:v>
                </c:pt>
                <c:pt idx="184">
                  <c:v>-38.96896145697319</c:v>
                </c:pt>
                <c:pt idx="185">
                  <c:v>-39.792730817678347</c:v>
                </c:pt>
                <c:pt idx="186">
                  <c:v>-40.618417132227037</c:v>
                </c:pt>
                <c:pt idx="187">
                  <c:v>-41.446132988865742</c:v>
                </c:pt>
                <c:pt idx="188">
                  <c:v>-42.275991527236492</c:v>
                </c:pt>
                <c:pt idx="189">
                  <c:v>-43.108105085807011</c:v>
                </c:pt>
                <c:pt idx="190">
                  <c:v>-43.942583642891591</c:v>
                </c:pt>
                <c:pt idx="191">
                  <c:v>-44.779533046875308</c:v>
                </c:pt>
                <c:pt idx="192">
                  <c:v>-45.61905303820302</c:v>
                </c:pt>
                <c:pt idx="193">
                  <c:v>-46.461235074201923</c:v>
                </c:pt>
                <c:pt idx="194">
                  <c:v>-47.306159977831172</c:v>
                </c:pt>
                <c:pt idx="195">
                  <c:v>-48.153895442817152</c:v>
                </c:pt>
                <c:pt idx="196">
                  <c:v>-49.004493440030082</c:v>
                </c:pt>
                <c:pt idx="197">
                  <c:v>-49.8579875828854</c:v>
                </c:pt>
                <c:pt idx="198">
                  <c:v>-50.714390522347799</c:v>
                </c:pt>
                <c:pt idx="199">
                  <c:v>-51.573691453936178</c:v>
                </c:pt>
                <c:pt idx="200">
                  <c:v>-52.435853829006348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-5.5141447328378455</c:v>
                </c:pt>
                <c:pt idx="1">
                  <c:v>-5.5141119207632849</c:v>
                </c:pt>
                <c:pt idx="2">
                  <c:v>-5.5140759431858841</c:v>
                </c:pt>
                <c:pt idx="3">
                  <c:v>-5.5140364947334444</c:v>
                </c:pt>
                <c:pt idx="4">
                  <c:v>-5.513993240577749</c:v>
                </c:pt>
                <c:pt idx="5">
                  <c:v>-5.5139458135945034</c:v>
                </c:pt>
                <c:pt idx="6">
                  <c:v>-5.5138938112484137</c:v>
                </c:pt>
                <c:pt idx="7">
                  <c:v>-5.5138367921788483</c:v>
                </c:pt>
                <c:pt idx="8">
                  <c:v>-5.513774272455997</c:v>
                </c:pt>
                <c:pt idx="9">
                  <c:v>-5.5137057214765086</c:v>
                </c:pt>
                <c:pt idx="10">
                  <c:v>-5.5136305574634878</c:v>
                </c:pt>
                <c:pt idx="11">
                  <c:v>-5.5135481425329393</c:v>
                </c:pt>
                <c:pt idx="12">
                  <c:v>-5.5134577772856206</c:v>
                </c:pt>
                <c:pt idx="13">
                  <c:v>-5.5133586948764846</c:v>
                </c:pt>
                <c:pt idx="14">
                  <c:v>-5.5132500545150229</c:v>
                </c:pt>
                <c:pt idx="15">
                  <c:v>-5.5131309343380668</c:v>
                </c:pt>
                <c:pt idx="16">
                  <c:v>-5.5130003235975336</c:v>
                </c:pt>
                <c:pt idx="17">
                  <c:v>-5.5128571140962324</c:v>
                </c:pt>
                <c:pt idx="18">
                  <c:v>-5.5127000907990844</c:v>
                </c:pt>
                <c:pt idx="19">
                  <c:v>-5.5125279215418708</c:v>
                </c:pt>
                <c:pt idx="20">
                  <c:v>-5.5123391457498858</c:v>
                </c:pt>
                <c:pt idx="21">
                  <c:v>-5.5121321620724473</c:v>
                </c:pt>
                <c:pt idx="22">
                  <c:v>-5.5119052148284915</c:v>
                </c:pt>
                <c:pt idx="23">
                  <c:v>-5.5116563791511366</c:v>
                </c:pt>
                <c:pt idx="24">
                  <c:v>-5.5113835447042838</c:v>
                </c:pt>
                <c:pt idx="25">
                  <c:v>-5.5110843978376458</c:v>
                </c:pt>
                <c:pt idx="26">
                  <c:v>-5.5107564020292195</c:v>
                </c:pt>
                <c:pt idx="27">
                  <c:v>-5.5103967764527342</c:v>
                </c:pt>
                <c:pt idx="28">
                  <c:v>-5.5100024724912977</c:v>
                </c:pt>
                <c:pt idx="29">
                  <c:v>-5.5095701480024317</c:v>
                </c:pt>
                <c:pt idx="30">
                  <c:v>-5.509096139119773</c:v>
                </c:pt>
                <c:pt idx="31">
                  <c:v>-5.5085764293592092</c:v>
                </c:pt>
                <c:pt idx="32">
                  <c:v>-5.5080066157740131</c:v>
                </c:pt>
                <c:pt idx="33">
                  <c:v>-5.5073818718791232</c:v>
                </c:pt>
                <c:pt idx="34">
                  <c:v>-5.5066969070411229</c:v>
                </c:pt>
                <c:pt idx="35">
                  <c:v>-5.5059459220011595</c:v>
                </c:pt>
                <c:pt idx="36">
                  <c:v>-5.5051225601675258</c:v>
                </c:pt>
                <c:pt idx="37">
                  <c:v>-5.5042198542825638</c:v>
                </c:pt>
                <c:pt idx="38">
                  <c:v>-5.5032301680312958</c:v>
                </c:pt>
                <c:pt idx="39">
                  <c:v>-5.502145132123287</c:v>
                </c:pt>
                <c:pt idx="40">
                  <c:v>-5.5009555743335987</c:v>
                </c:pt>
                <c:pt idx="41">
                  <c:v>-5.499651442946254</c:v>
                </c:pt>
                <c:pt idx="42">
                  <c:v>-5.4982217229945896</c:v>
                </c:pt>
                <c:pt idx="43">
                  <c:v>-5.4966543446393548</c:v>
                </c:pt>
                <c:pt idx="44">
                  <c:v>-5.4949360829695282</c:v>
                </c:pt>
                <c:pt idx="45">
                  <c:v>-5.4930524484512757</c:v>
                </c:pt>
                <c:pt idx="46">
                  <c:v>-5.4909875671842201</c:v>
                </c:pt>
                <c:pt idx="47">
                  <c:v>-5.4887240500586953</c:v>
                </c:pt>
                <c:pt idx="48">
                  <c:v>-5.4862428498299023</c:v>
                </c:pt>
                <c:pt idx="49">
                  <c:v>-5.4835231050529938</c:v>
                </c:pt>
                <c:pt idx="50">
                  <c:v>-5.4805419697373186</c:v>
                </c:pt>
                <c:pt idx="51">
                  <c:v>-5.4772744274976413</c:v>
                </c:pt>
                <c:pt idx="52">
                  <c:v>-5.4736930888858124</c:v>
                </c:pt>
                <c:pt idx="53">
                  <c:v>-5.4697679705006133</c:v>
                </c:pt>
                <c:pt idx="54">
                  <c:v>-5.4654662543765475</c:v>
                </c:pt>
                <c:pt idx="55">
                  <c:v>-5.4607520260571265</c:v>
                </c:pt>
                <c:pt idx="56">
                  <c:v>-5.455585989665094</c:v>
                </c:pt>
                <c:pt idx="57">
                  <c:v>-5.4499251581856223</c:v>
                </c:pt>
                <c:pt idx="58">
                  <c:v>-5.4437225170919437</c:v>
                </c:pt>
                <c:pt idx="59">
                  <c:v>-5.4369266593541106</c:v>
                </c:pt>
                <c:pt idx="60">
                  <c:v>-5.4294813897997694</c:v>
                </c:pt>
                <c:pt idx="61">
                  <c:v>-5.4213252967291057</c:v>
                </c:pt>
                <c:pt idx="62">
                  <c:v>-5.412391288641941</c:v>
                </c:pt>
                <c:pt idx="63">
                  <c:v>-5.4026060939052609</c:v>
                </c:pt>
                <c:pt idx="64">
                  <c:v>-5.3918897211930217</c:v>
                </c:pt>
                <c:pt idx="65">
                  <c:v>-5.3801548785611564</c:v>
                </c:pt>
                <c:pt idx="66">
                  <c:v>-5.3673063490958715</c:v>
                </c:pt>
                <c:pt idx="67">
                  <c:v>-5.3532403211933204</c:v>
                </c:pt>
                <c:pt idx="68">
                  <c:v>-5.337843671707919</c:v>
                </c:pt>
                <c:pt idx="69">
                  <c:v>-5.3209932004505687</c:v>
                </c:pt>
                <c:pt idx="70">
                  <c:v>-5.302554814836169</c:v>
                </c:pt>
                <c:pt idx="71">
                  <c:v>-5.2823826638829852</c:v>
                </c:pt>
                <c:pt idx="72">
                  <c:v>-5.2603182212624064</c:v>
                </c:pt>
                <c:pt idx="73">
                  <c:v>-5.2361893176930909</c:v>
                </c:pt>
                <c:pt idx="74">
                  <c:v>-5.2098091236694959</c:v>
                </c:pt>
                <c:pt idx="75">
                  <c:v>-5.1809750843198739</c:v>
                </c:pt>
                <c:pt idx="76">
                  <c:v>-5.1494678090867376</c:v>
                </c:pt>
                <c:pt idx="77">
                  <c:v>-5.115049919908933</c:v>
                </c:pt>
                <c:pt idx="78">
                  <c:v>-5.0774648626296246</c:v>
                </c:pt>
                <c:pt idx="79">
                  <c:v>-5.036435687424742</c:v>
                </c:pt>
                <c:pt idx="80">
                  <c:v>-4.9916638050863531</c:v>
                </c:pt>
                <c:pt idx="81">
                  <c:v>-4.9428277269316006</c:v>
                </c:pt>
                <c:pt idx="82">
                  <c:v>-4.8895817968446655</c:v>
                </c:pt>
                <c:pt idx="83">
                  <c:v>-4.8315549243674081</c:v>
                </c:pt>
                <c:pt idx="84">
                  <c:v>-4.7683493276844917</c:v>
                </c:pt>
                <c:pt idx="85">
                  <c:v>-4.699539294612781</c:v>
                </c:pt>
                <c:pt idx="86">
                  <c:v>-4.624669968080422</c:v>
                </c:pt>
                <c:pt idx="87">
                  <c:v>-4.5432561598322732</c:v>
                </c:pt>
                <c:pt idx="88">
                  <c:v>-4.4547811919451865</c:v>
                </c:pt>
                <c:pt idx="89">
                  <c:v>-4.3586957599081355</c:v>
                </c:pt>
                <c:pt idx="90">
                  <c:v>-4.2544168032410665</c:v>
                </c:pt>
                <c:pt idx="91">
                  <c:v>-4.1413263596446006</c:v>
                </c:pt>
                <c:pt idx="92">
                  <c:v>-4.0187703663143477</c:v>
                </c:pt>
                <c:pt idx="93">
                  <c:v>-3.8860573572177701</c:v>
                </c:pt>
                <c:pt idx="94">
                  <c:v>-3.7424569879068104</c:v>
                </c:pt>
                <c:pt idx="95">
                  <c:v>-3.5871983000833207</c:v>
                </c:pt>
                <c:pt idx="96">
                  <c:v>-3.419467617258114</c:v>
                </c:pt>
                <c:pt idx="97">
                  <c:v>-3.2384059414349844</c:v>
                </c:pt>
                <c:pt idx="98">
                  <c:v>-3.0431057004265183</c:v>
                </c:pt>
                <c:pt idx="99">
                  <c:v>-2.832606678633756</c:v>
                </c:pt>
                <c:pt idx="100">
                  <c:v>-2.6058909546797686</c:v>
                </c:pt>
                <c:pt idx="101">
                  <c:v>-2.361876673008247</c:v>
                </c:pt>
                <c:pt idx="102">
                  <c:v>-2.0994105025748846</c:v>
                </c:pt>
                <c:pt idx="103">
                  <c:v>-1.8172586986485129</c:v>
                </c:pt>
                <c:pt idx="104">
                  <c:v>-1.5140968072052228</c:v>
                </c:pt>
                <c:pt idx="105">
                  <c:v>-1.1884982745789081</c:v>
                </c:pt>
                <c:pt idx="106">
                  <c:v>-0.83892261341275121</c:v>
                </c:pt>
                <c:pt idx="107">
                  <c:v>-0.46370444020443297</c:v>
                </c:pt>
                <c:pt idx="108">
                  <c:v>-6.1045828439310085E-2</c:v>
                </c:pt>
                <c:pt idx="109">
                  <c:v>0.37098366221065632</c:v>
                </c:pt>
                <c:pt idx="110">
                  <c:v>0.83443165937344843</c:v>
                </c:pt>
                <c:pt idx="111">
                  <c:v>1.3314191699351081</c:v>
                </c:pt>
                <c:pt idx="112">
                  <c:v>1.8640456029997685</c:v>
                </c:pt>
                <c:pt idx="113">
                  <c:v>2.4342037442744786</c:v>
                </c:pt>
                <c:pt idx="114">
                  <c:v>3.043238508442669</c:v>
                </c:pt>
                <c:pt idx="115">
                  <c:v>3.6913385063387278</c:v>
                </c:pt>
                <c:pt idx="116">
                  <c:v>4.3764802721228513</c:v>
                </c:pt>
                <c:pt idx="117">
                  <c:v>5.0926524076397275</c:v>
                </c:pt>
                <c:pt idx="118">
                  <c:v>5.8270095435170894</c:v>
                </c:pt>
                <c:pt idx="119">
                  <c:v>6.5557010222617871</c:v>
                </c:pt>
                <c:pt idx="120">
                  <c:v>7.2388146263638431</c:v>
                </c:pt>
                <c:pt idx="121">
                  <c:v>7.8169107954213075</c:v>
                </c:pt>
                <c:pt idx="122">
                  <c:v>8.2150604654355277</c:v>
                </c:pt>
                <c:pt idx="123">
                  <c:v>8.3613095383563447</c:v>
                </c:pt>
                <c:pt idx="124">
                  <c:v>8.216679197511942</c:v>
                </c:pt>
                <c:pt idx="125">
                  <c:v>7.7958717063299732</c:v>
                </c:pt>
                <c:pt idx="126">
                  <c:v>7.1588930663996928</c:v>
                </c:pt>
                <c:pt idx="127">
                  <c:v>6.3820035347213677</c:v>
                </c:pt>
                <c:pt idx="128">
                  <c:v>5.5324709065291557</c:v>
                </c:pt>
                <c:pt idx="129">
                  <c:v>4.6585030037398329</c:v>
                </c:pt>
                <c:pt idx="130">
                  <c:v>3.7902024926632221</c:v>
                </c:pt>
                <c:pt idx="131">
                  <c:v>2.9443926601469625</c:v>
                </c:pt>
                <c:pt idx="132">
                  <c:v>2.1293383332951268</c:v>
                </c:pt>
                <c:pt idx="133">
                  <c:v>1.3481957546515042</c:v>
                </c:pt>
                <c:pt idx="134">
                  <c:v>0.60124095630867358</c:v>
                </c:pt>
                <c:pt idx="135">
                  <c:v>-0.11277811911806628</c:v>
                </c:pt>
                <c:pt idx="136">
                  <c:v>-0.7958502350229274</c:v>
                </c:pt>
                <c:pt idx="137">
                  <c:v>-1.4502495126262493</c:v>
                </c:pt>
                <c:pt idx="138">
                  <c:v>-2.0782846840682212</c:v>
                </c:pt>
                <c:pt idx="139">
                  <c:v>-2.682164812279046</c:v>
                </c:pt>
                <c:pt idx="140">
                  <c:v>-3.2639317794805582</c:v>
                </c:pt>
                <c:pt idx="141">
                  <c:v>-3.8254304637727472</c:v>
                </c:pt>
                <c:pt idx="142">
                  <c:v>-4.3682996568474444</c:v>
                </c:pt>
                <c:pt idx="143">
                  <c:v>-4.8939738717190053</c:v>
                </c:pt>
                <c:pt idx="144">
                  <c:v>-5.4036903354093475</c:v>
                </c:pt>
                <c:pt idx="145">
                  <c:v>-5.8984978880287908</c:v>
                </c:pt>
                <c:pt idx="146">
                  <c:v>-6.3792659340074369</c:v>
                </c:pt>
                <c:pt idx="147">
                  <c:v>-6.8466924311575514</c:v>
                </c:pt>
                <c:pt idx="148">
                  <c:v>-7.3013104032863687</c:v>
                </c:pt>
                <c:pt idx="149">
                  <c:v>-7.7434927666311628</c:v>
                </c:pt>
                <c:pt idx="150">
                  <c:v>-8.1734554559080195</c:v>
                </c:pt>
                <c:pt idx="151">
                  <c:v>-8.5912589749763182</c:v>
                </c:pt>
                <c:pt idx="152">
                  <c:v>-8.996808612855915</c:v>
                </c:pt>
                <c:pt idx="153">
                  <c:v>-9.3898536788177509</c:v>
                </c:pt>
                <c:pt idx="154">
                  <c:v>-9.7699862331929719</c:v>
                </c:pt>
                <c:pt idx="155">
                  <c:v>-10.136639929834526</c:v>
                </c:pt>
                <c:pt idx="156">
                  <c:v>-10.489089742114766</c:v>
                </c:pt>
                <c:pt idx="157">
                  <c:v>-10.826453510198537</c:v>
                </c:pt>
                <c:pt idx="158">
                  <c:v>-11.147696407662124</c:v>
                </c:pt>
                <c:pt idx="159">
                  <c:v>-11.45163955462148</c:v>
                </c:pt>
                <c:pt idx="160">
                  <c:v>-11.736974065600762</c:v>
                </c:pt>
                <c:pt idx="161">
                  <c:v>-12.002281766893619</c:v>
                </c:pt>
                <c:pt idx="162">
                  <c:v>-12.246063598900189</c:v>
                </c:pt>
                <c:pt idx="163">
                  <c:v>-12.466776287729909</c:v>
                </c:pt>
                <c:pt idx="164">
                  <c:v>-12.662877201381777</c:v>
                </c:pt>
                <c:pt idx="165">
                  <c:v>-12.832876411959798</c:v>
                </c:pt>
                <c:pt idx="166">
                  <c:v>-12.975393935701</c:v>
                </c:pt>
                <c:pt idx="167">
                  <c:v>-13.089219050623226</c:v>
                </c:pt>
                <c:pt idx="168">
                  <c:v>-13.17336768655613</c:v>
                </c:pt>
                <c:pt idx="169">
                  <c:v>-13.227133357027913</c:v>
                </c:pt>
                <c:pt idx="170">
                  <c:v>-13.250127140863096</c:v>
                </c:pt>
                <c:pt idx="171">
                  <c:v>-13.24230291796823</c:v>
                </c:pt>
                <c:pt idx="172">
                  <c:v>-13.203965377547679</c:v>
                </c:pt>
                <c:pt idx="173">
                  <c:v>-13.135760060633999</c:v>
                </c:pt>
                <c:pt idx="174">
                  <c:v>-13.038646575231835</c:v>
                </c:pt>
                <c:pt idx="175">
                  <c:v>-12.913857799413524</c:v>
                </c:pt>
                <c:pt idx="176">
                  <c:v>-12.762849085761065</c:v>
                </c:pt>
                <c:pt idx="177">
                  <c:v>-12.58724204105725</c:v>
                </c:pt>
                <c:pt idx="178">
                  <c:v>-12.388767367275417</c:v>
                </c:pt>
                <c:pt idx="179">
                  <c:v>-12.169210631305624</c:v>
                </c:pt>
                <c:pt idx="180">
                  <c:v>-11.930363876366352</c:v>
                </c:pt>
                <c:pt idx="181">
                  <c:v>-11.673984909440518</c:v>
                </c:pt>
                <c:pt idx="182">
                  <c:v>-11.401765075958579</c:v>
                </c:pt>
                <c:pt idx="183">
                  <c:v>-11.115305485696474</c:v>
                </c:pt>
                <c:pt idx="184">
                  <c:v>-10.816101038882781</c:v>
                </c:pt>
                <c:pt idx="185">
                  <c:v>-10.505531222254827</c:v>
                </c:pt>
                <c:pt idx="186">
                  <c:v>-10.184856469804002</c:v>
                </c:pt>
                <c:pt idx="187">
                  <c:v>-9.8552188639598945</c:v>
                </c:pt>
                <c:pt idx="188">
                  <c:v>-9.5176460389938047</c:v>
                </c:pt>
                <c:pt idx="189">
                  <c:v>-9.1730572945021471</c:v>
                </c:pt>
                <c:pt idx="190">
                  <c:v>-8.8222710980122212</c:v>
                </c:pt>
                <c:pt idx="191">
                  <c:v>-8.4660133277607326</c:v>
                </c:pt>
                <c:pt idx="192">
                  <c:v>-8.1049257646223616</c:v>
                </c:pt>
                <c:pt idx="193">
                  <c:v>-7.7395744783764719</c:v>
                </c:pt>
                <c:pt idx="194">
                  <c:v>-7.3704578654669382</c:v>
                </c:pt>
                <c:pt idx="195">
                  <c:v>-6.9980141838015992</c:v>
                </c:pt>
                <c:pt idx="196">
                  <c:v>-6.6226284974168514</c:v>
                </c:pt>
                <c:pt idx="197">
                  <c:v>-6.2446389932303594</c:v>
                </c:pt>
                <c:pt idx="198">
                  <c:v>-5.8643426669877901</c:v>
                </c:pt>
                <c:pt idx="199">
                  <c:v>-5.4820003990162149</c:v>
                </c:pt>
                <c:pt idx="200">
                  <c:v>-5.0978414552620599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7.5390046653590028</c:v>
                </c:pt>
                <c:pt idx="1">
                  <c:v>7.5390133301397224</c:v>
                </c:pt>
                <c:pt idx="2">
                  <c:v>7.5390228308898415</c:v>
                </c:pt>
                <c:pt idx="3">
                  <c:v>7.5390332482636246</c:v>
                </c:pt>
                <c:pt idx="4">
                  <c:v>7.5390446706969687</c:v>
                </c:pt>
                <c:pt idx="5">
                  <c:v>7.5390571951581089</c:v>
                </c:pt>
                <c:pt idx="6">
                  <c:v>7.5390709279714088</c:v>
                </c:pt>
                <c:pt idx="7">
                  <c:v>7.5390859857192272</c:v>
                </c:pt>
                <c:pt idx="8">
                  <c:v>7.539102496232541</c:v>
                </c:pt>
                <c:pt idx="9">
                  <c:v>7.539120599675825</c:v>
                </c:pt>
                <c:pt idx="10">
                  <c:v>7.5391404497371619</c:v>
                </c:pt>
                <c:pt idx="11">
                  <c:v>7.5391622149332811</c:v>
                </c:pt>
                <c:pt idx="12">
                  <c:v>7.5391860800403219</c:v>
                </c:pt>
                <c:pt idx="13">
                  <c:v>7.5392122476629178</c:v>
                </c:pt>
                <c:pt idx="14">
                  <c:v>7.5392409399543414</c:v>
                </c:pt>
                <c:pt idx="15">
                  <c:v>7.5392724005028793</c:v>
                </c:pt>
                <c:pt idx="16">
                  <c:v>7.5393068964005021</c:v>
                </c:pt>
                <c:pt idx="17">
                  <c:v>7.5393447205110391</c:v>
                </c:pt>
                <c:pt idx="18">
                  <c:v>7.5393861939566289</c:v>
                </c:pt>
                <c:pt idx="19">
                  <c:v>7.5394316688456193</c:v>
                </c:pt>
                <c:pt idx="20">
                  <c:v>7.5394815312624788</c:v>
                </c:pt>
                <c:pt idx="21">
                  <c:v>7.5395362045468772</c:v>
                </c:pt>
                <c:pt idx="22">
                  <c:v>7.5395961528893451</c:v>
                </c:pt>
                <c:pt idx="23">
                  <c:v>7.5396618852745032</c:v>
                </c:pt>
                <c:pt idx="24">
                  <c:v>7.5397339598038373</c:v>
                </c:pt>
                <c:pt idx="25">
                  <c:v>7.5398129884374354</c:v>
                </c:pt>
                <c:pt idx="26">
                  <c:v>7.5398996421926245</c:v>
                </c:pt>
                <c:pt idx="27">
                  <c:v>7.5399946568448204</c:v>
                </c:pt>
                <c:pt idx="28">
                  <c:v>7.5400988391798984</c:v>
                </c:pt>
                <c:pt idx="29">
                  <c:v>7.5402130738491744</c:v>
                </c:pt>
                <c:pt idx="30">
                  <c:v>7.5403383308883498</c:v>
                </c:pt>
                <c:pt idx="31">
                  <c:v>7.5404756739614323</c:v>
                </c:pt>
                <c:pt idx="32">
                  <c:v>7.5406262694024884</c:v>
                </c:pt>
                <c:pt idx="33">
                  <c:v>7.5407913961315698</c:v>
                </c:pt>
                <c:pt idx="34">
                  <c:v>7.5409724565280918</c:v>
                </c:pt>
                <c:pt idx="35">
                  <c:v>7.5411709883568872</c:v>
                </c:pt>
                <c:pt idx="36">
                  <c:v>7.5413886778477135</c:v>
                </c:pt>
                <c:pt idx="37">
                  <c:v>7.541627374039253</c:v>
                </c:pt>
                <c:pt idx="38">
                  <c:v>7.5418891045127054</c:v>
                </c:pt>
                <c:pt idx="39">
                  <c:v>7.5421760926466463</c:v>
                </c:pt>
                <c:pt idx="40">
                  <c:v>7.5424907765444189</c:v>
                </c:pt>
                <c:pt idx="41">
                  <c:v>7.5428358297942601</c:v>
                </c:pt>
                <c:pt idx="42">
                  <c:v>7.5432141842408029</c:v>
                </c:pt>
                <c:pt idx="43">
                  <c:v>7.5436290549650113</c:v>
                </c:pt>
                <c:pt idx="44">
                  <c:v>7.5440839676866496</c:v>
                </c:pt>
                <c:pt idx="45">
                  <c:v>7.5445827888256574</c:v>
                </c:pt>
                <c:pt idx="46">
                  <c:v>7.5451297584825436</c:v>
                </c:pt>
                <c:pt idx="47">
                  <c:v>7.5457295266232318</c:v>
                </c:pt>
                <c:pt idx="48">
                  <c:v>7.5463871927818644</c:v>
                </c:pt>
                <c:pt idx="49">
                  <c:v>7.5471083496251312</c:v>
                </c:pt>
                <c:pt idx="50">
                  <c:v>7.5478991307602916</c:v>
                </c:pt>
                <c:pt idx="51">
                  <c:v>7.5487662632006645</c:v>
                </c:pt>
                <c:pt idx="52">
                  <c:v>7.5497171249498907</c:v>
                </c:pt>
                <c:pt idx="53">
                  <c:v>7.5507598082089249</c:v>
                </c:pt>
                <c:pt idx="54">
                  <c:v>7.5519031887623713</c:v>
                </c:pt>
                <c:pt idx="55">
                  <c:v>7.5531570021561549</c:v>
                </c:pt>
                <c:pt idx="56">
                  <c:v>7.5545319273425724</c:v>
                </c:pt>
                <c:pt idx="57">
                  <c:v>7.5560396785362505</c:v>
                </c:pt>
                <c:pt idx="58">
                  <c:v>7.557693106100781</c:v>
                </c:pt>
                <c:pt idx="59">
                  <c:v>7.55950630737384</c:v>
                </c:pt>
                <c:pt idx="60">
                  <c:v>7.5614947484290793</c:v>
                </c:pt>
                <c:pt idx="61">
                  <c:v>7.5636753978804716</c:v>
                </c:pt>
                <c:pt idx="62">
                  <c:v>7.5660668739500228</c:v>
                </c:pt>
                <c:pt idx="63">
                  <c:v>7.5686896061514979</c:v>
                </c:pt>
                <c:pt idx="64">
                  <c:v>7.5715660130857518</c:v>
                </c:pt>
                <c:pt idx="65">
                  <c:v>7.5747206980057431</c:v>
                </c:pt>
                <c:pt idx="66">
                  <c:v>7.5781806639923701</c:v>
                </c:pt>
                <c:pt idx="67">
                  <c:v>7.5819755507812889</c:v>
                </c:pt>
                <c:pt idx="68">
                  <c:v>7.586137895512703</c:v>
                </c:pt>
                <c:pt idx="69">
                  <c:v>7.5907034199281886</c:v>
                </c:pt>
                <c:pt idx="70">
                  <c:v>7.5957113468291348</c:v>
                </c:pt>
                <c:pt idx="71">
                  <c:v>7.6012047489340464</c:v>
                </c:pt>
                <c:pt idx="72">
                  <c:v>7.6072309336411337</c:v>
                </c:pt>
                <c:pt idx="73">
                  <c:v>7.6138418676135853</c:v>
                </c:pt>
                <c:pt idx="74">
                  <c:v>7.6210946455813691</c:v>
                </c:pt>
                <c:pt idx="75">
                  <c:v>7.6290520082826667</c:v>
                </c:pt>
                <c:pt idx="76">
                  <c:v>7.6377829150815586</c:v>
                </c:pt>
                <c:pt idx="77">
                  <c:v>7.6473631774905098</c:v>
                </c:pt>
                <c:pt idx="78">
                  <c:v>7.6578761606228287</c:v>
                </c:pt>
                <c:pt idx="79">
                  <c:v>7.6694135605099021</c:v>
                </c:pt>
                <c:pt idx="80">
                  <c:v>7.6820762662604283</c:v>
                </c:pt>
                <c:pt idx="81">
                  <c:v>7.6959753172443559</c:v>
                </c:pt>
                <c:pt idx="82">
                  <c:v>7.7112329668626778</c:v>
                </c:pt>
                <c:pt idx="83">
                  <c:v>7.7279838660635889</c:v>
                </c:pt>
                <c:pt idx="84">
                  <c:v>7.7463763816078801</c:v>
                </c:pt>
                <c:pt idx="85">
                  <c:v>7.7665740662171743</c:v>
                </c:pt>
                <c:pt idx="86">
                  <c:v>7.7887573002059227</c:v>
                </c:pt>
                <c:pt idx="87">
                  <c:v>7.8131251270526043</c:v>
                </c:pt>
                <c:pt idx="88">
                  <c:v>7.8398973086649377</c:v>
                </c:pt>
                <c:pt idx="89">
                  <c:v>7.8693166299102302</c:v>
                </c:pt>
                <c:pt idx="90">
                  <c:v>7.9016514863720033</c:v>
                </c:pt>
                <c:pt idx="91">
                  <c:v>7.9371987943355293</c:v>
                </c:pt>
                <c:pt idx="92">
                  <c:v>7.9762872677515793</c:v>
                </c:pt>
                <c:pt idx="93">
                  <c:v>8.0192811134098143</c:v>
                </c:pt>
                <c:pt idx="94">
                  <c:v>8.0665842027699153</c:v>
                </c:pt>
                <c:pt idx="95">
                  <c:v>8.1186447867417524</c:v>
                </c:pt>
                <c:pt idx="96">
                  <c:v>8.1759608279240812</c:v>
                </c:pt>
                <c:pt idx="97">
                  <c:v>8.2390860329019961</c:v>
                </c:pt>
                <c:pt idx="98">
                  <c:v>8.3086366741956432</c:v>
                </c:pt>
                <c:pt idx="99">
                  <c:v>8.3852992956748604</c:v>
                </c:pt>
                <c:pt idx="100">
                  <c:v>8.4698393937874723</c:v>
                </c:pt>
                <c:pt idx="101">
                  <c:v>8.5631111548767969</c:v>
                </c:pt>
                <c:pt idx="102">
                  <c:v>8.6660682979017878</c:v>
                </c:pt>
                <c:pt idx="103">
                  <c:v>8.7797760081652605</c:v>
                </c:pt>
                <c:pt idx="104">
                  <c:v>8.9054238279889848</c:v>
                </c:pt>
                <c:pt idx="105">
                  <c:v>9.0443391557045203</c:v>
                </c:pt>
                <c:pt idx="106">
                  <c:v>9.1980006291973915</c:v>
                </c:pt>
                <c:pt idx="107">
                  <c:v>9.3680500233621551</c:v>
                </c:pt>
                <c:pt idx="108">
                  <c:v>9.5563001827119312</c:v>
                </c:pt>
                <c:pt idx="109">
                  <c:v>9.7647346165495588</c:v>
                </c:pt>
                <c:pt idx="110">
                  <c:v>9.9954911466789937</c:v>
                </c:pt>
                <c:pt idx="111">
                  <c:v>10.25081645728649</c:v>
                </c:pt>
                <c:pt idx="112">
                  <c:v>10.532968913900946</c:v>
                </c:pt>
                <c:pt idx="113">
                  <c:v>10.844030843510282</c:v>
                </c:pt>
                <c:pt idx="114">
                  <c:v>11.185564187200006</c:v>
                </c:pt>
                <c:pt idx="115">
                  <c:v>11.557998655391064</c:v>
                </c:pt>
                <c:pt idx="116">
                  <c:v>11.959572327779771</c:v>
                </c:pt>
                <c:pt idx="117">
                  <c:v>12.384552051055106</c:v>
                </c:pt>
                <c:pt idx="118">
                  <c:v>12.820383624668249</c:v>
                </c:pt>
                <c:pt idx="119">
                  <c:v>13.243516762025003</c:v>
                </c:pt>
                <c:pt idx="120">
                  <c:v>13.614345221016499</c:v>
                </c:pt>
                <c:pt idx="121">
                  <c:v>13.873737605909131</c:v>
                </c:pt>
                <c:pt idx="122">
                  <c:v>13.947072018019959</c:v>
                </c:pt>
                <c:pt idx="123">
                  <c:v>13.76269759375155</c:v>
                </c:pt>
                <c:pt idx="124">
                  <c:v>13.281932162909714</c:v>
                </c:pt>
                <c:pt idx="125">
                  <c:v>12.519765669859018</c:v>
                </c:pt>
                <c:pt idx="126">
                  <c:v>11.536480727955254</c:v>
                </c:pt>
                <c:pt idx="127">
                  <c:v>10.408601292274193</c:v>
                </c:pt>
                <c:pt idx="128">
                  <c:v>9.2036443345683221</c:v>
                </c:pt>
                <c:pt idx="129">
                  <c:v>7.9700509319299151</c:v>
                </c:pt>
                <c:pt idx="130">
                  <c:v>6.7381398594607695</c:v>
                </c:pt>
                <c:pt idx="131">
                  <c:v>5.5249322791911961</c:v>
                </c:pt>
                <c:pt idx="132">
                  <c:v>4.3388716707837567</c:v>
                </c:pt>
                <c:pt idx="133">
                  <c:v>3.1832727743260438</c:v>
                </c:pt>
                <c:pt idx="134">
                  <c:v>2.0585490455672719</c:v>
                </c:pt>
                <c:pt idx="135">
                  <c:v>0.96356382715841449</c:v>
                </c:pt>
                <c:pt idx="136">
                  <c:v>-0.10357929405544028</c:v>
                </c:pt>
                <c:pt idx="137">
                  <c:v>-1.1450862883056574</c:v>
                </c:pt>
                <c:pt idx="138">
                  <c:v>-2.1632232569732328</c:v>
                </c:pt>
                <c:pt idx="139">
                  <c:v>-3.1601836947908755</c:v>
                </c:pt>
                <c:pt idx="140">
                  <c:v>-4.1380227935542324</c:v>
                </c:pt>
                <c:pt idx="141">
                  <c:v>-5.098629760002094</c:v>
                </c:pt>
                <c:pt idx="142">
                  <c:v>-6.0437212555106985</c:v>
                </c:pt>
                <c:pt idx="143">
                  <c:v>-6.9748461618028017</c:v>
                </c:pt>
                <c:pt idx="144">
                  <c:v>-7.8933960223389645</c:v>
                </c:pt>
                <c:pt idx="145">
                  <c:v>-8.8006179328576</c:v>
                </c:pt>
                <c:pt idx="146">
                  <c:v>-9.6976280728763058</c:v>
                </c:pt>
                <c:pt idx="147">
                  <c:v>-10.585424899172764</c:v>
                </c:pt>
                <c:pt idx="148">
                  <c:v>-11.46490150491438</c:v>
                </c:pt>
                <c:pt idx="149">
                  <c:v>-12.336856926221953</c:v>
                </c:pt>
                <c:pt idx="150">
                  <c:v>-13.202006335162974</c:v>
                </c:pt>
                <c:pt idx="151">
                  <c:v>-14.060990143964034</c:v>
                </c:pt>
                <c:pt idx="152">
                  <c:v>-14.914382089061831</c:v>
                </c:pt>
                <c:pt idx="153">
                  <c:v>-15.762696383050232</c:v>
                </c:pt>
                <c:pt idx="154">
                  <c:v>-16.606394028116902</c:v>
                </c:pt>
                <c:pt idx="155">
                  <c:v>-17.445888382463341</c:v>
                </c:pt>
                <c:pt idx="156">
                  <c:v>-18.281550065175253</c:v>
                </c:pt>
                <c:pt idx="157">
                  <c:v>-19.11371127723061</c:v>
                </c:pt>
                <c:pt idx="158">
                  <c:v>-19.942669608041626</c:v>
                </c:pt>
                <c:pt idx="159">
                  <c:v>-20.768691388823548</c:v>
                </c:pt>
                <c:pt idx="160">
                  <c:v>-21.592014646512556</c:v>
                </c:pt>
                <c:pt idx="161">
                  <c:v>-22.412851705080726</c:v>
                </c:pt>
                <c:pt idx="162">
                  <c:v>-23.231391474967992</c:v>
                </c:pt>
                <c:pt idx="163">
                  <c:v>-24.047801465943458</c:v>
                </c:pt>
                <c:pt idx="164">
                  <c:v>-24.862229553987252</c:v>
                </c:pt>
                <c:pt idx="165">
                  <c:v>-25.674805528664081</c:v>
                </c:pt>
                <c:pt idx="166">
                  <c:v>-26.485642443908258</c:v>
                </c:pt>
                <c:pt idx="167">
                  <c:v>-27.294837792046348</c:v>
                </c:pt>
                <c:pt idx="168">
                  <c:v>-28.102474518241635</c:v>
                </c:pt>
                <c:pt idx="169">
                  <c:v>-28.908621890250433</c:v>
                </c:pt>
                <c:pt idx="170">
                  <c:v>-29.713336236428361</c:v>
                </c:pt>
                <c:pt idx="171">
                  <c:v>-30.516661563250004</c:v>
                </c:pt>
                <c:pt idx="172">
                  <c:v>-31.318630062187744</c:v>
                </c:pt>
                <c:pt idx="173">
                  <c:v>-32.119262514606838</c:v>
                </c:pt>
                <c:pt idx="174">
                  <c:v>-32.918568602351058</c:v>
                </c:pt>
                <c:pt idx="175">
                  <c:v>-33.716547130899023</c:v>
                </c:pt>
                <c:pt idx="176">
                  <c:v>-34.513186171362975</c:v>
                </c:pt>
                <c:pt idx="177">
                  <c:v>-35.308463127158923</c:v>
                </c:pt>
                <c:pt idx="178">
                  <c:v>-36.102344730912158</c:v>
                </c:pt>
                <c:pt idx="179">
                  <c:v>-36.894786977054899</c:v>
                </c:pt>
                <c:pt idx="180">
                  <c:v>-37.685734995648886</c:v>
                </c:pt>
                <c:pt idx="181">
                  <c:v>-38.475122873208079</c:v>
                </c:pt>
                <c:pt idx="182">
                  <c:v>-39.262873426724695</c:v>
                </c:pt>
                <c:pt idx="183">
                  <c:v>-40.048897937719843</c:v>
                </c:pt>
                <c:pt idx="184">
                  <c:v>-40.833095853947214</c:v>
                </c:pt>
                <c:pt idx="185">
                  <c:v>-41.61535446739105</c:v>
                </c:pt>
                <c:pt idx="186">
                  <c:v>-42.395548578410128</c:v>
                </c:pt>
                <c:pt idx="187">
                  <c:v>-43.173540157290226</c:v>
                </c:pt>
                <c:pt idx="188">
                  <c:v>-43.949178016062916</c:v>
                </c:pt>
                <c:pt idx="189">
                  <c:v>-44.72229750522078</c:v>
                </c:pt>
                <c:pt idx="190">
                  <c:v>-45.492720251855388</c:v>
                </c:pt>
                <c:pt idx="191">
                  <c:v>-46.260253957742435</c:v>
                </c:pt>
                <c:pt idx="192">
                  <c:v>-47.024692277909452</c:v>
                </c:pt>
                <c:pt idx="193">
                  <c:v>-47.785814802170961</c:v>
                </c:pt>
                <c:pt idx="194">
                  <c:v>-48.543387163888944</c:v>
                </c:pt>
                <c:pt idx="195">
                  <c:v>-49.297161301668659</c:v>
                </c:pt>
                <c:pt idx="196">
                  <c:v>-50.046875900679559</c:v>
                </c:pt>
                <c:pt idx="197">
                  <c:v>-50.792257040598543</c:v>
                </c:pt>
                <c:pt idx="198">
                  <c:v>-51.533019076612888</c:v>
                </c:pt>
                <c:pt idx="199">
                  <c:v>-52.268865778269472</c:v>
                </c:pt>
                <c:pt idx="200">
                  <c:v>-52.999491748012808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94688"/>
        <c:axId val="234596992"/>
      </c:scatterChart>
      <c:valAx>
        <c:axId val="234594688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96992"/>
        <c:crosses val="autoZero"/>
        <c:crossBetween val="midCat"/>
      </c:valAx>
      <c:valAx>
        <c:axId val="23459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94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53078820347722E-2"/>
          <c:y val="7.02247191011236E-2"/>
          <c:w val="0.86765409410511352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3.8450862760530335</c:v>
                </c:pt>
                <c:pt idx="1">
                  <c:v>3.8450862050987737</c:v>
                </c:pt>
                <c:pt idx="2">
                  <c:v>3.8450861272957026</c:v>
                </c:pt>
                <c:pt idx="3">
                  <c:v>3.8450860419826371</c:v>
                </c:pt>
                <c:pt idx="4">
                  <c:v>3.8450859484340096</c:v>
                </c:pt>
                <c:pt idx="5">
                  <c:v>3.8450858458544399</c:v>
                </c:pt>
                <c:pt idx="6">
                  <c:v>3.8450857333716435</c:v>
                </c:pt>
                <c:pt idx="7">
                  <c:v>3.8450856100286441</c:v>
                </c:pt>
                <c:pt idx="8">
                  <c:v>3.8450854747761847</c:v>
                </c:pt>
                <c:pt idx="9">
                  <c:v>3.845085326463344</c:v>
                </c:pt>
                <c:pt idx="10">
                  <c:v>3.8450851638276595</c:v>
                </c:pt>
                <c:pt idx="11">
                  <c:v>3.8450849854843634</c:v>
                </c:pt>
                <c:pt idx="12">
                  <c:v>3.8450847899148362</c:v>
                </c:pt>
                <c:pt idx="13">
                  <c:v>3.8450845754529928</c:v>
                </c:pt>
                <c:pt idx="14">
                  <c:v>3.8450843402713168</c:v>
                </c:pt>
                <c:pt idx="15">
                  <c:v>3.845084082364838</c:v>
                </c:pt>
                <c:pt idx="16">
                  <c:v>3.8450837995340321</c:v>
                </c:pt>
                <c:pt idx="17">
                  <c:v>3.8450834893659858</c:v>
                </c:pt>
                <c:pt idx="18">
                  <c:v>3.8450831492128379</c:v>
                </c:pt>
                <c:pt idx="19">
                  <c:v>3.8450827761695603</c:v>
                </c:pt>
                <c:pt idx="20">
                  <c:v>3.845082367048211</c:v>
                </c:pt>
                <c:pt idx="21">
                  <c:v>3.8450819183503877</c:v>
                </c:pt>
                <c:pt idx="22">
                  <c:v>3.8450814262363258</c:v>
                </c:pt>
                <c:pt idx="23">
                  <c:v>3.8450808864919646</c:v>
                </c:pt>
                <c:pt idx="24">
                  <c:v>3.8450802944911038</c:v>
                </c:pt>
                <c:pt idx="25">
                  <c:v>3.8450796451551783</c:v>
                </c:pt>
                <c:pt idx="26">
                  <c:v>3.845078932908188</c:v>
                </c:pt>
                <c:pt idx="27">
                  <c:v>3.845078151626979</c:v>
                </c:pt>
                <c:pt idx="28">
                  <c:v>3.8450772945871448</c:v>
                </c:pt>
                <c:pt idx="29">
                  <c:v>3.8450763544020656</c:v>
                </c:pt>
                <c:pt idx="30">
                  <c:v>3.8450753229574448</c:v>
                </c:pt>
                <c:pt idx="31">
                  <c:v>3.8450741913368707</c:v>
                </c:pt>
                <c:pt idx="32">
                  <c:v>3.8450729497411085</c:v>
                </c:pt>
                <c:pt idx="33">
                  <c:v>3.8450715873986656</c:v>
                </c:pt>
                <c:pt idx="34">
                  <c:v>3.8450700924659125</c:v>
                </c:pt>
                <c:pt idx="35">
                  <c:v>3.8450684519173066</c:v>
                </c:pt>
                <c:pt idx="36">
                  <c:v>3.845066651423573</c:v>
                </c:pt>
                <c:pt idx="37">
                  <c:v>3.8450646752158395</c:v>
                </c:pt>
                <c:pt idx="38">
                  <c:v>3.8450625059363785</c:v>
                </c:pt>
                <c:pt idx="39">
                  <c:v>3.8450601244700566</c:v>
                </c:pt>
                <c:pt idx="40">
                  <c:v>3.8450575097591644</c:v>
                </c:pt>
                <c:pt idx="41">
                  <c:v>3.845054638595883</c:v>
                </c:pt>
                <c:pt idx="42">
                  <c:v>3.8450514853906488</c:v>
                </c:pt>
                <c:pt idx="43">
                  <c:v>3.8450480219137271</c:v>
                </c:pt>
                <c:pt idx="44">
                  <c:v>3.8450442170058317</c:v>
                </c:pt>
                <c:pt idx="45">
                  <c:v>3.8450400362536676</c:v>
                </c:pt>
                <c:pt idx="46">
                  <c:v>3.8450354416256713</c:v>
                </c:pt>
                <c:pt idx="47">
                  <c:v>3.8450303910632586</c:v>
                </c:pt>
                <c:pt idx="48">
                  <c:v>3.8450248380199703</c:v>
                </c:pt>
                <c:pt idx="49">
                  <c:v>3.8450187309400592</c:v>
                </c:pt>
                <c:pt idx="50">
                  <c:v>3.8450120126721847</c:v>
                </c:pt>
                <c:pt idx="51">
                  <c:v>3.8450046198027614</c:v>
                </c:pt>
                <c:pt idx="52">
                  <c:v>3.8449964819006643</c:v>
                </c:pt>
                <c:pt idx="53">
                  <c:v>3.8449875206583206</c:v>
                </c:pt>
                <c:pt idx="54">
                  <c:v>3.8449776489133041</c:v>
                </c:pt>
                <c:pt idx="55">
                  <c:v>3.8449667695304575</c:v>
                </c:pt>
                <c:pt idx="56">
                  <c:v>3.844954774124147</c:v>
                </c:pt>
                <c:pt idx="57">
                  <c:v>3.8449415415928629</c:v>
                </c:pt>
                <c:pt idx="58">
                  <c:v>3.8449269364350807</c:v>
                </c:pt>
                <c:pt idx="59">
                  <c:v>3.8449108068109323</c:v>
                </c:pt>
                <c:pt idx="60">
                  <c:v>3.8448929823054421</c:v>
                </c:pt>
                <c:pt idx="61">
                  <c:v>3.8448732713425997</c:v>
                </c:pt>
                <c:pt idx="62">
                  <c:v>3.8448514581891571</c:v>
                </c:pt>
                <c:pt idx="63">
                  <c:v>3.8448272994766519</c:v>
                </c:pt>
                <c:pt idx="64">
                  <c:v>3.8448005201556184</c:v>
                </c:pt>
                <c:pt idx="65">
                  <c:v>3.8447708087804826</c:v>
                </c:pt>
                <c:pt idx="66">
                  <c:v>3.8447378120049738</c:v>
                </c:pt>
                <c:pt idx="67">
                  <c:v>3.8447011281420993</c:v>
                </c:pt>
                <c:pt idx="68">
                  <c:v>3.8446602996196355</c:v>
                </c:pt>
                <c:pt idx="69">
                  <c:v>3.8446148041240793</c:v>
                </c:pt>
                <c:pt idx="70">
                  <c:v>3.8445640441912325</c:v>
                </c:pt>
                <c:pt idx="71">
                  <c:v>3.8445073349495051</c:v>
                </c:pt>
                <c:pt idx="72">
                  <c:v>3.8444438896707744</c:v>
                </c:pt>
                <c:pt idx="73">
                  <c:v>3.8443728027098096</c:v>
                </c:pt>
                <c:pt idx="74">
                  <c:v>3.844293029337269</c:v>
                </c:pt>
                <c:pt idx="75">
                  <c:v>3.8442033618704712</c:v>
                </c:pt>
                <c:pt idx="76">
                  <c:v>3.8441024013901277</c:v>
                </c:pt>
                <c:pt idx="77">
                  <c:v>3.8439885241921354</c:v>
                </c:pt>
                <c:pt idx="78">
                  <c:v>3.843859841953944</c:v>
                </c:pt>
                <c:pt idx="79">
                  <c:v>3.8437141543960318</c:v>
                </c:pt>
                <c:pt idx="80">
                  <c:v>3.8435488929753103</c:v>
                </c:pt>
                <c:pt idx="81">
                  <c:v>3.8433610538600336</c:v>
                </c:pt>
                <c:pt idx="82">
                  <c:v>3.8431471180885231</c:v>
                </c:pt>
                <c:pt idx="83">
                  <c:v>3.8429029563993562</c:v>
                </c:pt>
                <c:pt idx="84">
                  <c:v>3.8426237157229179</c:v>
                </c:pt>
                <c:pt idx="85">
                  <c:v>3.8423036837291575</c:v>
                </c:pt>
                <c:pt idx="86">
                  <c:v>3.8419361271136792</c:v>
                </c:pt>
                <c:pt idx="87">
                  <c:v>3.8415130984517134</c:v>
                </c:pt>
                <c:pt idx="88">
                  <c:v>3.8410252054305265</c:v>
                </c:pt>
                <c:pt idx="89">
                  <c:v>3.8404613350544077</c:v>
                </c:pt>
                <c:pt idx="90">
                  <c:v>3.839808323963763</c:v>
                </c:pt>
                <c:pt idx="91">
                  <c:v>3.8390505642784878</c:v>
                </c:pt>
                <c:pt idx="92">
                  <c:v>3.8381695323217571</c:v>
                </c:pt>
                <c:pt idx="93">
                  <c:v>3.8371432251295818</c:v>
                </c:pt>
                <c:pt idx="94">
                  <c:v>3.8359454867642877</c:v>
                </c:pt>
                <c:pt idx="95">
                  <c:v>3.8345452030242235</c:v>
                </c:pt>
                <c:pt idx="96">
                  <c:v>3.8329053391201073</c:v>
                </c:pt>
                <c:pt idx="97">
                  <c:v>3.8309817901729835</c:v>
                </c:pt>
                <c:pt idx="98">
                  <c:v>3.8287220088911917</c:v>
                </c:pt>
                <c:pt idx="99">
                  <c:v>3.8260633684231058</c:v>
                </c:pt>
                <c:pt idx="100">
                  <c:v>3.8229312110861722</c:v>
                </c:pt>
                <c:pt idx="101">
                  <c:v>3.8192365253922489</c:v>
                </c:pt>
                <c:pt idx="102">
                  <c:v>3.8148731845391328</c:v>
                </c:pt>
                <c:pt idx="103">
                  <c:v>3.809714669400166</c:v>
                </c:pt>
                <c:pt idx="104">
                  <c:v>3.8036101882502384</c:v>
                </c:pt>
                <c:pt idx="105">
                  <c:v>3.7963800944339834</c:v>
                </c:pt>
                <c:pt idx="106">
                  <c:v>3.7878104926325511</c:v>
                </c:pt>
                <c:pt idx="107">
                  <c:v>3.7776469154693575</c:v>
                </c:pt>
                <c:pt idx="108">
                  <c:v>3.765586946642923</c:v>
                </c:pt>
                <c:pt idx="109">
                  <c:v>3.7512716671493513</c:v>
                </c:pt>
                <c:pt idx="110">
                  <c:v>3.7342758110808711</c:v>
                </c:pt>
                <c:pt idx="111">
                  <c:v>3.7140965419562679</c:v>
                </c:pt>
                <c:pt idx="112">
                  <c:v>3.6901408062385106</c:v>
                </c:pt>
                <c:pt idx="113">
                  <c:v>3.6617112961617764</c:v>
                </c:pt>
                <c:pt idx="114">
                  <c:v>3.6279911697084808</c:v>
                </c:pt>
                <c:pt idx="115">
                  <c:v>3.5880278434578767</c:v>
                </c:pt>
                <c:pt idx="116">
                  <c:v>3.5407164062954912</c:v>
                </c:pt>
                <c:pt idx="117">
                  <c:v>3.4847835086530674</c:v>
                </c:pt>
                <c:pt idx="118">
                  <c:v>3.418772966679354</c:v>
                </c:pt>
                <c:pt idx="119">
                  <c:v>3.3410347743102302</c:v>
                </c:pt>
                <c:pt idx="120">
                  <c:v>3.2497197076903559</c:v>
                </c:pt>
                <c:pt idx="121">
                  <c:v>3.1427821729922538</c:v>
                </c:pt>
                <c:pt idx="122">
                  <c:v>3.0179942865627907</c:v>
                </c:pt>
                <c:pt idx="123">
                  <c:v>2.8729742379460053</c:v>
                </c:pt>
                <c:pt idx="124">
                  <c:v>2.7052315915113949</c:v>
                </c:pt>
                <c:pt idx="125">
                  <c:v>2.5122311521162688</c:v>
                </c:pt>
                <c:pt idx="126">
                  <c:v>2.291475237824085</c:v>
                </c:pt>
                <c:pt idx="127">
                  <c:v>2.0406016971471326</c:v>
                </c:pt>
                <c:pt idx="128">
                  <c:v>1.7574920351924619</c:v>
                </c:pt>
                <c:pt idx="129">
                  <c:v>1.4403810902523364</c:v>
                </c:pt>
                <c:pt idx="130">
                  <c:v>1.0879575506567909</c:v>
                </c:pt>
                <c:pt idx="131">
                  <c:v>0.69944396592077496</c:v>
                </c:pt>
                <c:pt idx="132">
                  <c:v>0.2746462890230878</c:v>
                </c:pt>
                <c:pt idx="133">
                  <c:v>-0.18603360276908729</c:v>
                </c:pt>
                <c:pt idx="134">
                  <c:v>-0.68162411045842708</c:v>
                </c:pt>
                <c:pt idx="135">
                  <c:v>-1.2106453041160943</c:v>
                </c:pt>
                <c:pt idx="136">
                  <c:v>-1.77119752685836</c:v>
                </c:pt>
                <c:pt idx="137">
                  <c:v>-2.3610665118919942</c:v>
                </c:pt>
                <c:pt idx="138">
                  <c:v>-2.9778336795948879</c:v>
                </c:pt>
                <c:pt idx="139">
                  <c:v>-3.6189815336157842</c:v>
                </c:pt>
                <c:pt idx="140">
                  <c:v>-4.2819865906291907</c:v>
                </c:pt>
                <c:pt idx="141">
                  <c:v>-4.9643952938614735</c:v>
                </c:pt>
                <c:pt idx="142">
                  <c:v>-5.6638812129659657</c:v>
                </c:pt>
                <c:pt idx="143">
                  <c:v>-6.3782840969317594</c:v>
                </c:pt>
                <c:pt idx="144">
                  <c:v>-7.1056328551189658</c:v>
                </c:pt>
                <c:pt idx="145">
                  <c:v>-7.8441553272552689</c:v>
                </c:pt>
                <c:pt idx="146">
                  <c:v>-8.5922779138766696</c:v>
                </c:pt>
                <c:pt idx="147">
                  <c:v>-9.3486179592675853</c:v>
                </c:pt>
                <c:pt idx="148">
                  <c:v>-10.111971380532331</c:v>
                </c:pt>
                <c:pt idx="149">
                  <c:v>-10.881297551356727</c:v>
                </c:pt>
                <c:pt idx="150">
                  <c:v>-11.655702965730422</c:v>
                </c:pt>
                <c:pt idx="151">
                  <c:v>-12.434424775657094</c:v>
                </c:pt>
                <c:pt idx="152">
                  <c:v>-13.216814939731943</c:v>
                </c:pt>
                <c:pt idx="153">
                  <c:v>-14.002325440168198</c:v>
                </c:pt>
                <c:pt idx="154">
                  <c:v>-14.79049481785726</c:v>
                </c:pt>
                <c:pt idx="155">
                  <c:v>-15.58093612717246</c:v>
                </c:pt>
                <c:pt idx="156">
                  <c:v>-16.373326312148684</c:v>
                </c:pt>
                <c:pt idx="157">
                  <c:v>-17.167396941902528</c:v>
                </c:pt>
                <c:pt idx="158">
                  <c:v>-17.962926205878833</c:v>
                </c:pt>
                <c:pt idx="159">
                  <c:v>-18.759732050861309</c:v>
                </c:pt>
                <c:pt idx="160">
                  <c:v>-19.557666335616439</c:v>
                </c:pt>
                <c:pt idx="161">
                  <c:v>-20.356609881061708</c:v>
                </c:pt>
                <c:pt idx="162">
                  <c:v>-21.156468300763954</c:v>
                </c:pt>
                <c:pt idx="163">
                  <c:v>-21.957168506122127</c:v>
                </c:pt>
                <c:pt idx="164">
                  <c:v>-22.758655791278532</c:v>
                </c:pt>
                <c:pt idx="165">
                  <c:v>-23.56089141362704</c:v>
                </c:pt>
                <c:pt idx="166">
                  <c:v>-24.363850596175457</c:v>
                </c:pt>
                <c:pt idx="167">
                  <c:v>-25.167520887569658</c:v>
                </c:pt>
                <c:pt idx="168">
                  <c:v>-25.971900824182281</c:v>
                </c:pt>
                <c:pt idx="169">
                  <c:v>-26.776998846187769</c:v>
                </c:pt>
                <c:pt idx="170">
                  <c:v>-27.582832426038159</c:v>
                </c:pt>
                <c:pt idx="171">
                  <c:v>-28.389427373239023</c:v>
                </c:pt>
                <c:pt idx="172">
                  <c:v>-29.196817283885839</c:v>
                </c:pt>
                <c:pt idx="173">
                  <c:v>-30.005043107133623</c:v>
                </c:pt>
                <c:pt idx="174">
                  <c:v>-30.814152803717999</c:v>
                </c:pt>
                <c:pt idx="175">
                  <c:v>-31.624201073901979</c:v>
                </c:pt>
                <c:pt idx="176">
                  <c:v>-32.435249133877669</c:v>
                </c:pt>
                <c:pt idx="177">
                  <c:v>-33.247364520765842</c:v>
                </c:pt>
                <c:pt idx="178">
                  <c:v>-34.060620907021018</c:v>
                </c:pt>
                <c:pt idx="179">
                  <c:v>-34.875097905319691</c:v>
                </c:pt>
                <c:pt idx="180">
                  <c:v>-35.690880844989508</c:v>
                </c:pt>
                <c:pt idx="181">
                  <c:v>-36.508060500787451</c:v>
                </c:pt>
                <c:pt idx="182">
                  <c:v>-37.326732754474961</c:v>
                </c:pt>
                <c:pt idx="183">
                  <c:v>-38.146998169266503</c:v>
                </c:pt>
                <c:pt idx="184">
                  <c:v>-38.96896145697319</c:v>
                </c:pt>
                <c:pt idx="185">
                  <c:v>-39.792730817678347</c:v>
                </c:pt>
                <c:pt idx="186">
                  <c:v>-40.618417132227037</c:v>
                </c:pt>
                <c:pt idx="187">
                  <c:v>-41.446132988865742</c:v>
                </c:pt>
                <c:pt idx="188">
                  <c:v>-42.275991527236492</c:v>
                </c:pt>
                <c:pt idx="189">
                  <c:v>-43.108105085807011</c:v>
                </c:pt>
                <c:pt idx="190">
                  <c:v>-43.942583642891591</c:v>
                </c:pt>
                <c:pt idx="191">
                  <c:v>-44.779533046875308</c:v>
                </c:pt>
                <c:pt idx="192">
                  <c:v>-45.61905303820302</c:v>
                </c:pt>
                <c:pt idx="193">
                  <c:v>-46.461235074201923</c:v>
                </c:pt>
                <c:pt idx="194">
                  <c:v>-47.306159977831172</c:v>
                </c:pt>
                <c:pt idx="195">
                  <c:v>-48.153895442817152</c:v>
                </c:pt>
                <c:pt idx="196">
                  <c:v>-49.004493440030082</c:v>
                </c:pt>
                <c:pt idx="197">
                  <c:v>-49.8579875828854</c:v>
                </c:pt>
                <c:pt idx="198">
                  <c:v>-50.714390522347799</c:v>
                </c:pt>
                <c:pt idx="199">
                  <c:v>-51.573691453936178</c:v>
                </c:pt>
                <c:pt idx="200">
                  <c:v>-52.435853829006348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30.290900975469853</c:v>
                </c:pt>
                <c:pt idx="1">
                  <c:v>29.89186851104828</c:v>
                </c:pt>
                <c:pt idx="2">
                  <c:v>29.49285406615256</c:v>
                </c:pt>
                <c:pt idx="3">
                  <c:v>29.093865974332683</c:v>
                </c:pt>
                <c:pt idx="4">
                  <c:v>28.694912789491326</c:v>
                </c:pt>
                <c:pt idx="5">
                  <c:v>28.296003357271672</c:v>
                </c:pt>
                <c:pt idx="6">
                  <c:v>27.897146888767995</c:v>
                </c:pt>
                <c:pt idx="7">
                  <c:v>27.498353037137143</c:v>
                </c:pt>
                <c:pt idx="8">
                  <c:v>27.099631977709002</c:v>
                </c:pt>
                <c:pt idx="9">
                  <c:v>26.700994492214747</c:v>
                </c:pt>
                <c:pt idx="10">
                  <c:v>26.302452057774634</c:v>
                </c:pt>
                <c:pt idx="11">
                  <c:v>25.904016941318311</c:v>
                </c:pt>
                <c:pt idx="12">
                  <c:v>25.505702300136459</c:v>
                </c:pt>
                <c:pt idx="13">
                  <c:v>25.107522289300576</c:v>
                </c:pt>
                <c:pt idx="14">
                  <c:v>24.709492176719678</c:v>
                </c:pt>
                <c:pt idx="15">
                  <c:v>24.311628466642489</c:v>
                </c:pt>
                <c:pt idx="16">
                  <c:v>23.913949032452962</c:v>
                </c:pt>
                <c:pt idx="17">
                  <c:v>23.516473259644364</c:v>
                </c:pt>
                <c:pt idx="18">
                  <c:v>23.119222199901834</c:v>
                </c:pt>
                <c:pt idx="19">
                  <c:v>22.722218737257116</c:v>
                </c:pt>
                <c:pt idx="20">
                  <c:v>22.325487767320851</c:v>
                </c:pt>
                <c:pt idx="21">
                  <c:v>21.929056390625526</c:v>
                </c:pt>
                <c:pt idx="22">
                  <c:v>21.532954121143696</c:v>
                </c:pt>
                <c:pt idx="23">
                  <c:v>21.137213111063225</c:v>
                </c:pt>
                <c:pt idx="24">
                  <c:v>20.741868392905175</c:v>
                </c:pt>
                <c:pt idx="25">
                  <c:v>20.346958140072008</c:v>
                </c:pt>
                <c:pt idx="26">
                  <c:v>19.952523946878561</c:v>
                </c:pt>
                <c:pt idx="27">
                  <c:v>19.558611129076922</c:v>
                </c:pt>
                <c:pt idx="28">
                  <c:v>19.165269045807168</c:v>
                </c:pt>
                <c:pt idx="29">
                  <c:v>18.772551443791755</c:v>
                </c:pt>
                <c:pt idx="30">
                  <c:v>18.380516824439269</c:v>
                </c:pt>
                <c:pt idx="31">
                  <c:v>17.989228834314986</c:v>
                </c:pt>
                <c:pt idx="32">
                  <c:v>17.598756679169924</c:v>
                </c:pt>
                <c:pt idx="33">
                  <c:v>17.209175561381521</c:v>
                </c:pt>
                <c:pt idx="34">
                  <c:v>16.820567140236811</c:v>
                </c:pt>
                <c:pt idx="35">
                  <c:v>16.433020013975273</c:v>
                </c:pt>
                <c:pt idx="36">
                  <c:v>16.046630221875834</c:v>
                </c:pt>
                <c:pt idx="37">
                  <c:v>15.661501763931598</c:v>
                </c:pt>
                <c:pt idx="38">
                  <c:v>15.277747134761961</c:v>
                </c:pt>
                <c:pt idx="39">
                  <c:v>14.895487867381974</c:v>
                </c:pt>
                <c:pt idx="40">
                  <c:v>14.514855081249527</c:v>
                </c:pt>
                <c:pt idx="41">
                  <c:v>14.135990027647336</c:v>
                </c:pt>
                <c:pt idx="42">
                  <c:v>13.759044623917935</c:v>
                </c:pt>
                <c:pt idx="43">
                  <c:v>13.384181966363942</c:v>
                </c:pt>
                <c:pt idx="44">
                  <c:v>13.011576809758381</c:v>
                </c:pt>
                <c:pt idx="45">
                  <c:v>12.641415999410802</c:v>
                </c:pt>
                <c:pt idx="46">
                  <c:v>12.273898839634763</c:v>
                </c:pt>
                <c:pt idx="47">
                  <c:v>11.909237380319668</c:v>
                </c:pt>
                <c:pt idx="48">
                  <c:v>11.54765660119825</c:v>
                </c:pt>
                <c:pt idx="49">
                  <c:v>11.189394471420155</c:v>
                </c:pt>
                <c:pt idx="50">
                  <c:v>10.834701860311389</c:v>
                </c:pt>
                <c:pt idx="51">
                  <c:v>10.483842273874856</c:v>
                </c:pt>
                <c:pt idx="52">
                  <c:v>10.137091390836272</c:v>
                </c:pt>
                <c:pt idx="53">
                  <c:v>9.7947363720652074</c:v>
                </c:pt>
                <c:pt idx="54">
                  <c:v>9.4570749182072618</c:v>
                </c:pt>
                <c:pt idx="55">
                  <c:v>9.1244140525708133</c:v>
                </c:pt>
                <c:pt idx="56">
                  <c:v>8.7970686099183126</c:v>
                </c:pt>
                <c:pt idx="57">
                  <c:v>8.47535941699355</c:v>
                </c:pt>
                <c:pt idx="58">
                  <c:v>8.1596111574853953</c:v>
                </c:pt>
                <c:pt idx="59">
                  <c:v>7.8501499227274749</c:v>
                </c:pt>
                <c:pt idx="60">
                  <c:v>7.5473004596813027</c:v>
                </c:pt>
                <c:pt idx="61">
                  <c:v>7.2513831394469372</c:v>
                </c:pt>
                <c:pt idx="62">
                  <c:v>6.9627106823298153</c:v>
                </c:pt>
                <c:pt idx="63">
                  <c:v>6.6815846888465833</c:v>
                </c:pt>
                <c:pt idx="64">
                  <c:v>6.4082920393022338</c:v>
                </c:pt>
                <c:pt idx="65">
                  <c:v>6.1431012369170537</c:v>
                </c:pt>
                <c:pt idx="66">
                  <c:v>5.8862587800420325</c:v>
                </c:pt>
                <c:pt idx="67">
                  <c:v>5.6379856568646343</c:v>
                </c:pt>
                <c:pt idx="68">
                  <c:v>5.3984740603454551</c:v>
                </c:pt>
                <c:pt idx="69">
                  <c:v>5.1678844212404531</c:v>
                </c:pt>
                <c:pt idx="70">
                  <c:v>4.9463428525053326</c:v>
                </c:pt>
                <c:pt idx="71">
                  <c:v>4.7339390890120452</c:v>
                </c:pt>
                <c:pt idx="72">
                  <c:v>4.5307249925433384</c:v>
                </c:pt>
                <c:pt idx="73">
                  <c:v>4.3367136740667567</c:v>
                </c:pt>
                <c:pt idx="74">
                  <c:v>4.1518792642517068</c:v>
                </c:pt>
                <c:pt idx="75">
                  <c:v>3.9761573402914721</c:v>
                </c:pt>
                <c:pt idx="76">
                  <c:v>3.8094459936933895</c:v>
                </c:pt>
                <c:pt idx="77">
                  <c:v>3.6516075012384959</c:v>
                </c:pt>
                <c:pt idx="78">
                  <c:v>3.5024705411045307</c:v>
                </c:pt>
                <c:pt idx="79">
                  <c:v>3.3618328793412782</c:v>
                </c:pt>
                <c:pt idx="80">
                  <c:v>3.2294644392983733</c:v>
                </c:pt>
                <c:pt idx="81">
                  <c:v>3.1051106587256387</c:v>
                </c:pt>
                <c:pt idx="82">
                  <c:v>2.988496036184328</c:v>
                </c:pt>
                <c:pt idx="83">
                  <c:v>2.8793277698916002</c:v>
                </c:pt>
                <c:pt idx="84">
                  <c:v>2.7772993976295544</c:v>
                </c:pt>
                <c:pt idx="85">
                  <c:v>2.6820943551444953</c:v>
                </c:pt>
                <c:pt idx="86">
                  <c:v>2.5933893816662335</c:v>
                </c:pt>
                <c:pt idx="87">
                  <c:v>2.5108577138902848</c:v>
                </c:pt>
                <c:pt idx="88">
                  <c:v>2.4341720231236499</c:v>
                </c:pt>
                <c:pt idx="89">
                  <c:v>2.3630070635318354</c:v>
                </c:pt>
                <c:pt idx="90">
                  <c:v>2.2970420119087271</c:v>
                </c:pt>
                <c:pt idx="91">
                  <c:v>2.2359624906656181</c:v>
                </c:pt>
                <c:pt idx="92">
                  <c:v>2.1794622754762152</c:v>
                </c:pt>
                <c:pt idx="93">
                  <c:v>2.1272446970699317</c:v>
                </c:pt>
                <c:pt idx="94">
                  <c:v>2.0790237529920406</c:v>
                </c:pt>
                <c:pt idx="95">
                  <c:v>2.0345249498169267</c:v>
                </c:pt>
                <c:pt idx="96">
                  <c:v>1.9934858994373585</c:v>
                </c:pt>
                <c:pt idx="97">
                  <c:v>1.955656694854462</c:v>
                </c:pt>
                <c:pt idx="98">
                  <c:v>1.9208000915545194</c:v>
                </c:pt>
                <c:pt idx="99">
                  <c:v>1.8886915203073931</c:v>
                </c:pt>
                <c:pt idx="100">
                  <c:v>1.8591189562545591</c:v>
                </c:pt>
                <c:pt idx="101">
                  <c:v>1.8318826676656181</c:v>
                </c:pt>
                <c:pt idx="102">
                  <c:v>1.8067948659048514</c:v>
                </c:pt>
                <c:pt idx="103">
                  <c:v>1.7836792760877784</c:v>
                </c:pt>
                <c:pt idx="104">
                  <c:v>1.7623706457583508</c:v>
                </c:pt>
                <c:pt idx="105">
                  <c:v>1.7427142067549897</c:v>
                </c:pt>
                <c:pt idx="106">
                  <c:v>1.7245651033342158</c:v>
                </c:pt>
                <c:pt idx="107">
                  <c:v>1.7077877976314162</c:v>
                </c:pt>
                <c:pt idx="108">
                  <c:v>1.6922554616901051</c:v>
                </c:pt>
                <c:pt idx="109">
                  <c:v>1.6778493636043843</c:v>
                </c:pt>
                <c:pt idx="110">
                  <c:v>1.6644582538067045</c:v>
                </c:pt>
                <c:pt idx="111">
                  <c:v>1.6519777561834259</c:v>
                </c:pt>
                <c:pt idx="112">
                  <c:v>1.6403097675266609</c:v>
                </c:pt>
                <c:pt idx="113">
                  <c:v>1.6293618678045187</c:v>
                </c:pt>
                <c:pt idx="114">
                  <c:v>1.6190467428612978</c:v>
                </c:pt>
                <c:pt idx="115">
                  <c:v>1.6092816204100688</c:v>
                </c:pt>
                <c:pt idx="116">
                  <c:v>1.5999877195636438</c:v>
                </c:pt>
                <c:pt idx="117">
                  <c:v>1.5910897136307591</c:v>
                </c:pt>
                <c:pt idx="118">
                  <c:v>1.5825152054870721</c:v>
                </c:pt>
                <c:pt idx="119">
                  <c:v>1.574194214493789</c:v>
                </c:pt>
                <c:pt idx="120">
                  <c:v>1.5660586736779669</c:v>
                </c:pt>
                <c:pt idx="121">
                  <c:v>1.5580419356953745</c:v>
                </c:pt>
                <c:pt idx="122">
                  <c:v>1.5500782859632753</c:v>
                </c:pt>
                <c:pt idx="123">
                  <c:v>1.5421024612721059</c:v>
                </c:pt>
                <c:pt idx="124">
                  <c:v>1.5340491721597036</c:v>
                </c:pt>
                <c:pt idx="125">
                  <c:v>1.5258526273544735</c:v>
                </c:pt>
                <c:pt idx="126">
                  <c:v>1.5174460586660168</c:v>
                </c:pt>
                <c:pt idx="127">
                  <c:v>1.5087612448231877</c:v>
                </c:pt>
                <c:pt idx="128">
                  <c:v>1.4997280329345815</c:v>
                </c:pt>
                <c:pt idx="129">
                  <c:v>1.4902738564785378</c:v>
                </c:pt>
                <c:pt idx="130">
                  <c:v>1.4803232490161751</c:v>
                </c:pt>
                <c:pt idx="131">
                  <c:v>1.4697973531840891</c:v>
                </c:pt>
                <c:pt idx="132">
                  <c:v>1.4586134249496689</c:v>
                </c:pt>
                <c:pt idx="133">
                  <c:v>1.4466843336267048</c:v>
                </c:pt>
                <c:pt idx="134">
                  <c:v>1.4339180587437728</c:v>
                </c:pt>
                <c:pt idx="135">
                  <c:v>1.4202171855541073</c:v>
                </c:pt>
                <c:pt idx="136">
                  <c:v>1.4054784017640567</c:v>
                </c:pt>
                <c:pt idx="137">
                  <c:v>1.3895919989548733</c:v>
                </c:pt>
                <c:pt idx="138">
                  <c:v>1.3724413831674505</c:v>
                </c:pt>
                <c:pt idx="139">
                  <c:v>1.3539026002163101</c:v>
                </c:pt>
                <c:pt idx="140">
                  <c:v>1.3338438824804142</c:v>
                </c:pt>
                <c:pt idx="141">
                  <c:v>1.3121252251643343</c:v>
                </c:pt>
                <c:pt idx="142">
                  <c:v>1.2885980013159293</c:v>
                </c:pt>
                <c:pt idx="143">
                  <c:v>1.2631046261564527</c:v>
                </c:pt>
                <c:pt idx="144">
                  <c:v>1.2354782825033617</c:v>
                </c:pt>
                <c:pt idx="145">
                  <c:v>1.2055427201416142</c:v>
                </c:pt>
                <c:pt idx="146">
                  <c:v>1.1731121428414051</c:v>
                </c:pt>
                <c:pt idx="147">
                  <c:v>1.1379911972306724</c:v>
                </c:pt>
                <c:pt idx="148">
                  <c:v>1.0999750777525832</c:v>
                </c:pt>
                <c:pt idx="149">
                  <c:v>1.058849761358537</c:v>
                </c:pt>
                <c:pt idx="150">
                  <c:v>1.0143923842252991</c:v>
                </c:pt>
                <c:pt idx="151">
                  <c:v>0.96637177050903067</c:v>
                </c:pt>
                <c:pt idx="152">
                  <c:v>0.91454911981118459</c:v>
                </c:pt>
                <c:pt idx="153">
                  <c:v>0.85867885552968537</c:v>
                </c:pt>
                <c:pt idx="154">
                  <c:v>0.79850963053963619</c:v>
                </c:pt>
                <c:pt idx="155">
                  <c:v>0.73378547972992614</c:v>
                </c:pt>
                <c:pt idx="156">
                  <c:v>0.66424710091902783</c:v>
                </c:pt>
                <c:pt idx="157">
                  <c:v>0.58963323684093638</c:v>
                </c:pt>
                <c:pt idx="158">
                  <c:v>0.50968212162583393</c:v>
                </c:pt>
                <c:pt idx="159">
                  <c:v>0.42413294601988782</c:v>
                </c:pt>
                <c:pt idx="160">
                  <c:v>0.33272728720493416</c:v>
                </c:pt>
                <c:pt idx="161">
                  <c:v>0.23521044226551163</c:v>
                </c:pt>
                <c:pt idx="162">
                  <c:v>0.13133260000550523</c:v>
                </c:pt>
                <c:pt idx="163">
                  <c:v>2.0849784788502034E-2</c:v>
                </c:pt>
                <c:pt idx="164">
                  <c:v>-9.6475490841106751E-2</c:v>
                </c:pt>
                <c:pt idx="165">
                  <c:v>-0.22087392024285971</c:v>
                </c:pt>
                <c:pt idx="166">
                  <c:v>-0.35256948625271167</c:v>
                </c:pt>
                <c:pt idx="167">
                  <c:v>-0.49177995951779319</c:v>
                </c:pt>
                <c:pt idx="168">
                  <c:v>-0.6387178151776074</c:v>
                </c:pt>
                <c:pt idx="169">
                  <c:v>-0.79359154671930976</c:v>
                </c:pt>
                <c:pt idx="170">
                  <c:v>-0.95660732960270911</c:v>
                </c:pt>
                <c:pt idx="171">
                  <c:v>-1.1279709614806135</c:v>
                </c:pt>
                <c:pt idx="172">
                  <c:v>-1.3078899827066979</c:v>
                </c:pt>
                <c:pt idx="173">
                  <c:v>-1.4965758624421388</c:v>
                </c:pt>
                <c:pt idx="174">
                  <c:v>-1.694246123977416</c:v>
                </c:pt>
                <c:pt idx="175">
                  <c:v>-1.901126279253103</c:v>
                </c:pt>
                <c:pt idx="176">
                  <c:v>-2.1174514477797466</c:v>
                </c:pt>
                <c:pt idx="177">
                  <c:v>-2.343467549117058</c:v>
                </c:pt>
                <c:pt idx="178">
                  <c:v>-2.5794319799084802</c:v>
                </c:pt>
                <c:pt idx="179">
                  <c:v>-2.8256137144590268</c:v>
                </c:pt>
                <c:pt idx="180">
                  <c:v>-3.0822927997344749</c:v>
                </c:pt>
                <c:pt idx="181">
                  <c:v>-3.3497592487432692</c:v>
                </c:pt>
                <c:pt idx="182">
                  <c:v>-3.6283113678256851</c:v>
                </c:pt>
                <c:pt idx="183">
                  <c:v>-3.9182535808753691</c:v>
                </c:pt>
                <c:pt idx="184">
                  <c:v>-4.2198938349497848</c:v>
                </c:pt>
                <c:pt idx="185">
                  <c:v>-4.5335406857814622</c:v>
                </c:pt>
                <c:pt idx="186">
                  <c:v>-4.8595001678905216</c:v>
                </c:pt>
                <c:pt idx="187">
                  <c:v>-5.1980725526979157</c:v>
                </c:pt>
                <c:pt idx="188">
                  <c:v>-5.5495490903478428</c:v>
                </c:pt>
                <c:pt idx="189">
                  <c:v>-5.9142088185577926</c:v>
                </c:pt>
                <c:pt idx="190">
                  <c:v>-6.292315506747479</c:v>
                </c:pt>
                <c:pt idx="191">
                  <c:v>-6.6841147880303398</c:v>
                </c:pt>
                <c:pt idx="192">
                  <c:v>-7.0898315172827298</c:v>
                </c:pt>
                <c:pt idx="193">
                  <c:v>-7.5096673819199271</c:v>
                </c:pt>
                <c:pt idx="194">
                  <c:v>-7.9437987841231648</c:v>
                </c:pt>
                <c:pt idx="195">
                  <c:v>-8.3923750093677238</c:v>
                </c:pt>
                <c:pt idx="196">
                  <c:v>-8.8555166958675233</c:v>
                </c:pt>
                <c:pt idx="197">
                  <c:v>-9.3333146221138357</c:v>
                </c:pt>
                <c:pt idx="198">
                  <c:v>-9.8258288337970239</c:v>
                </c:pt>
                <c:pt idx="199">
                  <c:v>-10.333088135634283</c:v>
                </c:pt>
                <c:pt idx="200">
                  <c:v>-10.855089976560436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34.135987251522913</c:v>
                </c:pt>
                <c:pt idx="1">
                  <c:v>33.736954716147046</c:v>
                </c:pt>
                <c:pt idx="2">
                  <c:v>33.337940193448233</c:v>
                </c:pt>
                <c:pt idx="3">
                  <c:v>32.93895201631527</c:v>
                </c:pt>
                <c:pt idx="4">
                  <c:v>32.539998737925345</c:v>
                </c:pt>
                <c:pt idx="5">
                  <c:v>32.141089203126107</c:v>
                </c:pt>
                <c:pt idx="6">
                  <c:v>31.742232622139671</c:v>
                </c:pt>
                <c:pt idx="7">
                  <c:v>31.34343864716579</c:v>
                </c:pt>
                <c:pt idx="8">
                  <c:v>30.944717452485161</c:v>
                </c:pt>
                <c:pt idx="9">
                  <c:v>30.546079818678081</c:v>
                </c:pt>
                <c:pt idx="10">
                  <c:v>30.147537221602271</c:v>
                </c:pt>
                <c:pt idx="11">
                  <c:v>29.749101926802663</c:v>
                </c:pt>
                <c:pt idx="12">
                  <c:v>29.350787090051288</c:v>
                </c:pt>
                <c:pt idx="13">
                  <c:v>28.952606864753573</c:v>
                </c:pt>
                <c:pt idx="14">
                  <c:v>28.554576516990991</c:v>
                </c:pt>
                <c:pt idx="15">
                  <c:v>28.156712549007313</c:v>
                </c:pt>
                <c:pt idx="16">
                  <c:v>27.759032831987028</c:v>
                </c:pt>
                <c:pt idx="17">
                  <c:v>27.361556749010369</c:v>
                </c:pt>
                <c:pt idx="18">
                  <c:v>26.964305349114646</c:v>
                </c:pt>
                <c:pt idx="19">
                  <c:v>26.567301513426674</c:v>
                </c:pt>
                <c:pt idx="20">
                  <c:v>26.17057013436909</c:v>
                </c:pt>
                <c:pt idx="21">
                  <c:v>25.774138308975868</c:v>
                </c:pt>
                <c:pt idx="22">
                  <c:v>25.37803554738003</c:v>
                </c:pt>
                <c:pt idx="23">
                  <c:v>24.982293997555157</c:v>
                </c:pt>
                <c:pt idx="24">
                  <c:v>24.58694868739628</c:v>
                </c:pt>
                <c:pt idx="25">
                  <c:v>24.192037785227182</c:v>
                </c:pt>
                <c:pt idx="26">
                  <c:v>23.797602879786737</c:v>
                </c:pt>
                <c:pt idx="27">
                  <c:v>23.403689280703915</c:v>
                </c:pt>
                <c:pt idx="28">
                  <c:v>23.010346340394292</c:v>
                </c:pt>
                <c:pt idx="29">
                  <c:v>22.617627798193844</c:v>
                </c:pt>
                <c:pt idx="30">
                  <c:v>22.225592147396735</c:v>
                </c:pt>
                <c:pt idx="31">
                  <c:v>21.834303025651835</c:v>
                </c:pt>
                <c:pt idx="32">
                  <c:v>21.44382962891104</c:v>
                </c:pt>
                <c:pt idx="33">
                  <c:v>21.054247148780185</c:v>
                </c:pt>
                <c:pt idx="34">
                  <c:v>20.665637232702689</c:v>
                </c:pt>
                <c:pt idx="35">
                  <c:v>20.278088465892573</c:v>
                </c:pt>
                <c:pt idx="36">
                  <c:v>19.891696873299388</c:v>
                </c:pt>
                <c:pt idx="37">
                  <c:v>19.506566439147463</c:v>
                </c:pt>
                <c:pt idx="38">
                  <c:v>19.122809640698357</c:v>
                </c:pt>
                <c:pt idx="39">
                  <c:v>18.740547991852019</c:v>
                </c:pt>
                <c:pt idx="40">
                  <c:v>18.359912591008658</c:v>
                </c:pt>
                <c:pt idx="41">
                  <c:v>17.981044666243228</c:v>
                </c:pt>
                <c:pt idx="42">
                  <c:v>17.604096109308554</c:v>
                </c:pt>
                <c:pt idx="43">
                  <c:v>17.229229988277673</c:v>
                </c:pt>
                <c:pt idx="44">
                  <c:v>16.856621026764266</c:v>
                </c:pt>
                <c:pt idx="45">
                  <c:v>16.486456035664439</c:v>
                </c:pt>
                <c:pt idx="46">
                  <c:v>16.118934281260422</c:v>
                </c:pt>
                <c:pt idx="47">
                  <c:v>15.754267771382944</c:v>
                </c:pt>
                <c:pt idx="48">
                  <c:v>15.392681439218203</c:v>
                </c:pt>
                <c:pt idx="49">
                  <c:v>15.034413202360209</c:v>
                </c:pt>
                <c:pt idx="50">
                  <c:v>14.679713872983564</c:v>
                </c:pt>
                <c:pt idx="51">
                  <c:v>14.328846893677593</c:v>
                </c:pt>
                <c:pt idx="52">
                  <c:v>13.98208787273693</c:v>
                </c:pt>
                <c:pt idx="53">
                  <c:v>13.639723892723525</c:v>
                </c:pt>
                <c:pt idx="54">
                  <c:v>13.302052567120548</c:v>
                </c:pt>
                <c:pt idx="55">
                  <c:v>12.969380822101277</c:v>
                </c:pt>
                <c:pt idx="56">
                  <c:v>12.642023384042485</c:v>
                </c:pt>
                <c:pt idx="57">
                  <c:v>12.320300958586436</c:v>
                </c:pt>
                <c:pt idx="58">
                  <c:v>12.004538093920495</c:v>
                </c:pt>
                <c:pt idx="59">
                  <c:v>11.695060729538389</c:v>
                </c:pt>
                <c:pt idx="60">
                  <c:v>11.392193441986729</c:v>
                </c:pt>
                <c:pt idx="61">
                  <c:v>11.096256410789513</c:v>
                </c:pt>
                <c:pt idx="62">
                  <c:v>10.807562140518955</c:v>
                </c:pt>
                <c:pt idx="63">
                  <c:v>10.52641198832324</c:v>
                </c:pt>
                <c:pt idx="64">
                  <c:v>10.253092559457857</c:v>
                </c:pt>
                <c:pt idx="65">
                  <c:v>9.9878720456975305</c:v>
                </c:pt>
                <c:pt idx="66">
                  <c:v>9.7309965920469779</c:v>
                </c:pt>
                <c:pt idx="67">
                  <c:v>9.4826867850067345</c:v>
                </c:pt>
                <c:pt idx="68">
                  <c:v>9.243134359965099</c:v>
                </c:pt>
                <c:pt idx="69">
                  <c:v>9.0124992253645289</c:v>
                </c:pt>
                <c:pt idx="70">
                  <c:v>8.790906896696562</c:v>
                </c:pt>
                <c:pt idx="71">
                  <c:v>8.5784464239615303</c:v>
                </c:pt>
                <c:pt idx="72">
                  <c:v>8.3751688822141119</c:v>
                </c:pt>
                <c:pt idx="73">
                  <c:v>8.1810864767765246</c:v>
                </c:pt>
                <c:pt idx="74">
                  <c:v>7.9961722935889714</c:v>
                </c:pt>
                <c:pt idx="75">
                  <c:v>7.8203607021619401</c:v>
                </c:pt>
                <c:pt idx="76">
                  <c:v>7.6535483950835159</c:v>
                </c:pt>
                <c:pt idx="77">
                  <c:v>7.4955960254305998</c:v>
                </c:pt>
                <c:pt idx="78">
                  <c:v>7.3463303830584517</c:v>
                </c:pt>
                <c:pt idx="79">
                  <c:v>7.2055470337373055</c:v>
                </c:pt>
                <c:pt idx="80">
                  <c:v>7.0730133322736766</c:v>
                </c:pt>
                <c:pt idx="81">
                  <c:v>6.9484717125857038</c:v>
                </c:pt>
                <c:pt idx="82">
                  <c:v>6.8316431542728235</c:v>
                </c:pt>
                <c:pt idx="83">
                  <c:v>6.7222307262909711</c:v>
                </c:pt>
                <c:pt idx="84">
                  <c:v>6.6199231133524741</c:v>
                </c:pt>
                <c:pt idx="85">
                  <c:v>6.5243980388736507</c:v>
                </c:pt>
                <c:pt idx="86">
                  <c:v>6.4353255087799361</c:v>
                </c:pt>
                <c:pt idx="87">
                  <c:v>6.3523708123420199</c:v>
                </c:pt>
                <c:pt idx="88">
                  <c:v>6.2751972285541484</c:v>
                </c:pt>
                <c:pt idx="89">
                  <c:v>6.2034683985862742</c:v>
                </c:pt>
                <c:pt idx="90">
                  <c:v>6.13685033587248</c:v>
                </c:pt>
                <c:pt idx="91">
                  <c:v>6.0750130549441437</c:v>
                </c:pt>
                <c:pt idx="92">
                  <c:v>6.0176318077979634</c:v>
                </c:pt>
                <c:pt idx="93">
                  <c:v>5.9643879221995588</c:v>
                </c:pt>
                <c:pt idx="94">
                  <c:v>5.9149692397563154</c:v>
                </c:pt>
                <c:pt idx="95">
                  <c:v>5.8690701528411724</c:v>
                </c:pt>
                <c:pt idx="96">
                  <c:v>5.8263912385574415</c:v>
                </c:pt>
                <c:pt idx="97">
                  <c:v>5.7866384850274635</c:v>
                </c:pt>
                <c:pt idx="98">
                  <c:v>5.7495221004457537</c:v>
                </c:pt>
                <c:pt idx="99">
                  <c:v>5.7147548887305568</c:v>
                </c:pt>
                <c:pt idx="100">
                  <c:v>5.6820501673407247</c:v>
                </c:pt>
                <c:pt idx="101">
                  <c:v>5.6511191930578502</c:v>
                </c:pt>
                <c:pt idx="102">
                  <c:v>5.6216680504439722</c:v>
                </c:pt>
                <c:pt idx="103">
                  <c:v>5.5933939454879633</c:v>
                </c:pt>
                <c:pt idx="104">
                  <c:v>5.5659808340085917</c:v>
                </c:pt>
                <c:pt idx="105">
                  <c:v>5.5390943011889924</c:v>
                </c:pt>
                <c:pt idx="106">
                  <c:v>5.5123755959667342</c:v>
                </c:pt>
                <c:pt idx="107">
                  <c:v>5.4854347131007977</c:v>
                </c:pt>
                <c:pt idx="108">
                  <c:v>5.457842408332974</c:v>
                </c:pt>
                <c:pt idx="109">
                  <c:v>5.4291210307537696</c:v>
                </c:pt>
                <c:pt idx="110">
                  <c:v>5.3987340648875906</c:v>
                </c:pt>
                <c:pt idx="111">
                  <c:v>5.3660742981396918</c:v>
                </c:pt>
                <c:pt idx="112">
                  <c:v>5.3304505737651633</c:v>
                </c:pt>
                <c:pt idx="113">
                  <c:v>5.2910731639663133</c:v>
                </c:pt>
                <c:pt idx="114">
                  <c:v>5.2470379125698212</c:v>
                </c:pt>
                <c:pt idx="115">
                  <c:v>5.1973094638679251</c:v>
                </c:pt>
                <c:pt idx="116">
                  <c:v>5.1407041258591377</c:v>
                </c:pt>
                <c:pt idx="117">
                  <c:v>5.0758732222837981</c:v>
                </c:pt>
                <c:pt idx="118">
                  <c:v>5.0012881721664515</c:v>
                </c:pt>
                <c:pt idx="119">
                  <c:v>4.9152289888040226</c:v>
                </c:pt>
                <c:pt idx="120">
                  <c:v>4.8157783813683173</c:v>
                </c:pt>
                <c:pt idx="121">
                  <c:v>4.7008241086875815</c:v>
                </c:pt>
                <c:pt idx="122">
                  <c:v>4.5680725725260611</c:v>
                </c:pt>
                <c:pt idx="123">
                  <c:v>4.4150766992181243</c:v>
                </c:pt>
                <c:pt idx="124">
                  <c:v>4.2392807636710623</c:v>
                </c:pt>
                <c:pt idx="125">
                  <c:v>4.0380837794707389</c:v>
                </c:pt>
                <c:pt idx="126">
                  <c:v>3.8089212964901438</c:v>
                </c:pt>
                <c:pt idx="127">
                  <c:v>3.5493629419703101</c:v>
                </c:pt>
                <c:pt idx="128">
                  <c:v>3.2572200681270158</c:v>
                </c:pt>
                <c:pt idx="129">
                  <c:v>2.9306549467308933</c:v>
                </c:pt>
                <c:pt idx="130">
                  <c:v>2.5682807996729329</c:v>
                </c:pt>
                <c:pt idx="131">
                  <c:v>2.1692413191049424</c:v>
                </c:pt>
                <c:pt idx="132">
                  <c:v>1.7332597139727859</c:v>
                </c:pt>
                <c:pt idx="133">
                  <c:v>1.2606507308576478</c:v>
                </c:pt>
                <c:pt idx="134">
                  <c:v>0.75229394828532214</c:v>
                </c:pt>
                <c:pt idx="135">
                  <c:v>0.20957188143806554</c:v>
                </c:pt>
                <c:pt idx="136">
                  <c:v>-0.36571912509426985</c:v>
                </c:pt>
                <c:pt idx="137">
                  <c:v>-0.97147451293712772</c:v>
                </c:pt>
                <c:pt idx="138">
                  <c:v>-1.6053922964274434</c:v>
                </c:pt>
                <c:pt idx="139">
                  <c:v>-2.2650789333994874</c:v>
                </c:pt>
                <c:pt idx="140">
                  <c:v>-2.9481427081487759</c:v>
                </c:pt>
                <c:pt idx="141">
                  <c:v>-3.6522700686971281</c:v>
                </c:pt>
                <c:pt idx="142">
                  <c:v>-4.3752832116500322</c:v>
                </c:pt>
                <c:pt idx="143">
                  <c:v>-5.1151794707752982</c:v>
                </c:pt>
                <c:pt idx="144">
                  <c:v>-5.8701545726155917</c:v>
                </c:pt>
                <c:pt idx="145">
                  <c:v>-6.6386126071136689</c:v>
                </c:pt>
                <c:pt idx="146">
                  <c:v>-7.4191657710352477</c:v>
                </c:pt>
                <c:pt idx="147">
                  <c:v>-8.2106267620369291</c:v>
                </c:pt>
                <c:pt idx="148">
                  <c:v>-9.0119963027797727</c:v>
                </c:pt>
                <c:pt idx="149">
                  <c:v>-9.8224477899981828</c:v>
                </c:pt>
                <c:pt idx="150">
                  <c:v>-10.641310581505083</c:v>
                </c:pt>
                <c:pt idx="151">
                  <c:v>-11.46805300514802</c:v>
                </c:pt>
                <c:pt idx="152">
                  <c:v>-12.302265819920738</c:v>
                </c:pt>
                <c:pt idx="153">
                  <c:v>-13.143646584638507</c:v>
                </c:pt>
                <c:pt idx="154">
                  <c:v>-13.991985187317638</c:v>
                </c:pt>
                <c:pt idx="155">
                  <c:v>-14.847150647442522</c:v>
                </c:pt>
                <c:pt idx="156">
                  <c:v>-15.709079211229632</c:v>
                </c:pt>
                <c:pt idx="157">
                  <c:v>-16.577763705061606</c:v>
                </c:pt>
                <c:pt idx="158">
                  <c:v>-17.453244084252983</c:v>
                </c:pt>
                <c:pt idx="159">
                  <c:v>-18.335599104841389</c:v>
                </c:pt>
                <c:pt idx="160">
                  <c:v>-19.224939048411493</c:v>
                </c:pt>
                <c:pt idx="161">
                  <c:v>-20.121399438796189</c:v>
                </c:pt>
                <c:pt idx="162">
                  <c:v>-21.025135700758447</c:v>
                </c:pt>
                <c:pt idx="163">
                  <c:v>-21.936318721333624</c:v>
                </c:pt>
                <c:pt idx="164">
                  <c:v>-22.855131282119654</c:v>
                </c:pt>
                <c:pt idx="165">
                  <c:v>-23.781765333869906</c:v>
                </c:pt>
                <c:pt idx="166">
                  <c:v>-24.716420082428158</c:v>
                </c:pt>
                <c:pt idx="167">
                  <c:v>-25.659300847087433</c:v>
                </c:pt>
                <c:pt idx="168">
                  <c:v>-26.610618639359881</c:v>
                </c:pt>
                <c:pt idx="169">
                  <c:v>-27.570590392907093</c:v>
                </c:pt>
                <c:pt idx="170">
                  <c:v>-28.53943975564086</c:v>
                </c:pt>
                <c:pt idx="171">
                  <c:v>-29.517398334719637</c:v>
                </c:pt>
                <c:pt idx="172">
                  <c:v>-30.504707266592529</c:v>
                </c:pt>
                <c:pt idx="173">
                  <c:v>-31.501618969575755</c:v>
                </c:pt>
                <c:pt idx="174">
                  <c:v>-32.508398927695396</c:v>
                </c:pt>
                <c:pt idx="175">
                  <c:v>-33.525327353155078</c:v>
                </c:pt>
                <c:pt idx="176">
                  <c:v>-34.55270058165739</c:v>
                </c:pt>
                <c:pt idx="177">
                  <c:v>-35.590832069882936</c:v>
                </c:pt>
                <c:pt idx="178">
                  <c:v>-36.64005288692951</c:v>
                </c:pt>
                <c:pt idx="179">
                  <c:v>-37.700711619778737</c:v>
                </c:pt>
                <c:pt idx="180">
                  <c:v>-38.773173644723961</c:v>
                </c:pt>
                <c:pt idx="181">
                  <c:v>-39.857819749530698</c:v>
                </c:pt>
                <c:pt idx="182">
                  <c:v>-40.95504412230062</c:v>
                </c:pt>
                <c:pt idx="183">
                  <c:v>-42.065251750141918</c:v>
                </c:pt>
                <c:pt idx="184">
                  <c:v>-43.188855291922941</c:v>
                </c:pt>
                <c:pt idx="185">
                  <c:v>-44.326271503459857</c:v>
                </c:pt>
                <c:pt idx="186">
                  <c:v>-45.477917300117532</c:v>
                </c:pt>
                <c:pt idx="187">
                  <c:v>-46.64420554156365</c:v>
                </c:pt>
                <c:pt idx="188">
                  <c:v>-47.825540617584338</c:v>
                </c:pt>
                <c:pt idx="189">
                  <c:v>-49.022313904364829</c:v>
                </c:pt>
                <c:pt idx="190">
                  <c:v>-50.234899149639091</c:v>
                </c:pt>
                <c:pt idx="191">
                  <c:v>-51.463647834905622</c:v>
                </c:pt>
                <c:pt idx="192">
                  <c:v>-52.708884555485717</c:v>
                </c:pt>
                <c:pt idx="193">
                  <c:v>-53.97090245612187</c:v>
                </c:pt>
                <c:pt idx="194">
                  <c:v>-55.249958761954375</c:v>
                </c:pt>
                <c:pt idx="195">
                  <c:v>-56.546270452184871</c:v>
                </c:pt>
                <c:pt idx="196">
                  <c:v>-57.860010135897582</c:v>
                </c:pt>
                <c:pt idx="197">
                  <c:v>-59.191302204999246</c:v>
                </c:pt>
                <c:pt idx="198">
                  <c:v>-60.540219356144824</c:v>
                </c:pt>
                <c:pt idx="199">
                  <c:v>-61.906779589570434</c:v>
                </c:pt>
                <c:pt idx="200">
                  <c:v>-63.290943805566798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20192"/>
        <c:axId val="328122752"/>
      </c:scatterChart>
      <c:valAx>
        <c:axId val="328120192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22752"/>
        <c:crosses val="autoZero"/>
        <c:crossBetween val="midCat"/>
      </c:valAx>
      <c:valAx>
        <c:axId val="32812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201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179.80121823480556</c:v>
                </c:pt>
                <c:pt idx="1">
                  <c:v>179.79184990106185</c:v>
                </c:pt>
                <c:pt idx="2">
                  <c:v>179.78204004575525</c:v>
                </c:pt>
                <c:pt idx="3">
                  <c:v>179.77176785978654</c:v>
                </c:pt>
                <c:pt idx="4">
                  <c:v>179.76101155323099</c:v>
                </c:pt>
                <c:pt idx="5">
                  <c:v>179.74974830909539</c:v>
                </c:pt>
                <c:pt idx="6">
                  <c:v>179.73795423489287</c:v>
                </c:pt>
                <c:pt idx="7">
                  <c:v>179.72560431193236</c:v>
                </c:pt>
                <c:pt idx="8">
                  <c:v>179.71267234221489</c:v>
                </c:pt>
                <c:pt idx="9">
                  <c:v>179.69913089282267</c:v>
                </c:pt>
                <c:pt idx="10">
                  <c:v>179.68495123768301</c:v>
                </c:pt>
                <c:pt idx="11">
                  <c:v>179.67010329658208</c:v>
                </c:pt>
                <c:pt idx="12">
                  <c:v>179.65455557129832</c:v>
                </c:pt>
                <c:pt idx="13">
                  <c:v>179.63827507871889</c:v>
                </c:pt>
                <c:pt idx="14">
                  <c:v>179.62122728079578</c:v>
                </c:pt>
                <c:pt idx="15">
                  <c:v>179.60337601119156</c:v>
                </c:pt>
                <c:pt idx="16">
                  <c:v>179.58468339845729</c:v>
                </c:pt>
                <c:pt idx="17">
                  <c:v>179.56510978557759</c:v>
                </c:pt>
                <c:pt idx="18">
                  <c:v>179.54461364570997</c:v>
                </c:pt>
                <c:pt idx="19">
                  <c:v>179.52315149393658</c:v>
                </c:pt>
                <c:pt idx="20">
                  <c:v>179.50067779483848</c:v>
                </c:pt>
                <c:pt idx="21">
                  <c:v>179.47714486569274</c:v>
                </c:pt>
                <c:pt idx="22">
                  <c:v>179.45250277508245</c:v>
                </c:pt>
                <c:pt idx="23">
                  <c:v>179.42669923670044</c:v>
                </c:pt>
                <c:pt idx="24">
                  <c:v>179.39967949811563</c:v>
                </c:pt>
                <c:pt idx="25">
                  <c:v>179.37138622425979</c:v>
                </c:pt>
                <c:pt idx="26">
                  <c:v>179.34175937538089</c:v>
                </c:pt>
                <c:pt idx="27">
                  <c:v>179.31073607919495</c:v>
                </c:pt>
                <c:pt idx="28">
                  <c:v>179.27825049695699</c:v>
                </c:pt>
                <c:pt idx="29">
                  <c:v>179.24423368315487</c:v>
                </c:pt>
                <c:pt idx="30">
                  <c:v>179.20861343851703</c:v>
                </c:pt>
                <c:pt idx="31">
                  <c:v>179.1713141560073</c:v>
                </c:pt>
                <c:pt idx="32">
                  <c:v>179.13225665946388</c:v>
                </c:pt>
                <c:pt idx="33">
                  <c:v>179.09135803452156</c:v>
                </c:pt>
                <c:pt idx="34">
                  <c:v>179.04853145143662</c:v>
                </c:pt>
                <c:pt idx="35">
                  <c:v>179.00368597941389</c:v>
                </c:pt>
                <c:pt idx="36">
                  <c:v>178.95672639201348</c:v>
                </c:pt>
                <c:pt idx="37">
                  <c:v>178.90755296319176</c:v>
                </c:pt>
                <c:pt idx="38">
                  <c:v>178.85606125350645</c:v>
                </c:pt>
                <c:pt idx="39">
                  <c:v>178.80214188598885</c:v>
                </c:pt>
                <c:pt idx="40">
                  <c:v>178.74568031115874</c:v>
                </c:pt>
                <c:pt idx="41">
                  <c:v>178.68655656062634</c:v>
                </c:pt>
                <c:pt idx="42">
                  <c:v>178.62464498869352</c:v>
                </c:pt>
                <c:pt idx="43">
                  <c:v>178.55981400133138</c:v>
                </c:pt>
                <c:pt idx="44">
                  <c:v>178.49192577187341</c:v>
                </c:pt>
                <c:pt idx="45">
                  <c:v>178.42083594272259</c:v>
                </c:pt>
                <c:pt idx="46">
                  <c:v>178.3463933123264</c:v>
                </c:pt>
                <c:pt idx="47">
                  <c:v>178.26843950662649</c:v>
                </c:pt>
                <c:pt idx="48">
                  <c:v>178.18680863413678</c:v>
                </c:pt>
                <c:pt idx="49">
                  <c:v>178.10132692374756</c:v>
                </c:pt>
                <c:pt idx="50">
                  <c:v>178.01181234429211</c:v>
                </c:pt>
                <c:pt idx="51">
                  <c:v>177.91807420484292</c:v>
                </c:pt>
                <c:pt idx="52">
                  <c:v>177.81991273463348</c:v>
                </c:pt>
                <c:pt idx="53">
                  <c:v>177.71711864141773</c:v>
                </c:pt>
                <c:pt idx="54">
                  <c:v>177.60947264699254</c:v>
                </c:pt>
                <c:pt idx="55">
                  <c:v>177.49674499850909</c:v>
                </c:pt>
                <c:pt idx="56">
                  <c:v>177.37869495409097</c:v>
                </c:pt>
                <c:pt idx="57">
                  <c:v>177.25507024115896</c:v>
                </c:pt>
                <c:pt idx="58">
                  <c:v>177.12560648572679</c:v>
                </c:pt>
                <c:pt idx="59">
                  <c:v>176.99002661078916</c:v>
                </c:pt>
                <c:pt idx="60">
                  <c:v>176.84804020175784</c:v>
                </c:pt>
                <c:pt idx="61">
                  <c:v>176.69934283672103</c:v>
                </c:pt>
                <c:pt idx="62">
                  <c:v>176.54361537910015</c:v>
                </c:pt>
                <c:pt idx="63">
                  <c:v>176.38052323005161</c:v>
                </c:pt>
                <c:pt idx="64">
                  <c:v>176.20971553771176</c:v>
                </c:pt>
                <c:pt idx="65">
                  <c:v>176.03082436010024</c:v>
                </c:pt>
                <c:pt idx="66">
                  <c:v>175.84346377818542</c:v>
                </c:pt>
                <c:pt idx="67">
                  <c:v>175.64722895526154</c:v>
                </c:pt>
                <c:pt idx="68">
                  <c:v>175.44169513839617</c:v>
                </c:pt>
                <c:pt idx="69">
                  <c:v>175.22641659726369</c:v>
                </c:pt>
                <c:pt idx="70">
                  <c:v>175.00092549518766</c:v>
                </c:pt>
                <c:pt idx="71">
                  <c:v>174.76473068666118</c:v>
                </c:pt>
                <c:pt idx="72">
                  <c:v>174.51731643499443</c:v>
                </c:pt>
                <c:pt idx="73">
                  <c:v>174.25814104304339</c:v>
                </c:pt>
                <c:pt idx="74">
                  <c:v>173.9866353891984</c:v>
                </c:pt>
                <c:pt idx="75">
                  <c:v>173.70220135994131</c:v>
                </c:pt>
                <c:pt idx="76">
                  <c:v>173.40421016930975</c:v>
                </c:pt>
                <c:pt idx="77">
                  <c:v>173.09200055452882</c:v>
                </c:pt>
                <c:pt idx="78">
                  <c:v>172.76487683586399</c:v>
                </c:pt>
                <c:pt idx="79">
                  <c:v>172.42210682741947</c:v>
                </c:pt>
                <c:pt idx="80">
                  <c:v>172.06291958412712</c:v>
                </c:pt>
                <c:pt idx="81">
                  <c:v>171.68650296854958</c:v>
                </c:pt>
                <c:pt idx="82">
                  <c:v>171.29200101933614</c:v>
                </c:pt>
                <c:pt idx="83">
                  <c:v>170.87851110123299</c:v>
                </c:pt>
                <c:pt idx="84">
                  <c:v>170.44508081444633</c:v>
                </c:pt>
                <c:pt idx="85">
                  <c:v>169.99070463890891</c:v>
                </c:pt>
                <c:pt idx="86">
                  <c:v>169.51432028661961</c:v>
                </c:pt>
                <c:pt idx="87">
                  <c:v>169.01480473274435</c:v>
                </c:pt>
                <c:pt idx="88">
                  <c:v>168.49096989363764</c:v>
                </c:pt>
                <c:pt idx="89">
                  <c:v>167.94155791744311</c:v>
                </c:pt>
                <c:pt idx="90">
                  <c:v>167.36523605057107</c:v>
                </c:pt>
                <c:pt idx="91">
                  <c:v>166.76059104128561</c:v>
                </c:pt>
                <c:pt idx="92">
                  <c:v>166.12612304009124</c:v>
                </c:pt>
                <c:pt idx="93">
                  <c:v>165.46023895587635</c:v>
                </c:pt>
                <c:pt idx="94">
                  <c:v>164.76124522726701</c:v>
                </c:pt>
                <c:pt idx="95">
                  <c:v>164.0273399709119</c:v>
                </c:pt>
                <c:pt idx="96">
                  <c:v>163.25660447317347</c:v>
                </c:pt>
                <c:pt idx="97">
                  <c:v>162.44699399991975</c:v>
                </c:pt>
                <c:pt idx="98">
                  <c:v>161.59632791202876</c:v>
                </c:pt>
                <c:pt idx="99">
                  <c:v>160.70227909348193</c:v>
                </c:pt>
                <c:pt idx="100">
                  <c:v>159.76236272664343</c:v>
                </c:pt>
                <c:pt idx="101">
                  <c:v>158.77392448818875</c:v>
                </c:pt>
                <c:pt idx="102">
                  <c:v>157.73412829261838</c:v>
                </c:pt>
                <c:pt idx="103">
                  <c:v>156.63994378263277</c:v>
                </c:pt>
                <c:pt idx="104">
                  <c:v>155.48813386224475</c:v>
                </c:pt>
                <c:pt idx="105">
                  <c:v>154.27524269580118</c:v>
                </c:pt>
                <c:pt idx="106">
                  <c:v>152.99758476183959</c:v>
                </c:pt>
                <c:pt idx="107">
                  <c:v>151.65123576381939</c:v>
                </c:pt>
                <c:pt idx="108">
                  <c:v>150.23202647006099</c:v>
                </c:pt>
                <c:pt idx="109">
                  <c:v>148.73554089279958</c:v>
                </c:pt>
                <c:pt idx="110">
                  <c:v>147.15712063018458</c:v>
                </c:pt>
                <c:pt idx="111">
                  <c:v>145.49187769115551</c:v>
                </c:pt>
                <c:pt idx="112">
                  <c:v>143.73471870046677</c:v>
                </c:pt>
                <c:pt idx="113">
                  <c:v>141.8803840263987</c:v>
                </c:pt>
                <c:pt idx="114">
                  <c:v>139.92350605346743</c:v>
                </c:pt>
                <c:pt idx="115">
                  <c:v>137.85869147241976</c:v>
                </c:pt>
                <c:pt idx="116">
                  <c:v>135.68063297160631</c:v>
                </c:pt>
                <c:pt idx="117">
                  <c:v>133.38425592055344</c:v>
                </c:pt>
                <c:pt idx="118">
                  <c:v>130.96490530027685</c:v>
                </c:pt>
                <c:pt idx="119">
                  <c:v>128.41857694336196</c:v>
                </c:pt>
                <c:pt idx="120">
                  <c:v>125.7421947293124</c:v>
                </c:pt>
                <c:pt idx="121">
                  <c:v>122.93393135910321</c:v>
                </c:pt>
                <c:pt idx="122">
                  <c:v>119.99356442368489</c:v>
                </c:pt>
                <c:pt idx="123">
                  <c:v>116.92285165920747</c:v>
                </c:pt>
                <c:pt idx="124">
                  <c:v>113.7258999952106</c:v>
                </c:pt>
                <c:pt idx="125">
                  <c:v>110.40949339113271</c:v>
                </c:pt>
                <c:pt idx="126">
                  <c:v>106.98333647255696</c:v>
                </c:pt>
                <c:pt idx="127">
                  <c:v>103.46016725856242</c:v>
                </c:pt>
                <c:pt idx="128">
                  <c:v>99.855695627526472</c:v>
                </c:pt>
                <c:pt idx="129">
                  <c:v>96.188336666773793</c:v>
                </c:pt>
                <c:pt idx="130">
                  <c:v>92.478729879354347</c:v>
                </c:pt>
                <c:pt idx="131">
                  <c:v>88.749063814258434</c:v>
                </c:pt>
                <c:pt idx="132">
                  <c:v>85.022255696513511</c:v>
                </c:pt>
                <c:pt idx="133">
                  <c:v>81.321060110193002</c:v>
                </c:pt>
                <c:pt idx="134">
                  <c:v>77.667193356731374</c:v>
                </c:pt>
                <c:pt idx="135">
                  <c:v>74.080557301072716</c:v>
                </c:pt>
                <c:pt idx="136">
                  <c:v>70.57862911604559</c:v>
                </c:pt>
                <c:pt idx="137">
                  <c:v>67.176056074117383</c:v>
                </c:pt>
                <c:pt idx="138">
                  <c:v>63.884464277514141</c:v>
                </c:pt>
                <c:pt idx="139">
                  <c:v>60.712463553040863</c:v>
                </c:pt>
                <c:pt idx="140">
                  <c:v>57.665812093456452</c:v>
                </c:pt>
                <c:pt idx="141">
                  <c:v>54.747695328271945</c:v>
                </c:pt>
                <c:pt idx="142">
                  <c:v>51.959072970421005</c:v>
                </c:pt>
                <c:pt idx="143">
                  <c:v>49.299053753327001</c:v>
                </c:pt>
                <c:pt idx="144">
                  <c:v>46.765266209788649</c:v>
                </c:pt>
                <c:pt idx="145">
                  <c:v>44.354203520838468</c:v>
                </c:pt>
                <c:pt idx="146">
                  <c:v>42.061529318532877</c:v>
                </c:pt>
                <c:pt idx="147">
                  <c:v>39.882338489429912</c:v>
                </c:pt>
                <c:pt idx="148">
                  <c:v>37.811372242134354</c:v>
                </c:pt>
                <c:pt idx="149">
                  <c:v>35.843190112537201</c:v>
                </c:pt>
                <c:pt idx="150">
                  <c:v>33.972303516958704</c:v>
                </c:pt>
                <c:pt idx="151">
                  <c:v>32.193276310522691</c:v>
                </c:pt>
                <c:pt idx="152">
                  <c:v>30.500797919303153</c:v>
                </c:pt>
                <c:pt idx="153">
                  <c:v>28.889734276458142</c:v>
                </c:pt>
                <c:pt idx="154">
                  <c:v>27.355161216241754</c:v>
                </c:pt>
                <c:pt idx="155">
                  <c:v>25.892384309935949</c:v>
                </c:pt>
                <c:pt idx="156">
                  <c:v>24.496948455371438</c:v>
                </c:pt>
                <c:pt idx="157">
                  <c:v>23.164639908760449</c:v>
                </c:pt>
                <c:pt idx="158">
                  <c:v>21.891482899204902</c:v>
                </c:pt>
                <c:pt idx="159">
                  <c:v>20.673732500614022</c:v>
                </c:pt>
                <c:pt idx="160">
                  <c:v>19.507865050905593</c:v>
                </c:pt>
                <c:pt idx="161">
                  <c:v>18.390567096931164</c:v>
                </c:pt>
                <c:pt idx="162">
                  <c:v>17.318723595945443</c:v>
                </c:pt>
                <c:pt idx="163">
                  <c:v>16.28940591052762</c:v>
                </c:pt>
                <c:pt idx="164">
                  <c:v>15.299859984082872</c:v>
                </c:pt>
                <c:pt idx="165">
                  <c:v>14.347494969920035</c:v>
                </c:pt>
                <c:pt idx="166">
                  <c:v>13.429872501076574</c:v>
                </c:pt>
                <c:pt idx="167">
                  <c:v>12.544696724505513</c:v>
                </c:pt>
                <c:pt idx="168">
                  <c:v>11.689805176904116</c:v>
                </c:pt>
                <c:pt idx="169">
                  <c:v>10.863160546401076</c:v>
                </c:pt>
                <c:pt idx="170">
                  <c:v>10.062843341237055</c:v>
                </c:pt>
                <c:pt idx="171">
                  <c:v>9.2870454709939168</c:v>
                </c:pt>
                <c:pt idx="172">
                  <c:v>8.5340647357578234</c:v>
                </c:pt>
                <c:pt idx="173">
                  <c:v>7.8023002122935736</c:v>
                </c:pt>
                <c:pt idx="174">
                  <c:v>7.0902485225244334</c:v>
                </c:pt>
                <c:pt idx="175">
                  <c:v>6.3965009673505335</c:v>
                </c:pt>
                <c:pt idx="176">
                  <c:v>5.719741507206777</c:v>
                </c:pt>
                <c:pt idx="177">
                  <c:v>5.0587455690491652</c:v>
                </c:pt>
                <c:pt idx="178">
                  <c:v>4.4123796570130196</c:v>
                </c:pt>
                <c:pt idx="179">
                  <c:v>3.7796017402560267</c:v>
                </c:pt>
                <c:pt idx="180">
                  <c:v>3.1594623859466822</c:v>
                </c:pt>
                <c:pt idx="181">
                  <c:v>2.5511065975332485</c:v>
                </c:pt>
                <c:pt idx="182">
                  <c:v>1.9537763078865851</c:v>
                </c:pt>
                <c:pt idx="183">
                  <c:v>1.366813463302293</c:v>
                </c:pt>
                <c:pt idx="184">
                  <c:v>0.78966361739495028</c:v>
                </c:pt>
                <c:pt idx="185">
                  <c:v>0.22187993345897894</c:v>
                </c:pt>
                <c:pt idx="186">
                  <c:v>-0.33687253007229856</c:v>
                </c:pt>
                <c:pt idx="187">
                  <c:v>-0.88681240363735014</c:v>
                </c:pt>
                <c:pt idx="188">
                  <c:v>-1.4280376425248846</c:v>
                </c:pt>
                <c:pt idx="189">
                  <c:v>-1.9605214291155448</c:v>
                </c:pt>
                <c:pt idx="190">
                  <c:v>-2.4841085880695744</c:v>
                </c:pt>
                <c:pt idx="191">
                  <c:v>-2.9985127923752088</c:v>
                </c:pt>
                <c:pt idx="192">
                  <c:v>-3.5033148660341737</c:v>
                </c:pt>
                <c:pt idx="193">
                  <c:v>-3.997962510992096</c:v>
                </c:pt>
                <c:pt idx="194">
                  <c:v>-4.4817717985978618</c:v>
                </c:pt>
                <c:pt idx="195">
                  <c:v>-4.9539307660985799</c:v>
                </c:pt>
                <c:pt idx="196">
                  <c:v>-5.4135054430234959</c:v>
                </c:pt>
                <c:pt idx="197">
                  <c:v>-5.8594485976007888</c:v>
                </c:pt>
                <c:pt idx="198">
                  <c:v>-6.290611437050444</c:v>
                </c:pt>
                <c:pt idx="199">
                  <c:v>-6.7057584160855299</c:v>
                </c:pt>
                <c:pt idx="200">
                  <c:v>-7.1035852051067536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-179.69826494566112</c:v>
                </c:pt>
                <c:pt idx="1">
                  <c:v>-179.68404555925943</c:v>
                </c:pt>
                <c:pt idx="2">
                  <c:v>-179.66915617435524</c:v>
                </c:pt>
                <c:pt idx="3">
                  <c:v>-179.65356523571069</c:v>
                </c:pt>
                <c:pt idx="4">
                  <c:v>-179.63723970401932</c:v>
                </c:pt>
                <c:pt idx="5">
                  <c:v>-179.62014498642085</c:v>
                </c:pt>
                <c:pt idx="6">
                  <c:v>-179.60224486380889</c:v>
                </c:pt>
                <c:pt idx="7">
                  <c:v>-179.58350141479031</c:v>
                </c:pt>
                <c:pt idx="8">
                  <c:v>-179.56387493615031</c:v>
                </c:pt>
                <c:pt idx="9">
                  <c:v>-179.54332385967132</c:v>
                </c:pt>
                <c:pt idx="10">
                  <c:v>-179.5218046651492</c:v>
                </c:pt>
                <c:pt idx="11">
                  <c:v>-179.49927178944489</c:v>
                </c:pt>
                <c:pt idx="12">
                  <c:v>-179.47567753140473</c:v>
                </c:pt>
                <c:pt idx="13">
                  <c:v>-179.45097195247754</c:v>
                </c:pt>
                <c:pt idx="14">
                  <c:v>-179.425102772852</c:v>
                </c:pt>
                <c:pt idx="15">
                  <c:v>-179.39801526293328</c:v>
                </c:pt>
                <c:pt idx="16">
                  <c:v>-179.36965212997413</c:v>
                </c:pt>
                <c:pt idx="17">
                  <c:v>-179.33995339967166</c:v>
                </c:pt>
                <c:pt idx="18">
                  <c:v>-179.30885629253828</c:v>
                </c:pt>
                <c:pt idx="19">
                  <c:v>-179.27629509485268</c:v>
                </c:pt>
                <c:pt idx="20">
                  <c:v>-179.24220102399582</c:v>
                </c:pt>
                <c:pt idx="21">
                  <c:v>-179.20650208797608</c:v>
                </c:pt>
                <c:pt idx="22">
                  <c:v>-179.16912293894879</c:v>
                </c:pt>
                <c:pt idx="23">
                  <c:v>-179.12998472053803</c:v>
                </c:pt>
                <c:pt idx="24">
                  <c:v>-179.08900490877269</c:v>
                </c:pt>
                <c:pt idx="25">
                  <c:v>-179.04609714645542</c:v>
                </c:pt>
                <c:pt idx="26">
                  <c:v>-179.00117107079177</c:v>
                </c:pt>
                <c:pt idx="27">
                  <c:v>-178.95413213411976</c:v>
                </c:pt>
                <c:pt idx="28">
                  <c:v>-178.90488141759411</c:v>
                </c:pt>
                <c:pt idx="29">
                  <c:v>-178.8533154377007</c:v>
                </c:pt>
                <c:pt idx="30">
                  <c:v>-178.79932594550016</c:v>
                </c:pt>
                <c:pt idx="31">
                  <c:v>-178.74279971852985</c:v>
                </c:pt>
                <c:pt idx="32">
                  <c:v>-178.68361834532968</c:v>
                </c:pt>
                <c:pt idx="33">
                  <c:v>-178.62165800260195</c:v>
                </c:pt>
                <c:pt idx="34">
                  <c:v>-178.55678922506664</c:v>
                </c:pt>
                <c:pt idx="35">
                  <c:v>-178.48887666813789</c:v>
                </c:pt>
                <c:pt idx="36">
                  <c:v>-178.41777886361987</c:v>
                </c:pt>
                <c:pt idx="37">
                  <c:v>-178.34334796870891</c:v>
                </c:pt>
                <c:pt idx="38">
                  <c:v>-178.2654295086914</c:v>
                </c:pt>
                <c:pt idx="39">
                  <c:v>-178.18386211384606</c:v>
                </c:pt>
                <c:pt idx="40">
                  <c:v>-178.09847725120184</c:v>
                </c:pt>
                <c:pt idx="41">
                  <c:v>-178.00909895196438</c:v>
                </c:pt>
                <c:pt idx="42">
                  <c:v>-177.9155435356148</c:v>
                </c:pt>
                <c:pt idx="43">
                  <c:v>-177.81761933190506</c:v>
                </c:pt>
                <c:pt idx="44">
                  <c:v>-177.71512640222849</c:v>
                </c:pt>
                <c:pt idx="45">
                  <c:v>-177.60785626213803</c:v>
                </c:pt>
                <c:pt idx="46">
                  <c:v>-177.49559160712417</c:v>
                </c:pt>
                <c:pt idx="47">
                  <c:v>-177.37810604415293</c:v>
                </c:pt>
                <c:pt idx="48">
                  <c:v>-177.25516383191251</c:v>
                </c:pt>
                <c:pt idx="49">
                  <c:v>-177.12651963322867</c:v>
                </c:pt>
                <c:pt idx="50">
                  <c:v>-176.99191828369536</c:v>
                </c:pt>
                <c:pt idx="51">
                  <c:v>-176.85109458123497</c:v>
                </c:pt>
                <c:pt idx="52">
                  <c:v>-176.70377310206683</c:v>
                </c:pt>
                <c:pt idx="53">
                  <c:v>-176.54966804942632</c:v>
                </c:pt>
                <c:pt idx="54">
                  <c:v>-176.3884831423633</c:v>
                </c:pt>
                <c:pt idx="55">
                  <c:v>-176.21991155306188</c:v>
                </c:pt>
                <c:pt idx="56">
                  <c:v>-176.04363590238069</c:v>
                </c:pt>
                <c:pt idx="57">
                  <c:v>-175.85932832473495</c:v>
                </c:pt>
                <c:pt idx="58">
                  <c:v>-175.66665061503275</c:v>
                </c:pt>
                <c:pt idx="59">
                  <c:v>-175.46525447216868</c:v>
                </c:pt>
                <c:pt idx="60">
                  <c:v>-175.25478185557432</c:v>
                </c:pt>
                <c:pt idx="61">
                  <c:v>-175.03486547354854</c:v>
                </c:pt>
                <c:pt idx="62">
                  <c:v>-174.80512942455994</c:v>
                </c:pt>
                <c:pt idx="63">
                  <c:v>-174.56519001543595</c:v>
                </c:pt>
                <c:pt idx="64">
                  <c:v>-174.31465678335135</c:v>
                </c:pt>
                <c:pt idx="65">
                  <c:v>-174.05313375180273</c:v>
                </c:pt>
                <c:pt idx="66">
                  <c:v>-173.78022095431459</c:v>
                </c:pt>
                <c:pt idx="67">
                  <c:v>-173.49551626346795</c:v>
                </c:pt>
                <c:pt idx="68">
                  <c:v>-173.19861756695491</c:v>
                </c:pt>
                <c:pt idx="69">
                  <c:v>-172.88912533673209</c:v>
                </c:pt>
                <c:pt idx="70">
                  <c:v>-172.56664564193289</c:v>
                </c:pt>
                <c:pt idx="71">
                  <c:v>-172.23079366095914</c:v>
                </c:pt>
                <c:pt idx="72">
                  <c:v>-171.88119775303522</c:v>
                </c:pt>
                <c:pt idx="73">
                  <c:v>-171.51750415439511</c:v>
                </c:pt>
                <c:pt idx="74">
                  <c:v>-171.13938236906861</c:v>
                </c:pt>
                <c:pt idx="75">
                  <c:v>-170.74653132881423</c:v>
                </c:pt>
                <c:pt idx="76">
                  <c:v>-170.33868640095702</c:v>
                </c:pt>
                <c:pt idx="77">
                  <c:v>-169.91562732656672</c:v>
                </c:pt>
                <c:pt idx="78">
                  <c:v>-169.47718717436965</c:v>
                </c:pt>
                <c:pt idx="79">
                  <c:v>-169.0232623978527</c:v>
                </c:pt>
                <c:pt idx="80">
                  <c:v>-168.55382408403602</c:v>
                </c:pt>
                <c:pt idx="81">
                  <c:v>-168.06893048224475</c:v>
                </c:pt>
                <c:pt idx="82">
                  <c:v>-167.56874089988793</c:v>
                </c:pt>
                <c:pt idx="83">
                  <c:v>-167.05353104986924</c:v>
                </c:pt>
                <c:pt idx="84">
                  <c:v>-166.52370993112555</c:v>
                </c:pt>
                <c:pt idx="85">
                  <c:v>-165.97983832055786</c:v>
                </c:pt>
                <c:pt idx="86">
                  <c:v>-165.42264895228169</c:v>
                </c:pt>
                <c:pt idx="87">
                  <c:v>-164.853068460267</c:v>
                </c:pt>
                <c:pt idx="88">
                  <c:v>-164.27224116530348</c:v>
                </c:pt>
                <c:pt idx="89">
                  <c:v>-163.68155479996076</c:v>
                </c:pt>
                <c:pt idx="90">
                  <c:v>-163.08266829006124</c:v>
                </c:pt>
                <c:pt idx="91">
                  <c:v>-162.47754175375275</c:v>
                </c:pt>
                <c:pt idx="92">
                  <c:v>-161.8684689467986</c:v>
                </c:pt>
                <c:pt idx="93">
                  <c:v>-161.25811248451677</c:v>
                </c:pt>
                <c:pt idx="94">
                  <c:v>-160.6495423186141</c:v>
                </c:pt>
                <c:pt idx="95">
                  <c:v>-160.04627815586676</c:v>
                </c:pt>
                <c:pt idx="96">
                  <c:v>-159.45233679390955</c:v>
                </c:pt>
                <c:pt idx="97">
                  <c:v>-158.87228574119337</c:v>
                </c:pt>
                <c:pt idx="98">
                  <c:v>-158.31130501413659</c:v>
                </c:pt>
                <c:pt idx="99">
                  <c:v>-157.77525970471112</c:v>
                </c:pt>
                <c:pt idx="100">
                  <c:v>-157.27078683948429</c:v>
                </c:pt>
                <c:pt idx="101">
                  <c:v>-156.80540127851339</c:v>
                </c:pt>
                <c:pt idx="102">
                  <c:v>-156.38762702828453</c:v>
                </c:pt>
                <c:pt idx="103">
                  <c:v>-156.02716250407559</c:v>
                </c:pt>
                <c:pt idx="104">
                  <c:v>-155.73509116454025</c:v>
                </c:pt>
                <c:pt idx="105">
                  <c:v>-155.52415282043458</c:v>
                </c:pt>
                <c:pt idx="106">
                  <c:v>-155.40909615594717</c:v>
                </c:pt>
                <c:pt idx="107">
                  <c:v>-155.40714008764709</c:v>
                </c:pt>
                <c:pt idx="108">
                  <c:v>-155.53858115700652</c:v>
                </c:pt>
                <c:pt idx="109">
                  <c:v>-155.82759695173581</c:v>
                </c:pt>
                <c:pt idx="110">
                  <c:v>-156.30331226224442</c:v>
                </c:pt>
                <c:pt idx="111">
                  <c:v>-157.0012153963149</c:v>
                </c:pt>
                <c:pt idx="112">
                  <c:v>-157.96503488959874</c:v>
                </c:pt>
                <c:pt idx="113">
                  <c:v>-159.24920434156186</c:v>
                </c:pt>
                <c:pt idx="114">
                  <c:v>-160.92203401825014</c:v>
                </c:pt>
                <c:pt idx="115">
                  <c:v>-163.06961822343132</c:v>
                </c:pt>
                <c:pt idx="116">
                  <c:v>-165.80021049168593</c:v>
                </c:pt>
                <c:pt idx="117">
                  <c:v>-169.24802008192492</c:v>
                </c:pt>
                <c:pt idx="118">
                  <c:v>-173.5736030943911</c:v>
                </c:pt>
                <c:pt idx="119">
                  <c:v>-178.95451940788735</c:v>
                </c:pt>
                <c:pt idx="120">
                  <c:v>174.44531683618371</c:v>
                </c:pt>
                <c:pt idx="121">
                  <c:v>166.54200820920977</c:v>
                </c:pt>
                <c:pt idx="122">
                  <c:v>157.43424761851162</c:v>
                </c:pt>
                <c:pt idx="123">
                  <c:v>147.49366264328961</c:v>
                </c:pt>
                <c:pt idx="124">
                  <c:v>137.3400718586698</c:v>
                </c:pt>
                <c:pt idx="125">
                  <c:v>127.65099259245329</c:v>
                </c:pt>
                <c:pt idx="126">
                  <c:v>118.92624580449424</c:v>
                </c:pt>
                <c:pt idx="127">
                  <c:v>111.38373217242199</c:v>
                </c:pt>
                <c:pt idx="128">
                  <c:v>105.01031512980792</c:v>
                </c:pt>
                <c:pt idx="129">
                  <c:v>99.668935749655859</c:v>
                </c:pt>
                <c:pt idx="130">
                  <c:v>95.183634536862655</c:v>
                </c:pt>
                <c:pt idx="131">
                  <c:v>91.385047409701215</c:v>
                </c:pt>
                <c:pt idx="132">
                  <c:v>88.127778061073499</c:v>
                </c:pt>
                <c:pt idx="133">
                  <c:v>85.293395088233723</c:v>
                </c:pt>
                <c:pt idx="134">
                  <c:v>82.787668474194518</c:v>
                </c:pt>
                <c:pt idx="135">
                  <c:v>80.536231158442263</c:v>
                </c:pt>
                <c:pt idx="136">
                  <c:v>78.480365328183012</c:v>
                </c:pt>
                <c:pt idx="137">
                  <c:v>76.573455456864409</c:v>
                </c:pt>
                <c:pt idx="138">
                  <c:v>74.778178345198427</c:v>
                </c:pt>
                <c:pt idx="139">
                  <c:v>73.064337953509281</c:v>
                </c:pt>
                <c:pt idx="140">
                  <c:v>71.407216635316658</c:v>
                </c:pt>
                <c:pt idx="141">
                  <c:v>69.786323795300376</c:v>
                </c:pt>
                <c:pt idx="142">
                  <c:v>68.184444988732551</c:v>
                </c:pt>
                <c:pt idx="143">
                  <c:v>66.586916749956899</c:v>
                </c:pt>
                <c:pt idx="144">
                  <c:v>64.981071175948713</c:v>
                </c:pt>
                <c:pt idx="145">
                  <c:v>63.355808932926351</c:v>
                </c:pt>
                <c:pt idx="146">
                  <c:v>61.701270416511264</c:v>
                </c:pt>
                <c:pt idx="147">
                  <c:v>60.00858303550568</c:v>
                </c:pt>
                <c:pt idx="148">
                  <c:v>58.269668705377285</c:v>
                </c:pt>
                <c:pt idx="149">
                  <c:v>56.477100191327068</c:v>
                </c:pt>
                <c:pt idx="150">
                  <c:v>54.623998353083138</c:v>
                </c:pt>
                <c:pt idx="151">
                  <c:v>52.703964915177309</c:v>
                </c:pt>
                <c:pt idx="152">
                  <c:v>50.711047321852732</c:v>
                </c:pt>
                <c:pt idx="153">
                  <c:v>48.639733662578379</c:v>
                </c:pt>
                <c:pt idx="154">
                  <c:v>46.484976637837292</c:v>
                </c:pt>
                <c:pt idx="155">
                  <c:v>44.242246089688763</c:v>
                </c:pt>
                <c:pt idx="156">
                  <c:v>41.907609720321375</c:v>
                </c:pt>
                <c:pt idx="157">
                  <c:v>39.477841206814588</c:v>
                </c:pt>
                <c:pt idx="158">
                  <c:v>36.95055391977894</c:v>
                </c:pt>
                <c:pt idx="159">
                  <c:v>34.324356805690798</c:v>
                </c:pt>
                <c:pt idx="160">
                  <c:v>31.599026680847288</c:v>
                </c:pt>
                <c:pt idx="161">
                  <c:v>28.775688282425193</c:v>
                </c:pt>
                <c:pt idx="162">
                  <c:v>25.856990142999848</c:v>
                </c:pt>
                <c:pt idx="163">
                  <c:v>22.847261095672962</c:v>
                </c:pt>
                <c:pt idx="164">
                  <c:v>19.752629570687134</c:v>
                </c:pt>
                <c:pt idx="165">
                  <c:v>16.581086559570593</c:v>
                </c:pt>
                <c:pt idx="166">
                  <c:v>13.342473985811978</c:v>
                </c:pt>
                <c:pt idx="167">
                  <c:v>10.048383858920687</c:v>
                </c:pt>
                <c:pt idx="168">
                  <c:v>6.711960223796666</c:v>
                </c:pt>
                <c:pt idx="169">
                  <c:v>3.3476051477480553</c:v>
                </c:pt>
                <c:pt idx="170">
                  <c:v>-2.9399307466661639E-2</c:v>
                </c:pt>
                <c:pt idx="171">
                  <c:v>-3.4033307211024635</c:v>
                </c:pt>
                <c:pt idx="172">
                  <c:v>-6.7584968980161477</c:v>
                </c:pt>
                <c:pt idx="173">
                  <c:v>-10.079702400820651</c:v>
                </c:pt>
                <c:pt idx="174">
                  <c:v>-13.352676530480664</c:v>
                </c:pt>
                <c:pt idx="175">
                  <c:v>-16.56443349131527</c:v>
                </c:pt>
                <c:pt idx="176">
                  <c:v>-19.703544315944043</c:v>
                </c:pt>
                <c:pt idx="177">
                  <c:v>-22.760310771566537</c:v>
                </c:pt>
                <c:pt idx="178">
                  <c:v>-25.726841967756457</c:v>
                </c:pt>
                <c:pt idx="179">
                  <c:v>-28.597043118498107</c:v>
                </c:pt>
                <c:pt idx="180">
                  <c:v>-31.366531901759117</c:v>
                </c:pt>
                <c:pt idx="181">
                  <c:v>-34.032500846762957</c:v>
                </c:pt>
                <c:pt idx="182">
                  <c:v>-36.593544486159828</c:v>
                </c:pt>
                <c:pt idx="183">
                  <c:v>-39.049468313952275</c:v>
                </c:pt>
                <c:pt idx="184">
                  <c:v>-41.4010936790838</c:v>
                </c:pt>
                <c:pt idx="185">
                  <c:v>-43.650069337859492</c:v>
                </c:pt>
                <c:pt idx="186">
                  <c:v>-45.798697033577724</c:v>
                </c:pt>
                <c:pt idx="187">
                  <c:v>-47.849775517545339</c:v>
                </c:pt>
                <c:pt idx="188">
                  <c:v>-49.806465042516862</c:v>
                </c:pt>
                <c:pt idx="189">
                  <c:v>-51.672172584318247</c:v>
                </c:pt>
                <c:pt idx="190">
                  <c:v>-53.450456831591907</c:v>
                </c:pt>
                <c:pt idx="191">
                  <c:v>-55.144951235265921</c:v>
                </c:pt>
                <c:pt idx="192">
                  <c:v>-56.759303022812674</c:v>
                </c:pt>
                <c:pt idx="193">
                  <c:v>-58.29712595705314</c:v>
                </c:pt>
                <c:pt idx="194">
                  <c:v>-59.76196466931529</c:v>
                </c:pt>
                <c:pt idx="195">
                  <c:v>-61.157268554260298</c:v>
                </c:pt>
                <c:pt idx="196">
                  <c:v>-62.486373428366434</c:v>
                </c:pt>
                <c:pt idx="197">
                  <c:v>-63.752489390730759</c:v>
                </c:pt>
                <c:pt idx="198">
                  <c:v>-64.958693560513254</c:v>
                </c:pt>
                <c:pt idx="199">
                  <c:v>-66.107926586087132</c:v>
                </c:pt>
                <c:pt idx="200">
                  <c:v>-67.202992019372701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179.90574339576949</c:v>
                </c:pt>
                <c:pt idx="1">
                  <c:v>179.9013011129243</c:v>
                </c:pt>
                <c:pt idx="2">
                  <c:v>179.89664945604241</c:v>
                </c:pt>
                <c:pt idx="3">
                  <c:v>179.89177855530394</c:v>
                </c:pt>
                <c:pt idx="4">
                  <c:v>179.88667807539426</c:v>
                </c:pt>
                <c:pt idx="5">
                  <c:v>179.8813371935147</c:v>
                </c:pt>
                <c:pt idx="6">
                  <c:v>179.87574457634955</c:v>
                </c:pt>
                <c:pt idx="7">
                  <c:v>179.86988835593897</c:v>
                </c:pt>
                <c:pt idx="8">
                  <c:v>179.86375610440459</c:v>
                </c:pt>
                <c:pt idx="9">
                  <c:v>179.8573348074726</c:v>
                </c:pt>
                <c:pt idx="10">
                  <c:v>179.85061083673605</c:v>
                </c:pt>
                <c:pt idx="11">
                  <c:v>179.84356992059463</c:v>
                </c:pt>
                <c:pt idx="12">
                  <c:v>179.83619711380754</c:v>
                </c:pt>
                <c:pt idx="13">
                  <c:v>179.8284767655916</c:v>
                </c:pt>
                <c:pt idx="14">
                  <c:v>179.82039248619313</c:v>
                </c:pt>
                <c:pt idx="15">
                  <c:v>179.8119271118579</c:v>
                </c:pt>
                <c:pt idx="16">
                  <c:v>179.80306266812025</c:v>
                </c:pt>
                <c:pt idx="17">
                  <c:v>179.79378033132744</c:v>
                </c:pt>
                <c:pt idx="18">
                  <c:v>179.78406038831093</c:v>
                </c:pt>
                <c:pt idx="19">
                  <c:v>179.77388219411137</c:v>
                </c:pt>
                <c:pt idx="20">
                  <c:v>179.76322412765899</c:v>
                </c:pt>
                <c:pt idx="21">
                  <c:v>179.75206354530502</c:v>
                </c:pt>
                <c:pt idx="22">
                  <c:v>179.74037673209415</c:v>
                </c:pt>
                <c:pt idx="23">
                  <c:v>179.72813885066094</c:v>
                </c:pt>
                <c:pt idx="24">
                  <c:v>179.71532388762714</c:v>
                </c:pt>
                <c:pt idx="25">
                  <c:v>179.70190459736793</c:v>
                </c:pt>
                <c:pt idx="26">
                  <c:v>179.68785244300784</c:v>
                </c:pt>
                <c:pt idx="27">
                  <c:v>179.67313753449807</c:v>
                </c:pt>
                <c:pt idx="28">
                  <c:v>179.65772856361713</c:v>
                </c:pt>
                <c:pt idx="29">
                  <c:v>179.64159273572608</c:v>
                </c:pt>
                <c:pt idx="30">
                  <c:v>179.62469569809872</c:v>
                </c:pt>
                <c:pt idx="31">
                  <c:v>179.60700146463415</c:v>
                </c:pt>
                <c:pt idx="32">
                  <c:v>179.58847233674544</c:v>
                </c:pt>
                <c:pt idx="33">
                  <c:v>179.56906882020365</c:v>
                </c:pt>
                <c:pt idx="34">
                  <c:v>179.54874953769897</c:v>
                </c:pt>
                <c:pt idx="35">
                  <c:v>179.52747113686365</c:v>
                </c:pt>
                <c:pt idx="36">
                  <c:v>179.50518819348051</c:v>
                </c:pt>
                <c:pt idx="37">
                  <c:v>179.48185310957859</c:v>
                </c:pt>
                <c:pt idx="38">
                  <c:v>179.45741600609347</c:v>
                </c:pt>
                <c:pt idx="39">
                  <c:v>179.43182460974126</c:v>
                </c:pt>
                <c:pt idx="40">
                  <c:v>179.40502413372593</c:v>
                </c:pt>
                <c:pt idx="41">
                  <c:v>179.37695715186439</c:v>
                </c:pt>
                <c:pt idx="42">
                  <c:v>179.34756346567579</c:v>
                </c:pt>
                <c:pt idx="43">
                  <c:v>179.31677996393969</c:v>
                </c:pt>
                <c:pt idx="44">
                  <c:v>179.28454047417807</c:v>
                </c:pt>
                <c:pt idx="45">
                  <c:v>179.25077560546345</c:v>
                </c:pt>
                <c:pt idx="46">
                  <c:v>179.21541258189364</c:v>
                </c:pt>
                <c:pt idx="47">
                  <c:v>179.17837506600551</c:v>
                </c:pt>
                <c:pt idx="48">
                  <c:v>179.13958297132211</c:v>
                </c:pt>
                <c:pt idx="49">
                  <c:v>179.09895226313904</c:v>
                </c:pt>
                <c:pt idx="50">
                  <c:v>179.05639474655766</c:v>
                </c:pt>
                <c:pt idx="51">
                  <c:v>179.0118178406573</c:v>
                </c:pt>
                <c:pt idx="52">
                  <c:v>178.96512433757132</c:v>
                </c:pt>
                <c:pt idx="53">
                  <c:v>178.91621214508439</c:v>
                </c:pt>
                <c:pt idx="54">
                  <c:v>178.86497401120045</c:v>
                </c:pt>
                <c:pt idx="55">
                  <c:v>178.81129722894036</c:v>
                </c:pt>
                <c:pt idx="56">
                  <c:v>178.75506331940801</c:v>
                </c:pt>
                <c:pt idx="57">
                  <c:v>178.69614769091427</c:v>
                </c:pt>
                <c:pt idx="58">
                  <c:v>178.63441927165943</c:v>
                </c:pt>
                <c:pt idx="59">
                  <c:v>178.56974011314529</c:v>
                </c:pt>
                <c:pt idx="60">
                  <c:v>178.50196496110763</c:v>
                </c:pt>
                <c:pt idx="61">
                  <c:v>178.43094079032284</c:v>
                </c:pt>
                <c:pt idx="62">
                  <c:v>178.35650629913758</c:v>
                </c:pt>
                <c:pt idx="63">
                  <c:v>178.27849135898862</c:v>
                </c:pt>
                <c:pt idx="64">
                  <c:v>178.19671641350524</c:v>
                </c:pt>
                <c:pt idx="65">
                  <c:v>178.11099182100736</c:v>
                </c:pt>
                <c:pt idx="66">
                  <c:v>178.02111713330709</c:v>
                </c:pt>
                <c:pt idx="67">
                  <c:v>177.92688030266905</c:v>
                </c:pt>
                <c:pt idx="68">
                  <c:v>177.82805680756192</c:v>
                </c:pt>
                <c:pt idx="69">
                  <c:v>177.72440868640558</c:v>
                </c:pt>
                <c:pt idx="70">
                  <c:v>177.61568346685107</c:v>
                </c:pt>
                <c:pt idx="71">
                  <c:v>177.50161297617962</c:v>
                </c:pt>
                <c:pt idx="72">
                  <c:v>177.38191201611812</c:v>
                </c:pt>
                <c:pt idx="73">
                  <c:v>177.25627688267775</c:v>
                </c:pt>
                <c:pt idx="74">
                  <c:v>177.12438370845422</c:v>
                </c:pt>
                <c:pt idx="75">
                  <c:v>176.98588660108464</c:v>
                </c:pt>
                <c:pt idx="76">
                  <c:v>176.84041554712411</c:v>
                </c:pt>
                <c:pt idx="77">
                  <c:v>176.68757404534557</c:v>
                </c:pt>
                <c:pt idx="78">
                  <c:v>176.52693642720172</c:v>
                </c:pt>
                <c:pt idx="79">
                  <c:v>176.3580448147099</c:v>
                </c:pt>
                <c:pt idx="80">
                  <c:v>176.18040565705979</c:v>
                </c:pt>
                <c:pt idx="81">
                  <c:v>175.99348577647839</c:v>
                </c:pt>
                <c:pt idx="82">
                  <c:v>175.79670784089848</c:v>
                </c:pt>
                <c:pt idx="83">
                  <c:v>175.58944516525796</c:v>
                </c:pt>
                <c:pt idx="84">
                  <c:v>175.37101572415867</c:v>
                </c:pt>
                <c:pt idx="85">
                  <c:v>175.14067523530949</c:v>
                </c:pt>
                <c:pt idx="86">
                  <c:v>174.89760914463517</c:v>
                </c:pt>
                <c:pt idx="87">
                  <c:v>174.64092330880823</c:v>
                </c:pt>
                <c:pt idx="88">
                  <c:v>174.36963312754867</c:v>
                </c:pt>
                <c:pt idx="89">
                  <c:v>174.08265082412248</c:v>
                </c:pt>
                <c:pt idx="90">
                  <c:v>173.77877050518239</c:v>
                </c:pt>
                <c:pt idx="91">
                  <c:v>173.45665054668825</c:v>
                </c:pt>
                <c:pt idx="92">
                  <c:v>173.11479274619774</c:v>
                </c:pt>
                <c:pt idx="93">
                  <c:v>172.75151754683714</c:v>
                </c:pt>
                <c:pt idx="94">
                  <c:v>172.36493446611507</c:v>
                </c:pt>
                <c:pt idx="95">
                  <c:v>171.95290664191907</c:v>
                </c:pt>
                <c:pt idx="96">
                  <c:v>171.51300812302188</c:v>
                </c:pt>
                <c:pt idx="97">
                  <c:v>171.04247216131668</c:v>
                </c:pt>
                <c:pt idx="98">
                  <c:v>170.53812827928454</c:v>
                </c:pt>
                <c:pt idx="99">
                  <c:v>169.99632524996187</c:v>
                </c:pt>
                <c:pt idx="100">
                  <c:v>169.412836284354</c:v>
                </c:pt>
                <c:pt idx="101">
                  <c:v>168.78274159888969</c:v>
                </c:pt>
                <c:pt idx="102">
                  <c:v>168.10028203060639</c:v>
                </c:pt>
                <c:pt idx="103">
                  <c:v>167.35867533787226</c:v>
                </c:pt>
                <c:pt idx="104">
                  <c:v>166.54988407181978</c:v>
                </c:pt>
                <c:pt idx="105">
                  <c:v>165.66432015482278</c:v>
                </c:pt>
                <c:pt idx="106">
                  <c:v>164.69046618318879</c:v>
                </c:pt>
                <c:pt idx="107">
                  <c:v>163.61438648116021</c:v>
                </c:pt>
                <c:pt idx="108">
                  <c:v>162.41909143101111</c:v>
                </c:pt>
                <c:pt idx="109">
                  <c:v>161.08370584050962</c:v>
                </c:pt>
                <c:pt idx="110">
                  <c:v>159.58237539817122</c:v>
                </c:pt>
                <c:pt idx="111">
                  <c:v>157.88282451462752</c:v>
                </c:pt>
                <c:pt idx="112">
                  <c:v>155.94445596577449</c:v>
                </c:pt>
                <c:pt idx="113">
                  <c:v>153.71586516540663</c:v>
                </c:pt>
                <c:pt idx="114">
                  <c:v>151.13165086652842</c:v>
                </c:pt>
                <c:pt idx="115">
                  <c:v>148.10849360073408</c:v>
                </c:pt>
                <c:pt idx="116">
                  <c:v>144.54076997901359</c:v>
                </c:pt>
                <c:pt idx="117">
                  <c:v>140.29674942194345</c:v>
                </c:pt>
                <c:pt idx="118">
                  <c:v>135.21819992264102</c:v>
                </c:pt>
                <c:pt idx="119">
                  <c:v>129.12973146807053</c:v>
                </c:pt>
                <c:pt idx="120">
                  <c:v>121.86944912994855</c:v>
                </c:pt>
                <c:pt idx="121">
                  <c:v>113.35533050628433</c:v>
                </c:pt>
                <c:pt idx="122">
                  <c:v>103.68780833533432</c:v>
                </c:pt>
                <c:pt idx="123">
                  <c:v>93.240125959654947</c:v>
                </c:pt>
                <c:pt idx="124">
                  <c:v>82.633606525595724</c:v>
                </c:pt>
                <c:pt idx="125">
                  <c:v>72.54717498559161</c:v>
                </c:pt>
                <c:pt idx="126">
                  <c:v>63.481978240568836</c:v>
                </c:pt>
                <c:pt idx="127">
                  <c:v>55.657177186739531</c:v>
                </c:pt>
                <c:pt idx="128">
                  <c:v>49.060846131879515</c:v>
                </c:pt>
                <c:pt idx="129">
                  <c:v>43.557104233717268</c:v>
                </c:pt>
                <c:pt idx="130">
                  <c:v>38.971153824346402</c:v>
                </c:pt>
                <c:pt idx="131">
                  <c:v>35.13479273917855</c:v>
                </c:pt>
                <c:pt idx="132">
                  <c:v>31.903802713749002</c:v>
                </c:pt>
                <c:pt idx="133">
                  <c:v>29.160962138355188</c:v>
                </c:pt>
                <c:pt idx="134">
                  <c:v>26.813297677219623</c:v>
                </c:pt>
                <c:pt idx="135">
                  <c:v>24.787760428050262</c:v>
                </c:pt>
                <c:pt idx="136">
                  <c:v>23.027026198027357</c:v>
                </c:pt>
                <c:pt idx="137">
                  <c:v>21.485961865216069</c:v>
                </c:pt>
                <c:pt idx="138">
                  <c:v>20.128828010323815</c:v>
                </c:pt>
                <c:pt idx="139">
                  <c:v>18.927125513597645</c:v>
                </c:pt>
                <c:pt idx="140">
                  <c:v>17.857957596472744</c:v>
                </c:pt>
                <c:pt idx="141">
                  <c:v>16.902788150338807</c:v>
                </c:pt>
                <c:pt idx="142">
                  <c:v>16.046499122038199</c:v>
                </c:pt>
                <c:pt idx="143">
                  <c:v>15.276671911051579</c:v>
                </c:pt>
                <c:pt idx="144">
                  <c:v>14.583036365747063</c:v>
                </c:pt>
                <c:pt idx="145">
                  <c:v>13.957045478701417</c:v>
                </c:pt>
                <c:pt idx="146">
                  <c:v>13.391544789084122</c:v>
                </c:pt>
                <c:pt idx="147">
                  <c:v>12.880513558893966</c:v>
                </c:pt>
                <c:pt idx="148">
                  <c:v>12.418860699670688</c:v>
                </c:pt>
                <c:pt idx="149">
                  <c:v>12.002262752414367</c:v>
                </c:pt>
                <c:pt idx="150">
                  <c:v>11.627034395218885</c:v>
                </c:pt>
                <c:pt idx="151">
                  <c:v>11.290024287038619</c:v>
                </c:pt>
                <c:pt idx="152">
                  <c:v>10.988530781857747</c:v>
                </c:pt>
                <c:pt idx="153">
                  <c:v>10.720233331015606</c:v>
                </c:pt>
                <c:pt idx="154">
                  <c:v>10.483136351807445</c:v>
                </c:pt>
                <c:pt idx="155">
                  <c:v>10.275523063659932</c:v>
                </c:pt>
                <c:pt idx="156">
                  <c:v>10.095917341247628</c:v>
                </c:pt>
                <c:pt idx="157">
                  <c:v>9.9430520519508718</c:v>
                </c:pt>
                <c:pt idx="158">
                  <c:v>9.8158426659018403</c:v>
                </c:pt>
                <c:pt idx="159">
                  <c:v>9.7133651746315195</c:v>
                </c:pt>
                <c:pt idx="160">
                  <c:v>9.6348375467966036</c:v>
                </c:pt>
                <c:pt idx="161">
                  <c:v>9.579604099807284</c:v>
                </c:pt>
                <c:pt idx="162">
                  <c:v>9.5471222842451482</c:v>
                </c:pt>
                <c:pt idx="163">
                  <c:v>9.5369514711418901</c:v>
                </c:pt>
                <c:pt idx="164">
                  <c:v>9.5487434060569854</c:v>
                </c:pt>
                <c:pt idx="165">
                  <c:v>9.5822340526852372</c:v>
                </c:pt>
                <c:pt idx="166">
                  <c:v>9.6372365956771944</c:v>
                </c:pt>
                <c:pt idx="167">
                  <c:v>9.7136354099421283</c:v>
                </c:pt>
                <c:pt idx="168">
                  <c:v>9.8113808338439412</c:v>
                </c:pt>
                <c:pt idx="169">
                  <c:v>9.9304846078811693</c:v>
                </c:pt>
                <c:pt idx="170">
                  <c:v>10.071015859808114</c:v>
                </c:pt>
                <c:pt idx="171">
                  <c:v>10.233097532632058</c:v>
                </c:pt>
                <c:pt idx="172">
                  <c:v>10.416903164197947</c:v>
                </c:pt>
                <c:pt idx="173">
                  <c:v>10.622653936745877</c:v>
                </c:pt>
                <c:pt idx="174">
                  <c:v>10.850615922320344</c:v>
                </c:pt>
                <c:pt idx="175">
                  <c:v>11.101097455616724</c:v>
                </c:pt>
                <c:pt idx="176">
                  <c:v>11.374446570054971</c:v>
                </c:pt>
                <c:pt idx="177">
                  <c:v>11.671048435840618</c:v>
                </c:pt>
                <c:pt idx="178">
                  <c:v>11.991322740718886</c:v>
                </c:pt>
                <c:pt idx="179">
                  <c:v>12.335720955264492</c:v>
                </c:pt>
                <c:pt idx="180">
                  <c:v>12.704723425044619</c:v>
                </c:pt>
                <c:pt idx="181">
                  <c:v>13.098836232062212</c:v>
                </c:pt>
                <c:pt idx="182">
                  <c:v>13.518587767695436</c:v>
                </c:pt>
                <c:pt idx="183">
                  <c:v>13.96452495912871</c:v>
                </c:pt>
                <c:pt idx="184">
                  <c:v>14.437209091241385</c:v>
                </c:pt>
                <c:pt idx="185">
                  <c:v>14.937211166339239</c:v>
                </c:pt>
                <c:pt idx="186">
                  <c:v>15.465106745280707</c:v>
                </c:pt>
                <c:pt idx="187">
                  <c:v>16.021470215784262</c:v>
                </c:pt>
                <c:pt idx="188">
                  <c:v>16.606868437376647</c:v>
                </c:pt>
                <c:pt idx="189">
                  <c:v>17.221853717954218</c:v>
                </c:pt>
                <c:pt idx="190">
                  <c:v>17.8669560847122</c:v>
                </c:pt>
                <c:pt idx="191">
                  <c:v>18.542674822700747</c:v>
                </c:pt>
                <c:pt idx="192">
                  <c:v>19.249469267946949</c:v>
                </c:pt>
                <c:pt idx="193">
                  <c:v>19.987748859347278</c:v>
                </c:pt>
                <c:pt idx="194">
                  <c:v>20.757862474776459</c:v>
                </c:pt>
                <c:pt idx="195">
                  <c:v>21.560087102301424</c:v>
                </c:pt>
                <c:pt idx="196">
                  <c:v>22.394615927147811</c:v>
                </c:pt>
                <c:pt idx="197">
                  <c:v>23.261545949015158</c:v>
                </c:pt>
                <c:pt idx="198">
                  <c:v>24.16086528202581</c:v>
                </c:pt>
                <c:pt idx="199">
                  <c:v>25.092440330269426</c:v>
                </c:pt>
                <c:pt idx="200">
                  <c:v>26.056003074331755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671040"/>
        <c:axId val="393951872"/>
      </c:scatterChart>
      <c:valAx>
        <c:axId val="375671040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951872"/>
        <c:crosses val="autoZero"/>
        <c:crossBetween val="midCat"/>
      </c:valAx>
      <c:valAx>
        <c:axId val="39395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710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179.80121823480556</c:v>
                </c:pt>
                <c:pt idx="1">
                  <c:v>179.79184990106185</c:v>
                </c:pt>
                <c:pt idx="2">
                  <c:v>179.78204004575525</c:v>
                </c:pt>
                <c:pt idx="3">
                  <c:v>179.77176785978654</c:v>
                </c:pt>
                <c:pt idx="4">
                  <c:v>179.76101155323099</c:v>
                </c:pt>
                <c:pt idx="5">
                  <c:v>179.74974830909539</c:v>
                </c:pt>
                <c:pt idx="6">
                  <c:v>179.73795423489287</c:v>
                </c:pt>
                <c:pt idx="7">
                  <c:v>179.72560431193236</c:v>
                </c:pt>
                <c:pt idx="8">
                  <c:v>179.71267234221489</c:v>
                </c:pt>
                <c:pt idx="9">
                  <c:v>179.69913089282267</c:v>
                </c:pt>
                <c:pt idx="10">
                  <c:v>179.68495123768301</c:v>
                </c:pt>
                <c:pt idx="11">
                  <c:v>179.67010329658208</c:v>
                </c:pt>
                <c:pt idx="12">
                  <c:v>179.65455557129832</c:v>
                </c:pt>
                <c:pt idx="13">
                  <c:v>179.63827507871889</c:v>
                </c:pt>
                <c:pt idx="14">
                  <c:v>179.62122728079578</c:v>
                </c:pt>
                <c:pt idx="15">
                  <c:v>179.60337601119156</c:v>
                </c:pt>
                <c:pt idx="16">
                  <c:v>179.58468339845729</c:v>
                </c:pt>
                <c:pt idx="17">
                  <c:v>179.56510978557759</c:v>
                </c:pt>
                <c:pt idx="18">
                  <c:v>179.54461364570997</c:v>
                </c:pt>
                <c:pt idx="19">
                  <c:v>179.52315149393658</c:v>
                </c:pt>
                <c:pt idx="20">
                  <c:v>179.50067779483848</c:v>
                </c:pt>
                <c:pt idx="21">
                  <c:v>179.47714486569274</c:v>
                </c:pt>
                <c:pt idx="22">
                  <c:v>179.45250277508245</c:v>
                </c:pt>
                <c:pt idx="23">
                  <c:v>179.42669923670044</c:v>
                </c:pt>
                <c:pt idx="24">
                  <c:v>179.39967949811563</c:v>
                </c:pt>
                <c:pt idx="25">
                  <c:v>179.37138622425979</c:v>
                </c:pt>
                <c:pt idx="26">
                  <c:v>179.34175937538089</c:v>
                </c:pt>
                <c:pt idx="27">
                  <c:v>179.31073607919495</c:v>
                </c:pt>
                <c:pt idx="28">
                  <c:v>179.27825049695699</c:v>
                </c:pt>
                <c:pt idx="29">
                  <c:v>179.24423368315487</c:v>
                </c:pt>
                <c:pt idx="30">
                  <c:v>179.20861343851703</c:v>
                </c:pt>
                <c:pt idx="31">
                  <c:v>179.1713141560073</c:v>
                </c:pt>
                <c:pt idx="32">
                  <c:v>179.13225665946388</c:v>
                </c:pt>
                <c:pt idx="33">
                  <c:v>179.09135803452156</c:v>
                </c:pt>
                <c:pt idx="34">
                  <c:v>179.04853145143662</c:v>
                </c:pt>
                <c:pt idx="35">
                  <c:v>179.00368597941389</c:v>
                </c:pt>
                <c:pt idx="36">
                  <c:v>178.95672639201348</c:v>
                </c:pt>
                <c:pt idx="37">
                  <c:v>178.90755296319176</c:v>
                </c:pt>
                <c:pt idx="38">
                  <c:v>178.85606125350645</c:v>
                </c:pt>
                <c:pt idx="39">
                  <c:v>178.80214188598885</c:v>
                </c:pt>
                <c:pt idx="40">
                  <c:v>178.74568031115874</c:v>
                </c:pt>
                <c:pt idx="41">
                  <c:v>178.68655656062634</c:v>
                </c:pt>
                <c:pt idx="42">
                  <c:v>178.62464498869352</c:v>
                </c:pt>
                <c:pt idx="43">
                  <c:v>178.55981400133138</c:v>
                </c:pt>
                <c:pt idx="44">
                  <c:v>178.49192577187341</c:v>
                </c:pt>
                <c:pt idx="45">
                  <c:v>178.42083594272259</c:v>
                </c:pt>
                <c:pt idx="46">
                  <c:v>178.3463933123264</c:v>
                </c:pt>
                <c:pt idx="47">
                  <c:v>178.26843950662649</c:v>
                </c:pt>
                <c:pt idx="48">
                  <c:v>178.18680863413678</c:v>
                </c:pt>
                <c:pt idx="49">
                  <c:v>178.10132692374756</c:v>
                </c:pt>
                <c:pt idx="50">
                  <c:v>178.01181234429211</c:v>
                </c:pt>
                <c:pt idx="51">
                  <c:v>177.91807420484292</c:v>
                </c:pt>
                <c:pt idx="52">
                  <c:v>177.81991273463348</c:v>
                </c:pt>
                <c:pt idx="53">
                  <c:v>177.71711864141773</c:v>
                </c:pt>
                <c:pt idx="54">
                  <c:v>177.60947264699254</c:v>
                </c:pt>
                <c:pt idx="55">
                  <c:v>177.49674499850909</c:v>
                </c:pt>
                <c:pt idx="56">
                  <c:v>177.37869495409097</c:v>
                </c:pt>
                <c:pt idx="57">
                  <c:v>177.25507024115896</c:v>
                </c:pt>
                <c:pt idx="58">
                  <c:v>177.12560648572679</c:v>
                </c:pt>
                <c:pt idx="59">
                  <c:v>176.99002661078916</c:v>
                </c:pt>
                <c:pt idx="60">
                  <c:v>176.84804020175784</c:v>
                </c:pt>
                <c:pt idx="61">
                  <c:v>176.69934283672103</c:v>
                </c:pt>
                <c:pt idx="62">
                  <c:v>176.54361537910015</c:v>
                </c:pt>
                <c:pt idx="63">
                  <c:v>176.38052323005161</c:v>
                </c:pt>
                <c:pt idx="64">
                  <c:v>176.20971553771176</c:v>
                </c:pt>
                <c:pt idx="65">
                  <c:v>176.03082436010024</c:v>
                </c:pt>
                <c:pt idx="66">
                  <c:v>175.84346377818542</c:v>
                </c:pt>
                <c:pt idx="67">
                  <c:v>175.64722895526154</c:v>
                </c:pt>
                <c:pt idx="68">
                  <c:v>175.44169513839617</c:v>
                </c:pt>
                <c:pt idx="69">
                  <c:v>175.22641659726369</c:v>
                </c:pt>
                <c:pt idx="70">
                  <c:v>175.00092549518766</c:v>
                </c:pt>
                <c:pt idx="71">
                  <c:v>174.76473068666118</c:v>
                </c:pt>
                <c:pt idx="72">
                  <c:v>174.51731643499443</c:v>
                </c:pt>
                <c:pt idx="73">
                  <c:v>174.25814104304339</c:v>
                </c:pt>
                <c:pt idx="74">
                  <c:v>173.9866353891984</c:v>
                </c:pt>
                <c:pt idx="75">
                  <c:v>173.70220135994131</c:v>
                </c:pt>
                <c:pt idx="76">
                  <c:v>173.40421016930975</c:v>
                </c:pt>
                <c:pt idx="77">
                  <c:v>173.09200055452882</c:v>
                </c:pt>
                <c:pt idx="78">
                  <c:v>172.76487683586399</c:v>
                </c:pt>
                <c:pt idx="79">
                  <c:v>172.42210682741947</c:v>
                </c:pt>
                <c:pt idx="80">
                  <c:v>172.06291958412712</c:v>
                </c:pt>
                <c:pt idx="81">
                  <c:v>171.68650296854958</c:v>
                </c:pt>
                <c:pt idx="82">
                  <c:v>171.29200101933614</c:v>
                </c:pt>
                <c:pt idx="83">
                  <c:v>170.87851110123299</c:v>
                </c:pt>
                <c:pt idx="84">
                  <c:v>170.44508081444633</c:v>
                </c:pt>
                <c:pt idx="85">
                  <c:v>169.99070463890891</c:v>
                </c:pt>
                <c:pt idx="86">
                  <c:v>169.51432028661961</c:v>
                </c:pt>
                <c:pt idx="87">
                  <c:v>169.01480473274435</c:v>
                </c:pt>
                <c:pt idx="88">
                  <c:v>168.49096989363764</c:v>
                </c:pt>
                <c:pt idx="89">
                  <c:v>167.94155791744311</c:v>
                </c:pt>
                <c:pt idx="90">
                  <c:v>167.36523605057107</c:v>
                </c:pt>
                <c:pt idx="91">
                  <c:v>166.76059104128561</c:v>
                </c:pt>
                <c:pt idx="92">
                  <c:v>166.12612304009124</c:v>
                </c:pt>
                <c:pt idx="93">
                  <c:v>165.46023895587635</c:v>
                </c:pt>
                <c:pt idx="94">
                  <c:v>164.76124522726701</c:v>
                </c:pt>
                <c:pt idx="95">
                  <c:v>164.0273399709119</c:v>
                </c:pt>
                <c:pt idx="96">
                  <c:v>163.25660447317347</c:v>
                </c:pt>
                <c:pt idx="97">
                  <c:v>162.44699399991975</c:v>
                </c:pt>
                <c:pt idx="98">
                  <c:v>161.59632791202876</c:v>
                </c:pt>
                <c:pt idx="99">
                  <c:v>160.70227909348193</c:v>
                </c:pt>
                <c:pt idx="100">
                  <c:v>159.76236272664343</c:v>
                </c:pt>
                <c:pt idx="101">
                  <c:v>158.77392448818875</c:v>
                </c:pt>
                <c:pt idx="102">
                  <c:v>157.73412829261838</c:v>
                </c:pt>
                <c:pt idx="103">
                  <c:v>156.63994378263277</c:v>
                </c:pt>
                <c:pt idx="104">
                  <c:v>155.48813386224475</c:v>
                </c:pt>
                <c:pt idx="105">
                  <c:v>154.27524269580118</c:v>
                </c:pt>
                <c:pt idx="106">
                  <c:v>152.99758476183959</c:v>
                </c:pt>
                <c:pt idx="107">
                  <c:v>151.65123576381939</c:v>
                </c:pt>
                <c:pt idx="108">
                  <c:v>150.23202647006099</c:v>
                </c:pt>
                <c:pt idx="109">
                  <c:v>148.73554089279958</c:v>
                </c:pt>
                <c:pt idx="110">
                  <c:v>147.15712063018458</c:v>
                </c:pt>
                <c:pt idx="111">
                  <c:v>145.49187769115551</c:v>
                </c:pt>
                <c:pt idx="112">
                  <c:v>143.73471870046677</c:v>
                </c:pt>
                <c:pt idx="113">
                  <c:v>141.8803840263987</c:v>
                </c:pt>
                <c:pt idx="114">
                  <c:v>139.92350605346743</c:v>
                </c:pt>
                <c:pt idx="115">
                  <c:v>137.85869147241976</c:v>
                </c:pt>
                <c:pt idx="116">
                  <c:v>135.68063297160631</c:v>
                </c:pt>
                <c:pt idx="117">
                  <c:v>133.38425592055344</c:v>
                </c:pt>
                <c:pt idx="118">
                  <c:v>130.96490530027685</c:v>
                </c:pt>
                <c:pt idx="119">
                  <c:v>128.41857694336196</c:v>
                </c:pt>
                <c:pt idx="120">
                  <c:v>125.7421947293124</c:v>
                </c:pt>
                <c:pt idx="121">
                  <c:v>122.93393135910321</c:v>
                </c:pt>
                <c:pt idx="122">
                  <c:v>119.99356442368489</c:v>
                </c:pt>
                <c:pt idx="123">
                  <c:v>116.92285165920747</c:v>
                </c:pt>
                <c:pt idx="124">
                  <c:v>113.7258999952106</c:v>
                </c:pt>
                <c:pt idx="125">
                  <c:v>110.40949339113271</c:v>
                </c:pt>
                <c:pt idx="126">
                  <c:v>106.98333647255696</c:v>
                </c:pt>
                <c:pt idx="127">
                  <c:v>103.46016725856242</c:v>
                </c:pt>
                <c:pt idx="128">
                  <c:v>99.855695627526472</c:v>
                </c:pt>
                <c:pt idx="129">
                  <c:v>96.188336666773793</c:v>
                </c:pt>
                <c:pt idx="130">
                  <c:v>92.478729879354347</c:v>
                </c:pt>
                <c:pt idx="131">
                  <c:v>88.749063814258434</c:v>
                </c:pt>
                <c:pt idx="132">
                  <c:v>85.022255696513511</c:v>
                </c:pt>
                <c:pt idx="133">
                  <c:v>81.321060110193002</c:v>
                </c:pt>
                <c:pt idx="134">
                  <c:v>77.667193356731374</c:v>
                </c:pt>
                <c:pt idx="135">
                  <c:v>74.080557301072716</c:v>
                </c:pt>
                <c:pt idx="136">
                  <c:v>70.57862911604559</c:v>
                </c:pt>
                <c:pt idx="137">
                  <c:v>67.176056074117383</c:v>
                </c:pt>
                <c:pt idx="138">
                  <c:v>63.884464277514141</c:v>
                </c:pt>
                <c:pt idx="139">
                  <c:v>60.712463553040863</c:v>
                </c:pt>
                <c:pt idx="140">
                  <c:v>57.665812093456452</c:v>
                </c:pt>
                <c:pt idx="141">
                  <c:v>54.747695328271945</c:v>
                </c:pt>
                <c:pt idx="142">
                  <c:v>51.959072970421005</c:v>
                </c:pt>
                <c:pt idx="143">
                  <c:v>49.299053753327001</c:v>
                </c:pt>
                <c:pt idx="144">
                  <c:v>46.765266209788649</c:v>
                </c:pt>
                <c:pt idx="145">
                  <c:v>44.354203520838468</c:v>
                </c:pt>
                <c:pt idx="146">
                  <c:v>42.061529318532877</c:v>
                </c:pt>
                <c:pt idx="147">
                  <c:v>39.882338489429912</c:v>
                </c:pt>
                <c:pt idx="148">
                  <c:v>37.811372242134354</c:v>
                </c:pt>
                <c:pt idx="149">
                  <c:v>35.843190112537201</c:v>
                </c:pt>
                <c:pt idx="150">
                  <c:v>33.972303516958704</c:v>
                </c:pt>
                <c:pt idx="151">
                  <c:v>32.193276310522691</c:v>
                </c:pt>
                <c:pt idx="152">
                  <c:v>30.500797919303153</c:v>
                </c:pt>
                <c:pt idx="153">
                  <c:v>28.889734276458142</c:v>
                </c:pt>
                <c:pt idx="154">
                  <c:v>27.355161216241754</c:v>
                </c:pt>
                <c:pt idx="155">
                  <c:v>25.892384309935949</c:v>
                </c:pt>
                <c:pt idx="156">
                  <c:v>24.496948455371438</c:v>
                </c:pt>
                <c:pt idx="157">
                  <c:v>23.164639908760449</c:v>
                </c:pt>
                <c:pt idx="158">
                  <c:v>21.891482899204902</c:v>
                </c:pt>
                <c:pt idx="159">
                  <c:v>20.673732500614022</c:v>
                </c:pt>
                <c:pt idx="160">
                  <c:v>19.507865050905593</c:v>
                </c:pt>
                <c:pt idx="161">
                  <c:v>18.390567096931164</c:v>
                </c:pt>
                <c:pt idx="162">
                  <c:v>17.318723595945443</c:v>
                </c:pt>
                <c:pt idx="163">
                  <c:v>16.28940591052762</c:v>
                </c:pt>
                <c:pt idx="164">
                  <c:v>15.299859984082872</c:v>
                </c:pt>
                <c:pt idx="165">
                  <c:v>14.347494969920035</c:v>
                </c:pt>
                <c:pt idx="166">
                  <c:v>13.429872501076574</c:v>
                </c:pt>
                <c:pt idx="167">
                  <c:v>12.544696724505513</c:v>
                </c:pt>
                <c:pt idx="168">
                  <c:v>11.689805176904116</c:v>
                </c:pt>
                <c:pt idx="169">
                  <c:v>10.863160546401076</c:v>
                </c:pt>
                <c:pt idx="170">
                  <c:v>10.062843341237055</c:v>
                </c:pt>
                <c:pt idx="171">
                  <c:v>9.2870454709939168</c:v>
                </c:pt>
                <c:pt idx="172">
                  <c:v>8.5340647357578234</c:v>
                </c:pt>
                <c:pt idx="173">
                  <c:v>7.8023002122935736</c:v>
                </c:pt>
                <c:pt idx="174">
                  <c:v>7.0902485225244334</c:v>
                </c:pt>
                <c:pt idx="175">
                  <c:v>6.3965009673505335</c:v>
                </c:pt>
                <c:pt idx="176">
                  <c:v>5.719741507206777</c:v>
                </c:pt>
                <c:pt idx="177">
                  <c:v>5.0587455690491652</c:v>
                </c:pt>
                <c:pt idx="178">
                  <c:v>4.4123796570130196</c:v>
                </c:pt>
                <c:pt idx="179">
                  <c:v>3.7796017402560267</c:v>
                </c:pt>
                <c:pt idx="180">
                  <c:v>3.1594623859466822</c:v>
                </c:pt>
                <c:pt idx="181">
                  <c:v>2.5511065975332485</c:v>
                </c:pt>
                <c:pt idx="182">
                  <c:v>1.9537763078865851</c:v>
                </c:pt>
                <c:pt idx="183">
                  <c:v>1.366813463302293</c:v>
                </c:pt>
                <c:pt idx="184">
                  <c:v>0.78966361739495028</c:v>
                </c:pt>
                <c:pt idx="185">
                  <c:v>0.22187993345897894</c:v>
                </c:pt>
                <c:pt idx="186">
                  <c:v>-0.33687253007229856</c:v>
                </c:pt>
                <c:pt idx="187">
                  <c:v>-0.88681240363735014</c:v>
                </c:pt>
                <c:pt idx="188">
                  <c:v>-1.4280376425248846</c:v>
                </c:pt>
                <c:pt idx="189">
                  <c:v>-1.9605214291155448</c:v>
                </c:pt>
                <c:pt idx="190">
                  <c:v>-2.4841085880695744</c:v>
                </c:pt>
                <c:pt idx="191">
                  <c:v>-2.9985127923752088</c:v>
                </c:pt>
                <c:pt idx="192">
                  <c:v>-3.5033148660341737</c:v>
                </c:pt>
                <c:pt idx="193">
                  <c:v>-3.997962510992096</c:v>
                </c:pt>
                <c:pt idx="194">
                  <c:v>-4.4817717985978618</c:v>
                </c:pt>
                <c:pt idx="195">
                  <c:v>-4.9539307660985799</c:v>
                </c:pt>
                <c:pt idx="196">
                  <c:v>-5.4135054430234959</c:v>
                </c:pt>
                <c:pt idx="197">
                  <c:v>-5.8594485976007888</c:v>
                </c:pt>
                <c:pt idx="198">
                  <c:v>-6.290611437050444</c:v>
                </c:pt>
                <c:pt idx="199">
                  <c:v>-6.7057584160855299</c:v>
                </c:pt>
                <c:pt idx="200">
                  <c:v>-7.1035852051067536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93.942355621540258</c:v>
                </c:pt>
                <c:pt idx="1">
                  <c:v>93.955577239871545</c:v>
                </c:pt>
                <c:pt idx="2">
                  <c:v>93.977161127530707</c:v>
                </c:pt>
                <c:pt idx="3">
                  <c:v>94.00715165071469</c:v>
                </c:pt>
                <c:pt idx="4">
                  <c:v>94.045610446627322</c:v>
                </c:pt>
                <c:pt idx="5">
                  <c:v>94.092616516866201</c:v>
                </c:pt>
                <c:pt idx="6">
                  <c:v>94.148266346367976</c:v>
                </c:pt>
                <c:pt idx="7">
                  <c:v>94.212674047265992</c:v>
                </c:pt>
                <c:pt idx="8">
                  <c:v>94.285971526843454</c:v>
                </c:pt>
                <c:pt idx="9">
                  <c:v>94.368308678576213</c:v>
                </c:pt>
                <c:pt idx="10">
                  <c:v>94.459853595041011</c:v>
                </c:pt>
                <c:pt idx="11">
                  <c:v>94.560792801219407</c:v>
                </c:pt>
                <c:pt idx="12">
                  <c:v>94.671331506445696</c:v>
                </c:pt>
                <c:pt idx="13">
                  <c:v>94.79169387292329</c:v>
                </c:pt>
                <c:pt idx="14">
                  <c:v>94.922123298365193</c:v>
                </c:pt>
                <c:pt idx="15">
                  <c:v>95.062882709888797</c:v>
                </c:pt>
                <c:pt idx="16">
                  <c:v>95.21425486581073</c:v>
                </c:pt>
                <c:pt idx="17">
                  <c:v>95.376542661433589</c:v>
                </c:pt>
                <c:pt idx="18">
                  <c:v>95.550069434281582</c:v>
                </c:pt>
                <c:pt idx="19">
                  <c:v>95.735179263527627</c:v>
                </c:pt>
                <c:pt idx="20">
                  <c:v>95.932237257531199</c:v>
                </c:pt>
                <c:pt idx="21">
                  <c:v>96.14162982249114</c:v>
                </c:pt>
                <c:pt idx="22">
                  <c:v>96.363764904168249</c:v>
                </c:pt>
                <c:pt idx="23">
                  <c:v>96.599072193465773</c:v>
                </c:pt>
                <c:pt idx="24">
                  <c:v>96.84800328534557</c:v>
                </c:pt>
                <c:pt idx="25">
                  <c:v>97.111031779088208</c:v>
                </c:pt>
                <c:pt idx="26">
                  <c:v>97.388653306291133</c:v>
                </c:pt>
                <c:pt idx="27">
                  <c:v>97.681385471197515</c:v>
                </c:pt>
                <c:pt idx="28">
                  <c:v>97.989767685980027</c:v>
                </c:pt>
                <c:pt idx="29">
                  <c:v>98.314360881455812</c:v>
                </c:pt>
                <c:pt idx="30">
                  <c:v>98.655747071380532</c:v>
                </c:pt>
                <c:pt idx="31">
                  <c:v>99.014528745965251</c:v>
                </c:pt>
                <c:pt idx="32">
                  <c:v>99.391328067610388</c:v>
                </c:pt>
                <c:pt idx="33">
                  <c:v>99.786785839060755</c:v>
                </c:pt>
                <c:pt idx="34">
                  <c:v>100.20156021130381</c:v>
                </c:pt>
                <c:pt idx="35">
                  <c:v>100.63632509561501</c:v>
                </c:pt>
                <c:pt idx="36">
                  <c:v>101.09176824127124</c:v>
                </c:pt>
                <c:pt idx="37">
                  <c:v>101.56858893768512</c:v>
                </c:pt>
                <c:pt idx="38">
                  <c:v>102.06749529722256</c:v>
                </c:pt>
                <c:pt idx="39">
                  <c:v>102.58920107285741</c:v>
                </c:pt>
                <c:pt idx="40">
                  <c:v>103.13442196332883</c:v>
                </c:pt>
                <c:pt idx="41">
                  <c:v>103.70387135779126</c:v>
                </c:pt>
                <c:pt idx="42">
                  <c:v>104.29825547238519</c:v>
                </c:pt>
                <c:pt idx="43">
                  <c:v>104.91826783300839</c:v>
                </c:pt>
                <c:pt idx="44">
                  <c:v>105.5645830621939</c:v>
                </c:pt>
                <c:pt idx="45">
                  <c:v>106.23784993380059</c:v>
                </c:pt>
                <c:pt idx="46">
                  <c:v>106.93868366762959</c:v>
                </c:pt>
                <c:pt idx="47">
                  <c:v>107.66765744749969</c:v>
                </c:pt>
                <c:pt idx="48">
                  <c:v>108.42529316122973</c:v>
                </c:pt>
                <c:pt idx="49">
                  <c:v>109.2120513797088</c:v>
                </c:pt>
                <c:pt idx="50">
                  <c:v>110.02832061515947</c:v>
                </c:pt>
                <c:pt idx="51">
                  <c:v>110.87440592593366</c:v>
                </c:pt>
                <c:pt idx="52">
                  <c:v>111.75051696675435</c:v>
                </c:pt>
                <c:pt idx="53">
                  <c:v>112.65675561893131</c:v>
                </c:pt>
                <c:pt idx="54">
                  <c:v>113.59310337414323</c:v>
                </c:pt>
                <c:pt idx="55">
                  <c:v>114.55940868691191</c:v>
                </c:pt>
                <c:pt idx="56">
                  <c:v>115.55537455342099</c:v>
                </c:pt>
                <c:pt idx="57">
                  <c:v>116.58054661596746</c:v>
                </c:pt>
                <c:pt idx="58">
                  <c:v>117.6343021306145</c:v>
                </c:pt>
                <c:pt idx="59">
                  <c:v>118.71584016774659</c:v>
                </c:pt>
                <c:pt idx="60">
                  <c:v>119.82417343797516</c:v>
                </c:pt>
                <c:pt idx="61">
                  <c:v>120.95812214593531</c:v>
                </c:pt>
                <c:pt idx="62">
                  <c:v>122.11631026867542</c:v>
                </c:pt>
                <c:pt idx="63">
                  <c:v>123.29716463076312</c:v>
                </c:pt>
                <c:pt idx="64">
                  <c:v>124.49891710283265</c:v>
                </c:pt>
                <c:pt idx="65">
                  <c:v>125.71961018312319</c:v>
                </c:pt>
                <c:pt idx="66">
                  <c:v>126.95710613310072</c:v>
                </c:pt>
                <c:pt idx="67">
                  <c:v>128.20909973067589</c:v>
                </c:pt>
                <c:pt idx="68">
                  <c:v>129.47313458184507</c:v>
                </c:pt>
                <c:pt idx="69">
                  <c:v>130.74662279941415</c:v>
                </c:pt>
                <c:pt idx="70">
                  <c:v>132.02686772305782</c:v>
                </c:pt>
                <c:pt idx="71">
                  <c:v>133.31108922629292</c:v>
                </c:pt>
                <c:pt idx="72">
                  <c:v>134.59645104146469</c:v>
                </c:pt>
                <c:pt idx="73">
                  <c:v>135.88008944147705</c:v>
                </c:pt>
                <c:pt idx="74">
                  <c:v>137.15914255332098</c:v>
                </c:pt>
                <c:pt idx="75">
                  <c:v>138.43077954830682</c:v>
                </c:pt>
                <c:pt idx="76">
                  <c:v>139.69222895948599</c:v>
                </c:pt>
                <c:pt idx="77">
                  <c:v>140.94080541763418</c:v>
                </c:pt>
                <c:pt idx="78">
                  <c:v>142.1739341703331</c:v>
                </c:pt>
                <c:pt idx="79">
                  <c:v>143.38917284870419</c:v>
                </c:pt>
                <c:pt idx="80">
                  <c:v>144.58423006608399</c:v>
                </c:pt>
                <c:pt idx="81">
                  <c:v>145.75698056425358</c:v>
                </c:pt>
                <c:pt idx="82">
                  <c:v>146.90547675739498</c:v>
                </c:pt>
                <c:pt idx="83">
                  <c:v>148.02795665381956</c:v>
                </c:pt>
                <c:pt idx="84">
                  <c:v>149.12284825406448</c:v>
                </c:pt>
                <c:pt idx="85">
                  <c:v>150.1887706258938</c:v>
                </c:pt>
                <c:pt idx="86">
                  <c:v>151.22453193875955</c:v>
                </c:pt>
                <c:pt idx="87">
                  <c:v>152.22912480063752</c:v>
                </c:pt>
                <c:pt idx="88">
                  <c:v>153.2017192789308</c:v>
                </c:pt>
                <c:pt idx="89">
                  <c:v>154.14165400562183</c:v>
                </c:pt>
                <c:pt idx="90">
                  <c:v>155.04842576740052</c:v>
                </c:pt>
                <c:pt idx="91">
                  <c:v>155.92167796713176</c:v>
                </c:pt>
                <c:pt idx="92">
                  <c:v>156.76118831699083</c:v>
                </c:pt>
                <c:pt idx="93">
                  <c:v>157.56685608924028</c:v>
                </c:pt>
                <c:pt idx="94">
                  <c:v>158.33868921100515</c:v>
                </c:pt>
                <c:pt idx="95">
                  <c:v>159.07679144726958</c:v>
                </c:pt>
                <c:pt idx="96">
                  <c:v>159.78134987391849</c:v>
                </c:pt>
                <c:pt idx="97">
                  <c:v>160.45262280177101</c:v>
                </c:pt>
                <c:pt idx="98">
                  <c:v>161.09092827448751</c:v>
                </c:pt>
                <c:pt idx="99">
                  <c:v>161.69663322885594</c:v>
                </c:pt>
                <c:pt idx="100">
                  <c:v>162.27014337575773</c:v>
                </c:pt>
                <c:pt idx="101">
                  <c:v>162.81189383426727</c:v>
                </c:pt>
                <c:pt idx="102">
                  <c:v>163.32234052981022</c:v>
                </c:pt>
                <c:pt idx="103">
                  <c:v>163.8019523498493</c:v>
                </c:pt>
                <c:pt idx="104">
                  <c:v>164.25120403688186</c:v>
                </c:pt>
                <c:pt idx="105">
                  <c:v>164.67056978818485</c:v>
                </c:pt>
                <c:pt idx="106">
                  <c:v>165.06051752431745</c:v>
                </c:pt>
                <c:pt idx="107">
                  <c:v>165.42150378345451</c:v>
                </c:pt>
                <c:pt idx="108">
                  <c:v>165.75396919575215</c:v>
                </c:pt>
                <c:pt idx="109">
                  <c:v>166.05833449076624</c:v>
                </c:pt>
                <c:pt idx="110">
                  <c:v>166.33499699111658</c:v>
                </c:pt>
                <c:pt idx="111">
                  <c:v>166.58432754679964</c:v>
                </c:pt>
                <c:pt idx="112">
                  <c:v>166.80666786656744</c:v>
                </c:pt>
                <c:pt idx="113">
                  <c:v>167.00232820537764</c:v>
                </c:pt>
                <c:pt idx="114">
                  <c:v>167.1715853699213</c:v>
                </c:pt>
                <c:pt idx="115">
                  <c:v>167.31468100749635</c:v>
                </c:pt>
                <c:pt idx="116">
                  <c:v>167.43182014692803</c:v>
                </c:pt>
                <c:pt idx="117">
                  <c:v>167.52316996373389</c:v>
                </c:pt>
                <c:pt idx="118">
                  <c:v>167.58885874526226</c:v>
                </c:pt>
                <c:pt idx="119">
                  <c:v>167.62897503502541</c:v>
                </c:pt>
                <c:pt idx="120">
                  <c:v>167.64356693890335</c:v>
                </c:pt>
                <c:pt idx="121">
                  <c:v>167.6326415792816</c:v>
                </c:pt>
                <c:pt idx="122">
                  <c:v>167.59616468649568</c:v>
                </c:pt>
                <c:pt idx="123">
                  <c:v>167.53406032020723</c:v>
                </c:pt>
                <c:pt idx="124">
                  <c:v>167.44621071650994</c:v>
                </c:pt>
                <c:pt idx="125">
                  <c:v>167.33245625968368</c:v>
                </c:pt>
                <c:pt idx="126">
                  <c:v>167.19259558057954</c:v>
                </c:pt>
                <c:pt idx="127">
                  <c:v>167.02638578662481</c:v>
                </c:pt>
                <c:pt idx="128">
                  <c:v>166.83354283140272</c:v>
                </c:pt>
                <c:pt idx="129">
                  <c:v>166.61374203465485</c:v>
                </c:pt>
                <c:pt idx="130">
                  <c:v>166.36661876638306</c:v>
                </c:pt>
                <c:pt idx="131">
                  <c:v>166.09176931144557</c:v>
                </c:pt>
                <c:pt idx="132">
                  <c:v>165.78875193362754</c:v>
                </c:pt>
                <c:pt idx="133">
                  <c:v>165.45708816054253</c:v>
                </c:pt>
                <c:pt idx="134">
                  <c:v>165.09626431283752</c:v>
                </c:pt>
                <c:pt idx="135">
                  <c:v>164.70573330290259</c:v>
                </c:pt>
                <c:pt idx="136">
                  <c:v>164.28491672953908</c:v>
                </c:pt>
                <c:pt idx="137">
                  <c:v>163.83320729563221</c:v>
                </c:pt>
                <c:pt idx="138">
                  <c:v>163.34997157566059</c:v>
                </c:pt>
                <c:pt idx="139">
                  <c:v>162.83455315861835</c:v>
                </c:pt>
                <c:pt idx="140">
                  <c:v>162.28627618941465</c:v>
                </c:pt>
                <c:pt idx="141">
                  <c:v>161.70444932777067</c:v>
                </c:pt>
                <c:pt idx="142">
                  <c:v>161.08837013780541</c:v>
                </c:pt>
                <c:pt idx="143">
                  <c:v>160.43732991356936</c:v>
                </c:pt>
                <c:pt idx="144">
                  <c:v>159.75061893553791</c:v>
                </c:pt>
                <c:pt idx="145">
                  <c:v>159.02753214023585</c:v>
                </c:pt>
                <c:pt idx="146">
                  <c:v>158.26737516960512</c:v>
                </c:pt>
                <c:pt idx="147">
                  <c:v>157.46947074839602</c:v>
                </c:pt>
                <c:pt idx="148">
                  <c:v>156.63316531686303</c:v>
                </c:pt>
                <c:pt idx="149">
                  <c:v>155.75783582271157</c:v>
                </c:pt>
                <c:pt idx="150">
                  <c:v>154.84289655115592</c:v>
                </c:pt>
                <c:pt idx="151">
                  <c:v>153.88780584602517</c:v>
                </c:pt>
                <c:pt idx="152">
                  <c:v>152.89207254937827</c:v>
                </c:pt>
                <c:pt idx="153">
                  <c:v>151.85526196373613</c:v>
                </c:pt>
                <c:pt idx="154">
                  <c:v>150.77700112186426</c:v>
                </c:pt>
                <c:pt idx="155">
                  <c:v>149.65698313648505</c:v>
                </c:pt>
                <c:pt idx="156">
                  <c:v>148.49497039899254</c:v>
                </c:pt>
                <c:pt idx="157">
                  <c:v>147.29079640493757</c:v>
                </c:pt>
                <c:pt idx="158">
                  <c:v>146.04436600732242</c:v>
                </c:pt>
                <c:pt idx="159">
                  <c:v>144.75565393867737</c:v>
                </c:pt>
                <c:pt idx="160">
                  <c:v>143.42470150078535</c:v>
                </c:pt>
                <c:pt idx="161">
                  <c:v>142.05161139682576</c:v>
                </c:pt>
                <c:pt idx="162">
                  <c:v>140.63654077312617</c:v>
                </c:pt>
                <c:pt idx="163">
                  <c:v>139.17969264328579</c:v>
                </c:pt>
                <c:pt idx="164">
                  <c:v>137.68130598082277</c:v>
                </c:pt>
                <c:pt idx="165">
                  <c:v>136.14164488043568</c:v>
                </c:pt>
                <c:pt idx="166">
                  <c:v>134.56098729359198</c:v>
                </c:pt>
                <c:pt idx="167">
                  <c:v>132.93961393165557</c:v>
                </c:pt>
                <c:pt idx="168">
                  <c:v>131.27779798912792</c:v>
                </c:pt>
                <c:pt idx="169">
                  <c:v>129.57579636187069</c:v>
                </c:pt>
                <c:pt idx="170">
                  <c:v>127.83384301343426</c:v>
                </c:pt>
                <c:pt idx="171">
                  <c:v>126.05214507323441</c:v>
                </c:pt>
                <c:pt idx="172">
                  <c:v>124.23088213359611</c:v>
                </c:pt>
                <c:pt idx="173">
                  <c:v>122.37020905369377</c:v>
                </c:pt>
                <c:pt idx="174">
                  <c:v>120.47026238651566</c:v>
                </c:pt>
                <c:pt idx="175">
                  <c:v>118.53117033373148</c:v>
                </c:pt>
                <c:pt idx="176">
                  <c:v>116.55306591881737</c:v>
                </c:pt>
                <c:pt idx="177">
                  <c:v>114.53610286848297</c:v>
                </c:pt>
                <c:pt idx="178">
                  <c:v>112.48047352302278</c:v>
                </c:pt>
                <c:pt idx="179">
                  <c:v>110.38642797191915</c:v>
                </c:pt>
                <c:pt idx="180">
                  <c:v>108.25429354187834</c:v>
                </c:pt>
                <c:pt idx="181">
                  <c:v>106.08449375522424</c:v>
                </c:pt>
                <c:pt idx="182">
                  <c:v>103.87756592606422</c:v>
                </c:pt>
                <c:pt idx="183">
                  <c:v>101.63417666301501</c:v>
                </c:pt>
                <c:pt idx="184">
                  <c:v>99.355134688977586</c:v>
                </c:pt>
                <c:pt idx="185">
                  <c:v>97.041400555358877</c:v>
                </c:pt>
                <c:pt idx="186">
                  <c:v>94.694093003821763</c:v>
                </c:pt>
                <c:pt idx="187">
                  <c:v>92.314491896854506</c:v>
                </c:pt>
                <c:pt idx="188">
                  <c:v>89.904037785348194</c:v>
                </c:pt>
                <c:pt idx="189">
                  <c:v>87.464328296680264</c:v>
                </c:pt>
                <c:pt idx="190">
                  <c:v>84.99711160495896</c:v>
                </c:pt>
                <c:pt idx="191">
                  <c:v>82.504277285422688</c:v>
                </c:pt>
                <c:pt idx="192">
                  <c:v>79.987844861473036</c:v>
                </c:pt>
                <c:pt idx="193">
                  <c:v>77.449950333147115</c:v>
                </c:pt>
                <c:pt idx="194">
                  <c:v>74.89283094017955</c:v>
                </c:pt>
                <c:pt idx="195">
                  <c:v>72.318808372265778</c:v>
                </c:pt>
                <c:pt idx="196">
                  <c:v>69.730270604300358</c:v>
                </c:pt>
                <c:pt idx="197">
                  <c:v>67.129652513821284</c:v>
                </c:pt>
                <c:pt idx="198">
                  <c:v>64.519415437394642</c:v>
                </c:pt>
                <c:pt idx="199">
                  <c:v>61.902025844380873</c:v>
                </c:pt>
                <c:pt idx="200">
                  <c:v>59.279933348972619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93.743573856345833</c:v>
                </c:pt>
                <c:pt idx="1">
                  <c:v>93.747427140933411</c:v>
                </c:pt>
                <c:pt idx="2">
                  <c:v>93.759201173285959</c:v>
                </c:pt>
                <c:pt idx="3">
                  <c:v>93.778919510501225</c:v>
                </c:pt>
                <c:pt idx="4">
                  <c:v>93.806621999858294</c:v>
                </c:pt>
                <c:pt idx="5">
                  <c:v>93.84236482596161</c:v>
                </c:pt>
                <c:pt idx="6">
                  <c:v>93.886220581260829</c:v>
                </c:pt>
                <c:pt idx="7">
                  <c:v>93.938278359198364</c:v>
                </c:pt>
                <c:pt idx="8">
                  <c:v>93.998643869058355</c:v>
                </c:pt>
                <c:pt idx="9">
                  <c:v>94.067439571398879</c:v>
                </c:pt>
                <c:pt idx="10">
                  <c:v>94.14480483272402</c:v>
                </c:pt>
                <c:pt idx="11">
                  <c:v>94.230896097801491</c:v>
                </c:pt>
                <c:pt idx="12">
                  <c:v>94.325887077744028</c:v>
                </c:pt>
                <c:pt idx="13">
                  <c:v>94.429968951642181</c:v>
                </c:pt>
                <c:pt idx="14">
                  <c:v>94.543350579160972</c:v>
                </c:pt>
                <c:pt idx="15">
                  <c:v>94.666258721080354</c:v>
                </c:pt>
                <c:pt idx="16">
                  <c:v>94.798938264267989</c:v>
                </c:pt>
                <c:pt idx="17">
                  <c:v>94.941652447011194</c:v>
                </c:pt>
                <c:pt idx="18">
                  <c:v>95.094683079991569</c:v>
                </c:pt>
                <c:pt idx="19">
                  <c:v>95.258330757464194</c:v>
                </c:pt>
                <c:pt idx="20">
                  <c:v>95.432915052369651</c:v>
                </c:pt>
                <c:pt idx="21">
                  <c:v>95.618774688183919</c:v>
                </c:pt>
                <c:pt idx="22">
                  <c:v>95.816267679250714</c:v>
                </c:pt>
                <c:pt idx="23">
                  <c:v>96.02577143016623</c:v>
                </c:pt>
                <c:pt idx="24">
                  <c:v>96.247682783461201</c:v>
                </c:pt>
                <c:pt idx="25">
                  <c:v>96.482418003348002</c:v>
                </c:pt>
                <c:pt idx="26">
                  <c:v>96.730412681672036</c:v>
                </c:pt>
                <c:pt idx="27">
                  <c:v>96.992121550392469</c:v>
                </c:pt>
                <c:pt idx="28">
                  <c:v>97.268018182937013</c:v>
                </c:pt>
                <c:pt idx="29">
                  <c:v>97.558594564610686</c:v>
                </c:pt>
                <c:pt idx="30">
                  <c:v>97.864360509897566</c:v>
                </c:pt>
                <c:pt idx="31">
                  <c:v>98.185842901972578</c:v>
                </c:pt>
                <c:pt idx="32">
                  <c:v>98.523584727074265</c:v>
                </c:pt>
                <c:pt idx="33">
                  <c:v>98.878143873582346</c:v>
                </c:pt>
                <c:pt idx="34">
                  <c:v>99.250091662740488</c:v>
                </c:pt>
                <c:pt idx="35">
                  <c:v>99.64001107502888</c:v>
                </c:pt>
                <c:pt idx="36">
                  <c:v>100.04849463328473</c:v>
                </c:pt>
                <c:pt idx="37">
                  <c:v>100.47614190087687</c:v>
                </c:pt>
                <c:pt idx="38">
                  <c:v>100.92355655072899</c:v>
                </c:pt>
                <c:pt idx="39">
                  <c:v>101.3913429588462</c:v>
                </c:pt>
                <c:pt idx="40">
                  <c:v>101.88010227448765</c:v>
                </c:pt>
                <c:pt idx="41">
                  <c:v>102.3904279184176</c:v>
                </c:pt>
                <c:pt idx="42">
                  <c:v>102.92290046107873</c:v>
                </c:pt>
                <c:pt idx="43">
                  <c:v>103.47808183433973</c:v>
                </c:pt>
                <c:pt idx="44">
                  <c:v>104.05650883406727</c:v>
                </c:pt>
                <c:pt idx="45">
                  <c:v>104.65868587652315</c:v>
                </c:pt>
                <c:pt idx="46">
                  <c:v>105.28507697995599</c:v>
                </c:pt>
                <c:pt idx="47">
                  <c:v>105.93609695412621</c:v>
                </c:pt>
                <c:pt idx="48">
                  <c:v>106.61210179536654</c:v>
                </c:pt>
                <c:pt idx="49">
                  <c:v>107.31337830345639</c:v>
                </c:pt>
                <c:pt idx="50">
                  <c:v>108.04013295945158</c:v>
                </c:pt>
                <c:pt idx="51">
                  <c:v>108.79248013077655</c:v>
                </c:pt>
                <c:pt idx="52">
                  <c:v>109.57042970138785</c:v>
                </c:pt>
                <c:pt idx="53">
                  <c:v>110.37387426034906</c:v>
                </c:pt>
                <c:pt idx="54">
                  <c:v>111.2025760211358</c:v>
                </c:pt>
                <c:pt idx="55">
                  <c:v>112.05615368542094</c:v>
                </c:pt>
                <c:pt idx="56">
                  <c:v>112.93406950751192</c:v>
                </c:pt>
                <c:pt idx="57">
                  <c:v>113.83561685712642</c:v>
                </c:pt>
                <c:pt idx="58">
                  <c:v>114.75990861634131</c:v>
                </c:pt>
                <c:pt idx="59">
                  <c:v>115.70586677853575</c:v>
                </c:pt>
                <c:pt idx="60">
                  <c:v>116.67221363973289</c:v>
                </c:pt>
                <c:pt idx="61">
                  <c:v>117.65746498265629</c:v>
                </c:pt>
                <c:pt idx="62">
                  <c:v>118.65992564777555</c:v>
                </c:pt>
                <c:pt idx="63">
                  <c:v>119.67768786081464</c:v>
                </c:pt>
                <c:pt idx="64">
                  <c:v>120.70863264054428</c:v>
                </c:pt>
                <c:pt idx="65">
                  <c:v>121.75043454322326</c:v>
                </c:pt>
                <c:pt idx="66">
                  <c:v>122.80056991128598</c:v>
                </c:pt>
                <c:pt idx="67">
                  <c:v>123.85632868593754</c:v>
                </c:pt>
                <c:pt idx="68">
                  <c:v>124.9148297202411</c:v>
                </c:pt>
                <c:pt idx="69">
                  <c:v>125.97303939667786</c:v>
                </c:pt>
                <c:pt idx="70">
                  <c:v>127.02779321824562</c:v>
                </c:pt>
                <c:pt idx="71">
                  <c:v>128.07581991295399</c:v>
                </c:pt>
                <c:pt idx="72">
                  <c:v>129.11376747645897</c:v>
                </c:pt>
                <c:pt idx="73">
                  <c:v>130.13823048452048</c:v>
                </c:pt>
                <c:pt idx="74">
                  <c:v>131.14577794251932</c:v>
                </c:pt>
                <c:pt idx="75">
                  <c:v>132.13298090824804</c:v>
                </c:pt>
                <c:pt idx="76">
                  <c:v>133.09643912879568</c:v>
                </c:pt>
                <c:pt idx="77">
                  <c:v>134.03280597216306</c:v>
                </c:pt>
                <c:pt idx="78">
                  <c:v>134.93881100619711</c:v>
                </c:pt>
                <c:pt idx="79">
                  <c:v>135.81127967612352</c:v>
                </c:pt>
                <c:pt idx="80">
                  <c:v>136.64714965021122</c:v>
                </c:pt>
                <c:pt idx="81">
                  <c:v>137.44348353280316</c:v>
                </c:pt>
                <c:pt idx="82">
                  <c:v>138.1974777767312</c:v>
                </c:pt>
                <c:pt idx="83">
                  <c:v>138.90646775505252</c:v>
                </c:pt>
                <c:pt idx="84">
                  <c:v>139.56792906851078</c:v>
                </c:pt>
                <c:pt idx="85">
                  <c:v>140.17947526480279</c:v>
                </c:pt>
                <c:pt idx="86">
                  <c:v>140.73885222537928</c:v>
                </c:pt>
                <c:pt idx="87">
                  <c:v>141.2439295333819</c:v>
                </c:pt>
                <c:pt idx="88">
                  <c:v>141.69268917256835</c:v>
                </c:pt>
                <c:pt idx="89">
                  <c:v>142.08321192306485</c:v>
                </c:pt>
                <c:pt idx="90">
                  <c:v>142.41366181797156</c:v>
                </c:pt>
                <c:pt idx="91">
                  <c:v>142.68226900841748</c:v>
                </c:pt>
                <c:pt idx="92">
                  <c:v>142.88731135708218</c:v>
                </c:pt>
                <c:pt idx="93">
                  <c:v>143.02709504511665</c:v>
                </c:pt>
                <c:pt idx="94">
                  <c:v>143.09993443827233</c:v>
                </c:pt>
                <c:pt idx="95">
                  <c:v>143.1041314181814</c:v>
                </c:pt>
                <c:pt idx="96">
                  <c:v>143.0379543470919</c:v>
                </c:pt>
                <c:pt idx="97">
                  <c:v>142.89961680169077</c:v>
                </c:pt>
                <c:pt idx="98">
                  <c:v>142.68725618651635</c:v>
                </c:pt>
                <c:pt idx="99">
                  <c:v>142.39891232233796</c:v>
                </c:pt>
                <c:pt idx="100">
                  <c:v>142.03250610240116</c:v>
                </c:pt>
                <c:pt idx="101">
                  <c:v>141.58581832245613</c:v>
                </c:pt>
                <c:pt idx="102">
                  <c:v>141.05646882242851</c:v>
                </c:pt>
                <c:pt idx="103">
                  <c:v>140.44189613248219</c:v>
                </c:pt>
                <c:pt idx="104">
                  <c:v>139.73933789912653</c:v>
                </c:pt>
                <c:pt idx="105">
                  <c:v>138.94581248398617</c:v>
                </c:pt>
                <c:pt idx="106">
                  <c:v>138.05810228615715</c:v>
                </c:pt>
                <c:pt idx="107">
                  <c:v>137.07273954727376</c:v>
                </c:pt>
                <c:pt idx="108">
                  <c:v>135.98599566581311</c:v>
                </c:pt>
                <c:pt idx="109">
                  <c:v>134.79387538356588</c:v>
                </c:pt>
                <c:pt idx="110">
                  <c:v>133.49211762130147</c:v>
                </c:pt>
                <c:pt idx="111">
                  <c:v>132.07620523795526</c:v>
                </c:pt>
                <c:pt idx="112">
                  <c:v>130.5413865670341</c:v>
                </c:pt>
                <c:pt idx="113">
                  <c:v>128.8827122317762</c:v>
                </c:pt>
                <c:pt idx="114">
                  <c:v>127.09509142338877</c:v>
                </c:pt>
                <c:pt idx="115">
                  <c:v>125.17337247991617</c:v>
                </c:pt>
                <c:pt idx="116">
                  <c:v>123.1124531185344</c:v>
                </c:pt>
                <c:pt idx="117">
                  <c:v>120.90742588428722</c:v>
                </c:pt>
                <c:pt idx="118">
                  <c:v>118.5537640455391</c:v>
                </c:pt>
                <c:pt idx="119">
                  <c:v>116.04755197838736</c:v>
                </c:pt>
                <c:pt idx="120">
                  <c:v>113.38576166821582</c:v>
                </c:pt>
                <c:pt idx="121">
                  <c:v>110.56657293838495</c:v>
                </c:pt>
                <c:pt idx="122">
                  <c:v>107.58972911018061</c:v>
                </c:pt>
                <c:pt idx="123">
                  <c:v>104.45691197941466</c:v>
                </c:pt>
                <c:pt idx="124">
                  <c:v>101.17211071172059</c:v>
                </c:pt>
                <c:pt idx="125">
                  <c:v>97.741949650816395</c:v>
                </c:pt>
                <c:pt idx="126">
                  <c:v>94.175932053136549</c:v>
                </c:pt>
                <c:pt idx="127">
                  <c:v>90.486553045187279</c:v>
                </c:pt>
                <c:pt idx="128">
                  <c:v>86.68923845892941</c:v>
                </c:pt>
                <c:pt idx="129">
                  <c:v>82.802078701428655</c:v>
                </c:pt>
                <c:pt idx="130">
                  <c:v>78.845348645737388</c:v>
                </c:pt>
                <c:pt idx="131">
                  <c:v>74.840833125704108</c:v>
                </c:pt>
                <c:pt idx="132">
                  <c:v>70.811007630140921</c:v>
                </c:pt>
                <c:pt idx="133">
                  <c:v>66.778148270735656</c:v>
                </c:pt>
                <c:pt idx="134">
                  <c:v>62.763457669568922</c:v>
                </c:pt>
                <c:pt idx="135">
                  <c:v>58.786290603975189</c:v>
                </c:pt>
                <c:pt idx="136">
                  <c:v>54.863545845584653</c:v>
                </c:pt>
                <c:pt idx="137">
                  <c:v>51.009263369749561</c:v>
                </c:pt>
                <c:pt idx="138">
                  <c:v>47.234435853174745</c:v>
                </c:pt>
                <c:pt idx="139">
                  <c:v>43.547016711659211</c:v>
                </c:pt>
                <c:pt idx="140">
                  <c:v>39.952088282871046</c:v>
                </c:pt>
                <c:pt idx="141">
                  <c:v>36.452144656042663</c:v>
                </c:pt>
                <c:pt idx="142">
                  <c:v>33.047443108226418</c:v>
                </c:pt>
                <c:pt idx="143">
                  <c:v>29.736383666896415</c:v>
                </c:pt>
                <c:pt idx="144">
                  <c:v>26.515885145326649</c:v>
                </c:pt>
                <c:pt idx="145">
                  <c:v>23.381735661074401</c:v>
                </c:pt>
                <c:pt idx="146">
                  <c:v>20.328904488138051</c:v>
                </c:pt>
                <c:pt idx="147">
                  <c:v>17.351809237825904</c:v>
                </c:pt>
                <c:pt idx="148">
                  <c:v>14.444537558997496</c:v>
                </c:pt>
                <c:pt idx="149">
                  <c:v>11.601025935248742</c:v>
                </c:pt>
                <c:pt idx="150">
                  <c:v>8.8152000681146205</c:v>
                </c:pt>
                <c:pt idx="151">
                  <c:v>6.08108215654795</c:v>
                </c:pt>
                <c:pt idx="152">
                  <c:v>3.3928704686815081</c:v>
                </c:pt>
                <c:pt idx="153">
                  <c:v>0.74499624019415478</c:v>
                </c:pt>
                <c:pt idx="154">
                  <c:v>-1.8678376618938728</c:v>
                </c:pt>
                <c:pt idx="155">
                  <c:v>-4.4506325535789699</c:v>
                </c:pt>
                <c:pt idx="156">
                  <c:v>-7.0080811456361118</c:v>
                </c:pt>
                <c:pt idx="157">
                  <c:v>-9.5445636863018706</c:v>
                </c:pt>
                <c:pt idx="158">
                  <c:v>-12.064151093472702</c:v>
                </c:pt>
                <c:pt idx="159">
                  <c:v>-14.570613560708608</c:v>
                </c:pt>
                <c:pt idx="160">
                  <c:v>-17.067433448309004</c:v>
                </c:pt>
                <c:pt idx="161">
                  <c:v>-19.557821506243044</c:v>
                </c:pt>
                <c:pt idx="162">
                  <c:v>-22.0447356309285</c:v>
                </c:pt>
                <c:pt idx="163">
                  <c:v>-24.530901446186505</c:v>
                </c:pt>
                <c:pt idx="164">
                  <c:v>-27.018834035094415</c:v>
                </c:pt>
                <c:pt idx="165">
                  <c:v>-29.510860149644259</c:v>
                </c:pt>
                <c:pt idx="166">
                  <c:v>-32.009140205331363</c:v>
                </c:pt>
                <c:pt idx="167">
                  <c:v>-34.515689343838858</c:v>
                </c:pt>
                <c:pt idx="168">
                  <c:v>-37.032396833967965</c:v>
                </c:pt>
                <c:pt idx="169">
                  <c:v>-39.56104309172818</c:v>
                </c:pt>
                <c:pt idx="170">
                  <c:v>-42.103313645328569</c:v>
                </c:pt>
                <c:pt idx="171">
                  <c:v>-44.660809455771755</c:v>
                </c:pt>
                <c:pt idx="172">
                  <c:v>-47.235053130646151</c:v>
                </c:pt>
                <c:pt idx="173">
                  <c:v>-49.827490734012855</c:v>
                </c:pt>
                <c:pt idx="174">
                  <c:v>-52.439489090960009</c:v>
                </c:pt>
                <c:pt idx="175">
                  <c:v>-55.072328698918113</c:v>
                </c:pt>
                <c:pt idx="176">
                  <c:v>-57.727192573975984</c:v>
                </c:pt>
                <c:pt idx="177">
                  <c:v>-60.405151562467864</c:v>
                </c:pt>
                <c:pt idx="178">
                  <c:v>-63.107146819964072</c:v>
                </c:pt>
                <c:pt idx="179">
                  <c:v>-65.833970287824812</c:v>
                </c:pt>
                <c:pt idx="180">
                  <c:v>-68.586244072175063</c:v>
                </c:pt>
                <c:pt idx="181">
                  <c:v>-71.364399647242479</c:v>
                </c:pt>
                <c:pt idx="182">
                  <c:v>-74.168657766049265</c:v>
                </c:pt>
                <c:pt idx="183">
                  <c:v>-76.999009873682709</c:v>
                </c:pt>
                <c:pt idx="184">
                  <c:v>-79.855201693627436</c:v>
                </c:pt>
                <c:pt idx="185">
                  <c:v>-82.736719511182201</c:v>
                </c:pt>
                <c:pt idx="186">
                  <c:v>-85.642779526250621</c:v>
                </c:pt>
                <c:pt idx="187">
                  <c:v>-88.572320506782745</c:v>
                </c:pt>
                <c:pt idx="188">
                  <c:v>-91.523999857176761</c:v>
                </c:pt>
                <c:pt idx="189">
                  <c:v>-94.496193132435209</c:v>
                </c:pt>
                <c:pt idx="190">
                  <c:v>-97.486996983110629</c:v>
                </c:pt>
                <c:pt idx="191">
                  <c:v>-100.49423550695253</c:v>
                </c:pt>
                <c:pt idx="192">
                  <c:v>-103.51547000456114</c:v>
                </c:pt>
                <c:pt idx="193">
                  <c:v>-106.5480121778451</c:v>
                </c:pt>
                <c:pt idx="194">
                  <c:v>-109.5889408584183</c:v>
                </c:pt>
                <c:pt idx="195">
                  <c:v>-112.63512239383282</c:v>
                </c:pt>
                <c:pt idx="196">
                  <c:v>-115.68323483872305</c:v>
                </c:pt>
                <c:pt idx="197">
                  <c:v>-118.7297960837795</c:v>
                </c:pt>
                <c:pt idx="198">
                  <c:v>-121.77119599965576</c:v>
                </c:pt>
                <c:pt idx="199">
                  <c:v>-124.80373257170461</c:v>
                </c:pt>
                <c:pt idx="200">
                  <c:v>-127.82365185613415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87552"/>
        <c:axId val="459331840"/>
      </c:scatterChart>
      <c:valAx>
        <c:axId val="459287552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31840"/>
        <c:crosses val="autoZero"/>
        <c:crossBetween val="midCat"/>
      </c:valAx>
      <c:valAx>
        <c:axId val="45933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87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93.743573856345833</c:v>
                </c:pt>
                <c:pt idx="1">
                  <c:v>93.747427140933411</c:v>
                </c:pt>
                <c:pt idx="2">
                  <c:v>93.759201173285959</c:v>
                </c:pt>
                <c:pt idx="3">
                  <c:v>93.778919510501225</c:v>
                </c:pt>
                <c:pt idx="4">
                  <c:v>93.806621999858294</c:v>
                </c:pt>
                <c:pt idx="5">
                  <c:v>93.84236482596161</c:v>
                </c:pt>
                <c:pt idx="6">
                  <c:v>93.886220581260829</c:v>
                </c:pt>
                <c:pt idx="7">
                  <c:v>93.938278359198364</c:v>
                </c:pt>
                <c:pt idx="8">
                  <c:v>93.998643869058355</c:v>
                </c:pt>
                <c:pt idx="9">
                  <c:v>94.067439571398879</c:v>
                </c:pt>
                <c:pt idx="10">
                  <c:v>94.14480483272402</c:v>
                </c:pt>
                <c:pt idx="11">
                  <c:v>94.230896097801491</c:v>
                </c:pt>
                <c:pt idx="12">
                  <c:v>94.325887077744028</c:v>
                </c:pt>
                <c:pt idx="13">
                  <c:v>94.429968951642181</c:v>
                </c:pt>
                <c:pt idx="14">
                  <c:v>94.543350579160972</c:v>
                </c:pt>
                <c:pt idx="15">
                  <c:v>94.666258721080354</c:v>
                </c:pt>
                <c:pt idx="16">
                  <c:v>94.798938264267989</c:v>
                </c:pt>
                <c:pt idx="17">
                  <c:v>94.941652447011194</c:v>
                </c:pt>
                <c:pt idx="18">
                  <c:v>95.094683079991569</c:v>
                </c:pt>
                <c:pt idx="19">
                  <c:v>95.258330757464194</c:v>
                </c:pt>
                <c:pt idx="20">
                  <c:v>95.432915052369651</c:v>
                </c:pt>
                <c:pt idx="21">
                  <c:v>95.618774688183919</c:v>
                </c:pt>
                <c:pt idx="22">
                  <c:v>95.816267679250714</c:v>
                </c:pt>
                <c:pt idx="23">
                  <c:v>96.02577143016623</c:v>
                </c:pt>
                <c:pt idx="24">
                  <c:v>96.247682783461201</c:v>
                </c:pt>
                <c:pt idx="25">
                  <c:v>96.482418003348002</c:v>
                </c:pt>
                <c:pt idx="26">
                  <c:v>96.730412681672036</c:v>
                </c:pt>
                <c:pt idx="27">
                  <c:v>96.992121550392469</c:v>
                </c:pt>
                <c:pt idx="28">
                  <c:v>97.268018182937013</c:v>
                </c:pt>
                <c:pt idx="29">
                  <c:v>97.558594564610686</c:v>
                </c:pt>
                <c:pt idx="30">
                  <c:v>97.864360509897566</c:v>
                </c:pt>
                <c:pt idx="31">
                  <c:v>98.185842901972578</c:v>
                </c:pt>
                <c:pt idx="32">
                  <c:v>98.523584727074265</c:v>
                </c:pt>
                <c:pt idx="33">
                  <c:v>98.878143873582346</c:v>
                </c:pt>
                <c:pt idx="34">
                  <c:v>99.250091662740488</c:v>
                </c:pt>
                <c:pt idx="35">
                  <c:v>99.64001107502888</c:v>
                </c:pt>
                <c:pt idx="36">
                  <c:v>100.04849463328473</c:v>
                </c:pt>
                <c:pt idx="37">
                  <c:v>100.47614190087687</c:v>
                </c:pt>
                <c:pt idx="38">
                  <c:v>100.92355655072899</c:v>
                </c:pt>
                <c:pt idx="39">
                  <c:v>101.3913429588462</c:v>
                </c:pt>
                <c:pt idx="40">
                  <c:v>101.88010227448765</c:v>
                </c:pt>
                <c:pt idx="41">
                  <c:v>102.3904279184176</c:v>
                </c:pt>
                <c:pt idx="42">
                  <c:v>102.92290046107873</c:v>
                </c:pt>
                <c:pt idx="43">
                  <c:v>103.47808183433973</c:v>
                </c:pt>
                <c:pt idx="44">
                  <c:v>104.05650883406727</c:v>
                </c:pt>
                <c:pt idx="45">
                  <c:v>104.65868587652315</c:v>
                </c:pt>
                <c:pt idx="46">
                  <c:v>105.28507697995599</c:v>
                </c:pt>
                <c:pt idx="47">
                  <c:v>105.93609695412621</c:v>
                </c:pt>
                <c:pt idx="48">
                  <c:v>106.61210179536654</c:v>
                </c:pt>
                <c:pt idx="49">
                  <c:v>107.31337830345639</c:v>
                </c:pt>
                <c:pt idx="50">
                  <c:v>108.04013295945158</c:v>
                </c:pt>
                <c:pt idx="51">
                  <c:v>108.79248013077655</c:v>
                </c:pt>
                <c:pt idx="52">
                  <c:v>109.57042970138785</c:v>
                </c:pt>
                <c:pt idx="53">
                  <c:v>110.37387426034906</c:v>
                </c:pt>
                <c:pt idx="54">
                  <c:v>111.2025760211358</c:v>
                </c:pt>
                <c:pt idx="55">
                  <c:v>112.05615368542094</c:v>
                </c:pt>
                <c:pt idx="56">
                  <c:v>112.93406950751192</c:v>
                </c:pt>
                <c:pt idx="57">
                  <c:v>113.83561685712642</c:v>
                </c:pt>
                <c:pt idx="58">
                  <c:v>114.75990861634131</c:v>
                </c:pt>
                <c:pt idx="59">
                  <c:v>115.70586677853575</c:v>
                </c:pt>
                <c:pt idx="60">
                  <c:v>116.67221363973289</c:v>
                </c:pt>
                <c:pt idx="61">
                  <c:v>117.65746498265629</c:v>
                </c:pt>
                <c:pt idx="62">
                  <c:v>118.65992564777555</c:v>
                </c:pt>
                <c:pt idx="63">
                  <c:v>119.67768786081464</c:v>
                </c:pt>
                <c:pt idx="64">
                  <c:v>120.70863264054428</c:v>
                </c:pt>
                <c:pt idx="65">
                  <c:v>121.75043454322326</c:v>
                </c:pt>
                <c:pt idx="66">
                  <c:v>122.80056991128598</c:v>
                </c:pt>
                <c:pt idx="67">
                  <c:v>123.85632868593754</c:v>
                </c:pt>
                <c:pt idx="68">
                  <c:v>124.9148297202411</c:v>
                </c:pt>
                <c:pt idx="69">
                  <c:v>125.97303939667786</c:v>
                </c:pt>
                <c:pt idx="70">
                  <c:v>127.02779321824562</c:v>
                </c:pt>
                <c:pt idx="71">
                  <c:v>128.07581991295399</c:v>
                </c:pt>
                <c:pt idx="72">
                  <c:v>129.11376747645897</c:v>
                </c:pt>
                <c:pt idx="73">
                  <c:v>130.13823048452048</c:v>
                </c:pt>
                <c:pt idx="74">
                  <c:v>131.14577794251932</c:v>
                </c:pt>
                <c:pt idx="75">
                  <c:v>132.13298090824804</c:v>
                </c:pt>
                <c:pt idx="76">
                  <c:v>133.09643912879568</c:v>
                </c:pt>
                <c:pt idx="77">
                  <c:v>134.03280597216306</c:v>
                </c:pt>
                <c:pt idx="78">
                  <c:v>134.93881100619711</c:v>
                </c:pt>
                <c:pt idx="79">
                  <c:v>135.81127967612352</c:v>
                </c:pt>
                <c:pt idx="80">
                  <c:v>136.64714965021122</c:v>
                </c:pt>
                <c:pt idx="81">
                  <c:v>137.44348353280316</c:v>
                </c:pt>
                <c:pt idx="82">
                  <c:v>138.1974777767312</c:v>
                </c:pt>
                <c:pt idx="83">
                  <c:v>138.90646775505252</c:v>
                </c:pt>
                <c:pt idx="84">
                  <c:v>139.56792906851078</c:v>
                </c:pt>
                <c:pt idx="85">
                  <c:v>140.17947526480279</c:v>
                </c:pt>
                <c:pt idx="86">
                  <c:v>140.73885222537928</c:v>
                </c:pt>
                <c:pt idx="87">
                  <c:v>141.2439295333819</c:v>
                </c:pt>
                <c:pt idx="88">
                  <c:v>141.69268917256835</c:v>
                </c:pt>
                <c:pt idx="89">
                  <c:v>142.08321192306485</c:v>
                </c:pt>
                <c:pt idx="90">
                  <c:v>142.41366181797156</c:v>
                </c:pt>
                <c:pt idx="91">
                  <c:v>142.68226900841748</c:v>
                </c:pt>
                <c:pt idx="92">
                  <c:v>142.88731135708218</c:v>
                </c:pt>
                <c:pt idx="93">
                  <c:v>143.02709504511665</c:v>
                </c:pt>
                <c:pt idx="94">
                  <c:v>143.09993443827233</c:v>
                </c:pt>
                <c:pt idx="95">
                  <c:v>143.1041314181814</c:v>
                </c:pt>
                <c:pt idx="96">
                  <c:v>143.0379543470919</c:v>
                </c:pt>
                <c:pt idx="97">
                  <c:v>142.89961680169077</c:v>
                </c:pt>
                <c:pt idx="98">
                  <c:v>142.68725618651635</c:v>
                </c:pt>
                <c:pt idx="99">
                  <c:v>142.39891232233796</c:v>
                </c:pt>
                <c:pt idx="100">
                  <c:v>142.03250610240116</c:v>
                </c:pt>
                <c:pt idx="101">
                  <c:v>141.58581832245613</c:v>
                </c:pt>
                <c:pt idx="102">
                  <c:v>141.05646882242851</c:v>
                </c:pt>
                <c:pt idx="103">
                  <c:v>140.44189613248219</c:v>
                </c:pt>
                <c:pt idx="104">
                  <c:v>139.73933789912653</c:v>
                </c:pt>
                <c:pt idx="105">
                  <c:v>138.94581248398617</c:v>
                </c:pt>
                <c:pt idx="106">
                  <c:v>138.05810228615715</c:v>
                </c:pt>
                <c:pt idx="107">
                  <c:v>137.07273954727376</c:v>
                </c:pt>
                <c:pt idx="108">
                  <c:v>135.98599566581311</c:v>
                </c:pt>
                <c:pt idx="109">
                  <c:v>134.79387538356588</c:v>
                </c:pt>
                <c:pt idx="110">
                  <c:v>133.49211762130147</c:v>
                </c:pt>
                <c:pt idx="111">
                  <c:v>132.07620523795526</c:v>
                </c:pt>
                <c:pt idx="112">
                  <c:v>130.5413865670341</c:v>
                </c:pt>
                <c:pt idx="113">
                  <c:v>128.8827122317762</c:v>
                </c:pt>
                <c:pt idx="114">
                  <c:v>127.09509142338877</c:v>
                </c:pt>
                <c:pt idx="115">
                  <c:v>125.17337247991617</c:v>
                </c:pt>
                <c:pt idx="116">
                  <c:v>123.1124531185344</c:v>
                </c:pt>
                <c:pt idx="117">
                  <c:v>120.90742588428722</c:v>
                </c:pt>
                <c:pt idx="118">
                  <c:v>118.5537640455391</c:v>
                </c:pt>
                <c:pt idx="119">
                  <c:v>116.04755197838736</c:v>
                </c:pt>
                <c:pt idx="120">
                  <c:v>113.38576166821582</c:v>
                </c:pt>
                <c:pt idx="121">
                  <c:v>110.56657293838495</c:v>
                </c:pt>
                <c:pt idx="122">
                  <c:v>107.58972911018061</c:v>
                </c:pt>
                <c:pt idx="123">
                  <c:v>104.45691197941466</c:v>
                </c:pt>
                <c:pt idx="124">
                  <c:v>101.17211071172059</c:v>
                </c:pt>
                <c:pt idx="125">
                  <c:v>97.741949650816395</c:v>
                </c:pt>
                <c:pt idx="126">
                  <c:v>94.175932053136549</c:v>
                </c:pt>
                <c:pt idx="127">
                  <c:v>90.486553045187279</c:v>
                </c:pt>
                <c:pt idx="128">
                  <c:v>86.68923845892941</c:v>
                </c:pt>
                <c:pt idx="129">
                  <c:v>82.802078701428655</c:v>
                </c:pt>
                <c:pt idx="130">
                  <c:v>78.845348645737388</c:v>
                </c:pt>
                <c:pt idx="131">
                  <c:v>74.840833125704108</c:v>
                </c:pt>
                <c:pt idx="132">
                  <c:v>70.811007630140921</c:v>
                </c:pt>
                <c:pt idx="133">
                  <c:v>66.778148270735656</c:v>
                </c:pt>
                <c:pt idx="134">
                  <c:v>62.763457669568922</c:v>
                </c:pt>
                <c:pt idx="135">
                  <c:v>58.786290603975189</c:v>
                </c:pt>
                <c:pt idx="136">
                  <c:v>54.863545845584653</c:v>
                </c:pt>
                <c:pt idx="137">
                  <c:v>51.009263369749561</c:v>
                </c:pt>
                <c:pt idx="138">
                  <c:v>47.234435853174745</c:v>
                </c:pt>
                <c:pt idx="139">
                  <c:v>43.547016711659211</c:v>
                </c:pt>
                <c:pt idx="140">
                  <c:v>39.952088282871046</c:v>
                </c:pt>
                <c:pt idx="141">
                  <c:v>36.452144656042663</c:v>
                </c:pt>
                <c:pt idx="142">
                  <c:v>33.047443108226418</c:v>
                </c:pt>
                <c:pt idx="143">
                  <c:v>29.736383666896415</c:v>
                </c:pt>
                <c:pt idx="144">
                  <c:v>26.515885145326649</c:v>
                </c:pt>
                <c:pt idx="145">
                  <c:v>23.381735661074401</c:v>
                </c:pt>
                <c:pt idx="146">
                  <c:v>20.328904488138051</c:v>
                </c:pt>
                <c:pt idx="147">
                  <c:v>17.351809237825904</c:v>
                </c:pt>
                <c:pt idx="148">
                  <c:v>14.444537558997496</c:v>
                </c:pt>
                <c:pt idx="149">
                  <c:v>11.601025935248742</c:v>
                </c:pt>
                <c:pt idx="150">
                  <c:v>8.8152000681146205</c:v>
                </c:pt>
                <c:pt idx="151">
                  <c:v>6.08108215654795</c:v>
                </c:pt>
                <c:pt idx="152">
                  <c:v>3.3928704686815081</c:v>
                </c:pt>
                <c:pt idx="153">
                  <c:v>0.74499624019415478</c:v>
                </c:pt>
                <c:pt idx="154">
                  <c:v>-1.8678376618938728</c:v>
                </c:pt>
                <c:pt idx="155">
                  <c:v>-4.4506325535789699</c:v>
                </c:pt>
                <c:pt idx="156">
                  <c:v>-7.0080811456361118</c:v>
                </c:pt>
                <c:pt idx="157">
                  <c:v>-9.5445636863018706</c:v>
                </c:pt>
                <c:pt idx="158">
                  <c:v>-12.064151093472702</c:v>
                </c:pt>
                <c:pt idx="159">
                  <c:v>-14.570613560708608</c:v>
                </c:pt>
                <c:pt idx="160">
                  <c:v>-17.067433448309004</c:v>
                </c:pt>
                <c:pt idx="161">
                  <c:v>-19.557821506243044</c:v>
                </c:pt>
                <c:pt idx="162">
                  <c:v>-22.0447356309285</c:v>
                </c:pt>
                <c:pt idx="163">
                  <c:v>-24.530901446186505</c:v>
                </c:pt>
                <c:pt idx="164">
                  <c:v>-27.018834035094415</c:v>
                </c:pt>
                <c:pt idx="165">
                  <c:v>-29.510860149644259</c:v>
                </c:pt>
                <c:pt idx="166">
                  <c:v>-32.009140205331363</c:v>
                </c:pt>
                <c:pt idx="167">
                  <c:v>-34.515689343838858</c:v>
                </c:pt>
                <c:pt idx="168">
                  <c:v>-37.032396833967965</c:v>
                </c:pt>
                <c:pt idx="169">
                  <c:v>-39.56104309172818</c:v>
                </c:pt>
                <c:pt idx="170">
                  <c:v>-42.103313645328569</c:v>
                </c:pt>
                <c:pt idx="171">
                  <c:v>-44.660809455771755</c:v>
                </c:pt>
                <c:pt idx="172">
                  <c:v>-47.235053130646151</c:v>
                </c:pt>
                <c:pt idx="173">
                  <c:v>-49.827490734012855</c:v>
                </c:pt>
                <c:pt idx="174">
                  <c:v>-52.439489090960009</c:v>
                </c:pt>
                <c:pt idx="175">
                  <c:v>-55.072328698918113</c:v>
                </c:pt>
                <c:pt idx="176">
                  <c:v>-57.727192573975984</c:v>
                </c:pt>
                <c:pt idx="177">
                  <c:v>-60.405151562467864</c:v>
                </c:pt>
                <c:pt idx="178">
                  <c:v>-63.107146819964072</c:v>
                </c:pt>
                <c:pt idx="179">
                  <c:v>-65.833970287824812</c:v>
                </c:pt>
                <c:pt idx="180">
                  <c:v>-68.586244072175063</c:v>
                </c:pt>
                <c:pt idx="181">
                  <c:v>-71.364399647242479</c:v>
                </c:pt>
                <c:pt idx="182">
                  <c:v>-74.168657766049265</c:v>
                </c:pt>
                <c:pt idx="183">
                  <c:v>-76.999009873682709</c:v>
                </c:pt>
                <c:pt idx="184">
                  <c:v>-79.855201693627436</c:v>
                </c:pt>
                <c:pt idx="185">
                  <c:v>-82.736719511182201</c:v>
                </c:pt>
                <c:pt idx="186">
                  <c:v>-85.642779526250621</c:v>
                </c:pt>
                <c:pt idx="187">
                  <c:v>-88.572320506782745</c:v>
                </c:pt>
                <c:pt idx="188">
                  <c:v>-91.523999857176761</c:v>
                </c:pt>
                <c:pt idx="189">
                  <c:v>-94.496193132435209</c:v>
                </c:pt>
                <c:pt idx="190">
                  <c:v>-97.486996983110629</c:v>
                </c:pt>
                <c:pt idx="191">
                  <c:v>-100.49423550695253</c:v>
                </c:pt>
                <c:pt idx="192">
                  <c:v>-103.51547000456114</c:v>
                </c:pt>
                <c:pt idx="193">
                  <c:v>-106.5480121778451</c:v>
                </c:pt>
                <c:pt idx="194">
                  <c:v>-109.5889408584183</c:v>
                </c:pt>
                <c:pt idx="195">
                  <c:v>-112.63512239383282</c:v>
                </c:pt>
                <c:pt idx="196">
                  <c:v>-115.68323483872305</c:v>
                </c:pt>
                <c:pt idx="197">
                  <c:v>-118.7297960837795</c:v>
                </c:pt>
                <c:pt idx="198">
                  <c:v>-121.77119599965576</c:v>
                </c:pt>
                <c:pt idx="199">
                  <c:v>-124.80373257170461</c:v>
                </c:pt>
                <c:pt idx="200">
                  <c:v>-127.82365185613415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14592"/>
        <c:axId val="462416896"/>
      </c:scatterChart>
      <c:valAx>
        <c:axId val="462414592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416896"/>
        <c:crosses val="autoZero"/>
        <c:crossBetween val="midCat"/>
      </c:valAx>
      <c:valAx>
        <c:axId val="46241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414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1371847696773"/>
          <c:y val="8.4913435701772427E-2"/>
          <c:w val="0.24981163239010629"/>
          <c:h val="0.1710662651729103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799869971820314E-2"/>
          <c:y val="8.0779944289693595E-2"/>
          <c:w val="0.87073515693074044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34.135987251522913</c:v>
                </c:pt>
                <c:pt idx="1">
                  <c:v>33.736954716147046</c:v>
                </c:pt>
                <c:pt idx="2">
                  <c:v>33.337940193448233</c:v>
                </c:pt>
                <c:pt idx="3">
                  <c:v>32.93895201631527</c:v>
                </c:pt>
                <c:pt idx="4">
                  <c:v>32.539998737925345</c:v>
                </c:pt>
                <c:pt idx="5">
                  <c:v>32.141089203126107</c:v>
                </c:pt>
                <c:pt idx="6">
                  <c:v>31.742232622139671</c:v>
                </c:pt>
                <c:pt idx="7">
                  <c:v>31.34343864716579</c:v>
                </c:pt>
                <c:pt idx="8">
                  <c:v>30.944717452485161</c:v>
                </c:pt>
                <c:pt idx="9">
                  <c:v>30.546079818678081</c:v>
                </c:pt>
                <c:pt idx="10">
                  <c:v>30.147537221602271</c:v>
                </c:pt>
                <c:pt idx="11">
                  <c:v>29.749101926802663</c:v>
                </c:pt>
                <c:pt idx="12">
                  <c:v>29.350787090051288</c:v>
                </c:pt>
                <c:pt idx="13">
                  <c:v>28.952606864753573</c:v>
                </c:pt>
                <c:pt idx="14">
                  <c:v>28.554576516990991</c:v>
                </c:pt>
                <c:pt idx="15">
                  <c:v>28.156712549007313</c:v>
                </c:pt>
                <c:pt idx="16">
                  <c:v>27.759032831987028</c:v>
                </c:pt>
                <c:pt idx="17">
                  <c:v>27.361556749010369</c:v>
                </c:pt>
                <c:pt idx="18">
                  <c:v>26.964305349114646</c:v>
                </c:pt>
                <c:pt idx="19">
                  <c:v>26.567301513426674</c:v>
                </c:pt>
                <c:pt idx="20">
                  <c:v>26.17057013436909</c:v>
                </c:pt>
                <c:pt idx="21">
                  <c:v>25.774138308975868</c:v>
                </c:pt>
                <c:pt idx="22">
                  <c:v>25.37803554738003</c:v>
                </c:pt>
                <c:pt idx="23">
                  <c:v>24.982293997555157</c:v>
                </c:pt>
                <c:pt idx="24">
                  <c:v>24.58694868739628</c:v>
                </c:pt>
                <c:pt idx="25">
                  <c:v>24.192037785227182</c:v>
                </c:pt>
                <c:pt idx="26">
                  <c:v>23.797602879786737</c:v>
                </c:pt>
                <c:pt idx="27">
                  <c:v>23.403689280703915</c:v>
                </c:pt>
                <c:pt idx="28">
                  <c:v>23.010346340394292</c:v>
                </c:pt>
                <c:pt idx="29">
                  <c:v>22.617627798193844</c:v>
                </c:pt>
                <c:pt idx="30">
                  <c:v>22.225592147396735</c:v>
                </c:pt>
                <c:pt idx="31">
                  <c:v>21.834303025651835</c:v>
                </c:pt>
                <c:pt idx="32">
                  <c:v>21.44382962891104</c:v>
                </c:pt>
                <c:pt idx="33">
                  <c:v>21.054247148780185</c:v>
                </c:pt>
                <c:pt idx="34">
                  <c:v>20.665637232702689</c:v>
                </c:pt>
                <c:pt idx="35">
                  <c:v>20.278088465892573</c:v>
                </c:pt>
                <c:pt idx="36">
                  <c:v>19.891696873299388</c:v>
                </c:pt>
                <c:pt idx="37">
                  <c:v>19.506566439147463</c:v>
                </c:pt>
                <c:pt idx="38">
                  <c:v>19.122809640698357</c:v>
                </c:pt>
                <c:pt idx="39">
                  <c:v>18.740547991852019</c:v>
                </c:pt>
                <c:pt idx="40">
                  <c:v>18.359912591008658</c:v>
                </c:pt>
                <c:pt idx="41">
                  <c:v>17.981044666243228</c:v>
                </c:pt>
                <c:pt idx="42">
                  <c:v>17.604096109308554</c:v>
                </c:pt>
                <c:pt idx="43">
                  <c:v>17.229229988277673</c:v>
                </c:pt>
                <c:pt idx="44">
                  <c:v>16.856621026764266</c:v>
                </c:pt>
                <c:pt idx="45">
                  <c:v>16.486456035664439</c:v>
                </c:pt>
                <c:pt idx="46">
                  <c:v>16.118934281260422</c:v>
                </c:pt>
                <c:pt idx="47">
                  <c:v>15.754267771382944</c:v>
                </c:pt>
                <c:pt idx="48">
                  <c:v>15.392681439218203</c:v>
                </c:pt>
                <c:pt idx="49">
                  <c:v>15.034413202360209</c:v>
                </c:pt>
                <c:pt idx="50">
                  <c:v>14.679713872983564</c:v>
                </c:pt>
                <c:pt idx="51">
                  <c:v>14.328846893677593</c:v>
                </c:pt>
                <c:pt idx="52">
                  <c:v>13.98208787273693</c:v>
                </c:pt>
                <c:pt idx="53">
                  <c:v>13.639723892723525</c:v>
                </c:pt>
                <c:pt idx="54">
                  <c:v>13.302052567120548</c:v>
                </c:pt>
                <c:pt idx="55">
                  <c:v>12.969380822101277</c:v>
                </c:pt>
                <c:pt idx="56">
                  <c:v>12.642023384042485</c:v>
                </c:pt>
                <c:pt idx="57">
                  <c:v>12.320300958586436</c:v>
                </c:pt>
                <c:pt idx="58">
                  <c:v>12.004538093920495</c:v>
                </c:pt>
                <c:pt idx="59">
                  <c:v>11.695060729538389</c:v>
                </c:pt>
                <c:pt idx="60">
                  <c:v>11.392193441986729</c:v>
                </c:pt>
                <c:pt idx="61">
                  <c:v>11.096256410789513</c:v>
                </c:pt>
                <c:pt idx="62">
                  <c:v>10.807562140518955</c:v>
                </c:pt>
                <c:pt idx="63">
                  <c:v>10.52641198832324</c:v>
                </c:pt>
                <c:pt idx="64">
                  <c:v>10.253092559457857</c:v>
                </c:pt>
                <c:pt idx="65">
                  <c:v>9.9878720456975305</c:v>
                </c:pt>
                <c:pt idx="66">
                  <c:v>9.7309965920469779</c:v>
                </c:pt>
                <c:pt idx="67">
                  <c:v>9.4826867850067345</c:v>
                </c:pt>
                <c:pt idx="68">
                  <c:v>9.243134359965099</c:v>
                </c:pt>
                <c:pt idx="69">
                  <c:v>9.0124992253645289</c:v>
                </c:pt>
                <c:pt idx="70">
                  <c:v>8.790906896696562</c:v>
                </c:pt>
                <c:pt idx="71">
                  <c:v>8.5784464239615303</c:v>
                </c:pt>
                <c:pt idx="72">
                  <c:v>8.3751688822141119</c:v>
                </c:pt>
                <c:pt idx="73">
                  <c:v>8.1810864767765246</c:v>
                </c:pt>
                <c:pt idx="74">
                  <c:v>7.9961722935889714</c:v>
                </c:pt>
                <c:pt idx="75">
                  <c:v>7.8203607021619401</c:v>
                </c:pt>
                <c:pt idx="76">
                  <c:v>7.6535483950835159</c:v>
                </c:pt>
                <c:pt idx="77">
                  <c:v>7.4955960254305998</c:v>
                </c:pt>
                <c:pt idx="78">
                  <c:v>7.3463303830584517</c:v>
                </c:pt>
                <c:pt idx="79">
                  <c:v>7.2055470337373055</c:v>
                </c:pt>
                <c:pt idx="80">
                  <c:v>7.0730133322736766</c:v>
                </c:pt>
                <c:pt idx="81">
                  <c:v>6.9484717125857038</c:v>
                </c:pt>
                <c:pt idx="82">
                  <c:v>6.8316431542728235</c:v>
                </c:pt>
                <c:pt idx="83">
                  <c:v>6.7222307262909711</c:v>
                </c:pt>
                <c:pt idx="84">
                  <c:v>6.6199231133524741</c:v>
                </c:pt>
                <c:pt idx="85">
                  <c:v>6.5243980388736507</c:v>
                </c:pt>
                <c:pt idx="86">
                  <c:v>6.4353255087799361</c:v>
                </c:pt>
                <c:pt idx="87">
                  <c:v>6.3523708123420199</c:v>
                </c:pt>
                <c:pt idx="88">
                  <c:v>6.2751972285541484</c:v>
                </c:pt>
                <c:pt idx="89">
                  <c:v>6.2034683985862742</c:v>
                </c:pt>
                <c:pt idx="90">
                  <c:v>6.13685033587248</c:v>
                </c:pt>
                <c:pt idx="91">
                  <c:v>6.0750130549441437</c:v>
                </c:pt>
                <c:pt idx="92">
                  <c:v>6.0176318077979634</c:v>
                </c:pt>
                <c:pt idx="93">
                  <c:v>5.9643879221995588</c:v>
                </c:pt>
                <c:pt idx="94">
                  <c:v>5.9149692397563154</c:v>
                </c:pt>
                <c:pt idx="95">
                  <c:v>5.8690701528411724</c:v>
                </c:pt>
                <c:pt idx="96">
                  <c:v>5.8263912385574415</c:v>
                </c:pt>
                <c:pt idx="97">
                  <c:v>5.7866384850274635</c:v>
                </c:pt>
                <c:pt idx="98">
                  <c:v>5.7495221004457537</c:v>
                </c:pt>
                <c:pt idx="99">
                  <c:v>5.7147548887305568</c:v>
                </c:pt>
                <c:pt idx="100">
                  <c:v>5.6820501673407247</c:v>
                </c:pt>
                <c:pt idx="101">
                  <c:v>5.6511191930578502</c:v>
                </c:pt>
                <c:pt idx="102">
                  <c:v>5.6216680504439722</c:v>
                </c:pt>
                <c:pt idx="103">
                  <c:v>5.5933939454879633</c:v>
                </c:pt>
                <c:pt idx="104">
                  <c:v>5.5659808340085917</c:v>
                </c:pt>
                <c:pt idx="105">
                  <c:v>5.5390943011889924</c:v>
                </c:pt>
                <c:pt idx="106">
                  <c:v>5.5123755959667342</c:v>
                </c:pt>
                <c:pt idx="107">
                  <c:v>5.4854347131007977</c:v>
                </c:pt>
                <c:pt idx="108">
                  <c:v>5.457842408332974</c:v>
                </c:pt>
                <c:pt idx="109">
                  <c:v>5.4291210307537696</c:v>
                </c:pt>
                <c:pt idx="110">
                  <c:v>5.3987340648875906</c:v>
                </c:pt>
                <c:pt idx="111">
                  <c:v>5.3660742981396918</c:v>
                </c:pt>
                <c:pt idx="112">
                  <c:v>5.3304505737651633</c:v>
                </c:pt>
                <c:pt idx="113">
                  <c:v>5.2910731639663133</c:v>
                </c:pt>
                <c:pt idx="114">
                  <c:v>5.2470379125698212</c:v>
                </c:pt>
                <c:pt idx="115">
                  <c:v>5.1973094638679251</c:v>
                </c:pt>
                <c:pt idx="116">
                  <c:v>5.1407041258591377</c:v>
                </c:pt>
                <c:pt idx="117">
                  <c:v>5.0758732222837981</c:v>
                </c:pt>
                <c:pt idx="118">
                  <c:v>5.0012881721664515</c:v>
                </c:pt>
                <c:pt idx="119">
                  <c:v>4.9152289888040226</c:v>
                </c:pt>
                <c:pt idx="120">
                  <c:v>4.8157783813683173</c:v>
                </c:pt>
                <c:pt idx="121">
                  <c:v>4.7008241086875815</c:v>
                </c:pt>
                <c:pt idx="122">
                  <c:v>4.5680725725260611</c:v>
                </c:pt>
                <c:pt idx="123">
                  <c:v>4.4150766992181243</c:v>
                </c:pt>
                <c:pt idx="124">
                  <c:v>4.2392807636710623</c:v>
                </c:pt>
                <c:pt idx="125">
                  <c:v>4.0380837794707389</c:v>
                </c:pt>
                <c:pt idx="126">
                  <c:v>3.8089212964901438</c:v>
                </c:pt>
                <c:pt idx="127">
                  <c:v>3.5493629419703101</c:v>
                </c:pt>
                <c:pt idx="128">
                  <c:v>3.2572200681270158</c:v>
                </c:pt>
                <c:pt idx="129">
                  <c:v>2.9306549467308933</c:v>
                </c:pt>
                <c:pt idx="130">
                  <c:v>2.5682807996729329</c:v>
                </c:pt>
                <c:pt idx="131">
                  <c:v>2.1692413191049424</c:v>
                </c:pt>
                <c:pt idx="132">
                  <c:v>1.7332597139727859</c:v>
                </c:pt>
                <c:pt idx="133">
                  <c:v>1.2606507308576478</c:v>
                </c:pt>
                <c:pt idx="134">
                  <c:v>0.75229394828532214</c:v>
                </c:pt>
                <c:pt idx="135">
                  <c:v>0.20957188143806554</c:v>
                </c:pt>
                <c:pt idx="136">
                  <c:v>-0.36571912509426985</c:v>
                </c:pt>
                <c:pt idx="137">
                  <c:v>-0.97147451293712772</c:v>
                </c:pt>
                <c:pt idx="138">
                  <c:v>-1.6053922964274434</c:v>
                </c:pt>
                <c:pt idx="139">
                  <c:v>-2.2650789333994874</c:v>
                </c:pt>
                <c:pt idx="140">
                  <c:v>-2.9481427081487759</c:v>
                </c:pt>
                <c:pt idx="141">
                  <c:v>-3.6522700686971281</c:v>
                </c:pt>
                <c:pt idx="142">
                  <c:v>-4.3752832116500322</c:v>
                </c:pt>
                <c:pt idx="143">
                  <c:v>-5.1151794707752982</c:v>
                </c:pt>
                <c:pt idx="144">
                  <c:v>-5.8701545726155917</c:v>
                </c:pt>
                <c:pt idx="145">
                  <c:v>-6.6386126071136689</c:v>
                </c:pt>
                <c:pt idx="146">
                  <c:v>-7.4191657710352477</c:v>
                </c:pt>
                <c:pt idx="147">
                  <c:v>-8.2106267620369291</c:v>
                </c:pt>
                <c:pt idx="148">
                  <c:v>-9.0119963027797727</c:v>
                </c:pt>
                <c:pt idx="149">
                  <c:v>-9.8224477899981828</c:v>
                </c:pt>
                <c:pt idx="150">
                  <c:v>-10.641310581505083</c:v>
                </c:pt>
                <c:pt idx="151">
                  <c:v>-11.46805300514802</c:v>
                </c:pt>
                <c:pt idx="152">
                  <c:v>-12.302265819920738</c:v>
                </c:pt>
                <c:pt idx="153">
                  <c:v>-13.143646584638507</c:v>
                </c:pt>
                <c:pt idx="154">
                  <c:v>-13.991985187317638</c:v>
                </c:pt>
                <c:pt idx="155">
                  <c:v>-14.847150647442522</c:v>
                </c:pt>
                <c:pt idx="156">
                  <c:v>-15.709079211229632</c:v>
                </c:pt>
                <c:pt idx="157">
                  <c:v>-16.577763705061606</c:v>
                </c:pt>
                <c:pt idx="158">
                  <c:v>-17.453244084252983</c:v>
                </c:pt>
                <c:pt idx="159">
                  <c:v>-18.335599104841389</c:v>
                </c:pt>
                <c:pt idx="160">
                  <c:v>-19.224939048411493</c:v>
                </c:pt>
                <c:pt idx="161">
                  <c:v>-20.121399438796189</c:v>
                </c:pt>
                <c:pt idx="162">
                  <c:v>-21.025135700758447</c:v>
                </c:pt>
                <c:pt idx="163">
                  <c:v>-21.936318721333624</c:v>
                </c:pt>
                <c:pt idx="164">
                  <c:v>-22.855131282119654</c:v>
                </c:pt>
                <c:pt idx="165">
                  <c:v>-23.781765333869906</c:v>
                </c:pt>
                <c:pt idx="166">
                  <c:v>-24.716420082428158</c:v>
                </c:pt>
                <c:pt idx="167">
                  <c:v>-25.659300847087433</c:v>
                </c:pt>
                <c:pt idx="168">
                  <c:v>-26.610618639359881</c:v>
                </c:pt>
                <c:pt idx="169">
                  <c:v>-27.570590392907093</c:v>
                </c:pt>
                <c:pt idx="170">
                  <c:v>-28.53943975564086</c:v>
                </c:pt>
                <c:pt idx="171">
                  <c:v>-29.517398334719637</c:v>
                </c:pt>
                <c:pt idx="172">
                  <c:v>-30.504707266592529</c:v>
                </c:pt>
                <c:pt idx="173">
                  <c:v>-31.501618969575755</c:v>
                </c:pt>
                <c:pt idx="174">
                  <c:v>-32.508398927695396</c:v>
                </c:pt>
                <c:pt idx="175">
                  <c:v>-33.525327353155078</c:v>
                </c:pt>
                <c:pt idx="176">
                  <c:v>-34.55270058165739</c:v>
                </c:pt>
                <c:pt idx="177">
                  <c:v>-35.590832069882936</c:v>
                </c:pt>
                <c:pt idx="178">
                  <c:v>-36.64005288692951</c:v>
                </c:pt>
                <c:pt idx="179">
                  <c:v>-37.700711619778737</c:v>
                </c:pt>
                <c:pt idx="180">
                  <c:v>-38.773173644723961</c:v>
                </c:pt>
                <c:pt idx="181">
                  <c:v>-39.857819749530698</c:v>
                </c:pt>
                <c:pt idx="182">
                  <c:v>-40.95504412230062</c:v>
                </c:pt>
                <c:pt idx="183">
                  <c:v>-42.065251750141918</c:v>
                </c:pt>
                <c:pt idx="184">
                  <c:v>-43.188855291922941</c:v>
                </c:pt>
                <c:pt idx="185">
                  <c:v>-44.326271503459857</c:v>
                </c:pt>
                <c:pt idx="186">
                  <c:v>-45.477917300117532</c:v>
                </c:pt>
                <c:pt idx="187">
                  <c:v>-46.64420554156365</c:v>
                </c:pt>
                <c:pt idx="188">
                  <c:v>-47.825540617584338</c:v>
                </c:pt>
                <c:pt idx="189">
                  <c:v>-49.022313904364829</c:v>
                </c:pt>
                <c:pt idx="190">
                  <c:v>-50.234899149639091</c:v>
                </c:pt>
                <c:pt idx="191">
                  <c:v>-51.463647834905622</c:v>
                </c:pt>
                <c:pt idx="192">
                  <c:v>-52.708884555485717</c:v>
                </c:pt>
                <c:pt idx="193">
                  <c:v>-53.97090245612187</c:v>
                </c:pt>
                <c:pt idx="194">
                  <c:v>-55.249958761954375</c:v>
                </c:pt>
                <c:pt idx="195">
                  <c:v>-56.546270452184871</c:v>
                </c:pt>
                <c:pt idx="196">
                  <c:v>-57.860010135897582</c:v>
                </c:pt>
                <c:pt idx="197">
                  <c:v>-59.191302204999246</c:v>
                </c:pt>
                <c:pt idx="198">
                  <c:v>-60.540219356144824</c:v>
                </c:pt>
                <c:pt idx="199">
                  <c:v>-61.906779589570434</c:v>
                </c:pt>
                <c:pt idx="200">
                  <c:v>-63.290943805566798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022336"/>
        <c:axId val="214278528"/>
      </c:scatterChart>
      <c:valAx>
        <c:axId val="52702233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278528"/>
        <c:crosses val="autoZero"/>
        <c:crossBetween val="midCat"/>
      </c:valAx>
      <c:valAx>
        <c:axId val="21427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223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789197402955"/>
          <c:y val="8.0779938052767106E-2"/>
          <c:w val="0.29647340902987301"/>
          <c:h val="0.12039059098655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43</xdr:row>
      <xdr:rowOff>49213</xdr:rowOff>
    </xdr:from>
    <xdr:to>
      <xdr:col>7</xdr:col>
      <xdr:colOff>595313</xdr:colOff>
      <xdr:row>73</xdr:row>
      <xdr:rowOff>77788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19</xdr:row>
      <xdr:rowOff>47625</xdr:rowOff>
    </xdr:from>
    <xdr:to>
      <xdr:col>13</xdr:col>
      <xdr:colOff>57150</xdr:colOff>
      <xdr:row>19</xdr:row>
      <xdr:rowOff>133350</xdr:rowOff>
    </xdr:to>
    <xdr:sp macro="" textlink="">
      <xdr:nvSpPr>
        <xdr:cNvPr id="4" name="Rectangle 3"/>
        <xdr:cNvSpPr/>
      </xdr:nvSpPr>
      <xdr:spPr>
        <a:xfrm>
          <a:off x="11106150" y="32004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</xdr:colOff>
      <xdr:row>22</xdr:row>
      <xdr:rowOff>57150</xdr:rowOff>
    </xdr:from>
    <xdr:to>
      <xdr:col>13</xdr:col>
      <xdr:colOff>333375</xdr:colOff>
      <xdr:row>22</xdr:row>
      <xdr:rowOff>142875</xdr:rowOff>
    </xdr:to>
    <xdr:sp macro="" textlink="">
      <xdr:nvSpPr>
        <xdr:cNvPr id="7" name="Rectangle 6"/>
        <xdr:cNvSpPr/>
      </xdr:nvSpPr>
      <xdr:spPr>
        <a:xfrm>
          <a:off x="11382375" y="36957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495300</xdr:colOff>
      <xdr:row>22</xdr:row>
      <xdr:rowOff>47625</xdr:rowOff>
    </xdr:from>
    <xdr:to>
      <xdr:col>15</xdr:col>
      <xdr:colOff>200025</xdr:colOff>
      <xdr:row>22</xdr:row>
      <xdr:rowOff>133350</xdr:rowOff>
    </xdr:to>
    <xdr:sp macro="" textlink="">
      <xdr:nvSpPr>
        <xdr:cNvPr id="8" name="Rectangle 7"/>
        <xdr:cNvSpPr/>
      </xdr:nvSpPr>
      <xdr:spPr>
        <a:xfrm>
          <a:off x="12468225" y="3686175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542925</xdr:colOff>
      <xdr:row>25</xdr:row>
      <xdr:rowOff>142875</xdr:rowOff>
    </xdr:from>
    <xdr:to>
      <xdr:col>15</xdr:col>
      <xdr:colOff>247650</xdr:colOff>
      <xdr:row>26</xdr:row>
      <xdr:rowOff>66675</xdr:rowOff>
    </xdr:to>
    <xdr:sp macro="" textlink="">
      <xdr:nvSpPr>
        <xdr:cNvPr id="9" name="Rectangle 8"/>
        <xdr:cNvSpPr/>
      </xdr:nvSpPr>
      <xdr:spPr>
        <a:xfrm>
          <a:off x="12515850" y="42672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514350</xdr:colOff>
      <xdr:row>24</xdr:row>
      <xdr:rowOff>38100</xdr:rowOff>
    </xdr:from>
    <xdr:to>
      <xdr:col>16</xdr:col>
      <xdr:colOff>219075</xdr:colOff>
      <xdr:row>24</xdr:row>
      <xdr:rowOff>123825</xdr:rowOff>
    </xdr:to>
    <xdr:sp macro="" textlink="">
      <xdr:nvSpPr>
        <xdr:cNvPr id="10" name="Rectangle 9"/>
        <xdr:cNvSpPr/>
      </xdr:nvSpPr>
      <xdr:spPr>
        <a:xfrm>
          <a:off x="13096875" y="40005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180974</xdr:colOff>
      <xdr:row>29</xdr:row>
      <xdr:rowOff>112309</xdr:rowOff>
    </xdr:from>
    <xdr:to>
      <xdr:col>8</xdr:col>
      <xdr:colOff>495299</xdr:colOff>
      <xdr:row>30</xdr:row>
      <xdr:rowOff>36109</xdr:rowOff>
    </xdr:to>
    <xdr:sp macro="" textlink="">
      <xdr:nvSpPr>
        <xdr:cNvPr id="11" name="Rectangle 10"/>
        <xdr:cNvSpPr/>
      </xdr:nvSpPr>
      <xdr:spPr>
        <a:xfrm>
          <a:off x="7458074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904874</xdr:colOff>
      <xdr:row>31</xdr:row>
      <xdr:rowOff>121834</xdr:rowOff>
    </xdr:from>
    <xdr:to>
      <xdr:col>12</xdr:col>
      <xdr:colOff>304799</xdr:colOff>
      <xdr:row>32</xdr:row>
      <xdr:rowOff>45634</xdr:rowOff>
    </xdr:to>
    <xdr:sp macro="" textlink="">
      <xdr:nvSpPr>
        <xdr:cNvPr id="12" name="Rectangle 11"/>
        <xdr:cNvSpPr/>
      </xdr:nvSpPr>
      <xdr:spPr>
        <a:xfrm>
          <a:off x="10744199" y="5217709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885824</xdr:colOff>
      <xdr:row>29</xdr:row>
      <xdr:rowOff>112309</xdr:rowOff>
    </xdr:from>
    <xdr:to>
      <xdr:col>12</xdr:col>
      <xdr:colOff>285749</xdr:colOff>
      <xdr:row>30</xdr:row>
      <xdr:rowOff>36109</xdr:rowOff>
    </xdr:to>
    <xdr:sp macro="" textlink="">
      <xdr:nvSpPr>
        <xdr:cNvPr id="13" name="Rectangle 12"/>
        <xdr:cNvSpPr/>
      </xdr:nvSpPr>
      <xdr:spPr>
        <a:xfrm>
          <a:off x="10725149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317500</xdr:colOff>
          <xdr:row>17</xdr:row>
          <xdr:rowOff>31750</xdr:rowOff>
        </xdr:from>
        <xdr:to>
          <xdr:col>16</xdr:col>
          <xdr:colOff>298450</xdr:colOff>
          <xdr:row>34</xdr:row>
          <xdr:rowOff>76200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161925</xdr:rowOff>
    </xdr:from>
    <xdr:to>
      <xdr:col>6</xdr:col>
      <xdr:colOff>1724025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19913" y="7353300"/>
          <a:ext cx="5193506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C4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7029450"/>
          <a:ext cx="6853238" cy="58864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583405</xdr:colOff>
      <xdr:row>26</xdr:row>
      <xdr:rowOff>202405</xdr:rowOff>
    </xdr:from>
    <xdr:to>
      <xdr:col>15</xdr:col>
      <xdr:colOff>1479374</xdr:colOff>
      <xdr:row>30</xdr:row>
      <xdr:rowOff>32915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239624" y="5262561"/>
          <a:ext cx="1646063" cy="64013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8" zoomScale="120" zoomScaleNormal="120" workbookViewId="0">
      <selection activeCell="B18" sqref="B18"/>
    </sheetView>
  </sheetViews>
  <sheetFormatPr defaultRowHeight="13"/>
  <cols>
    <col min="1" max="1" width="34.26953125" style="2" bestFit="1" customWidth="1"/>
    <col min="2" max="2" width="10.81640625" style="2" customWidth="1"/>
    <col min="3" max="3" width="7" style="2" customWidth="1"/>
    <col min="4" max="4" width="2.54296875" style="2" customWidth="1"/>
    <col min="5" max="5" width="26" style="2" customWidth="1"/>
    <col min="6" max="6" width="10.1796875" style="2" customWidth="1"/>
    <col min="7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253</v>
      </c>
    </row>
    <row r="16" spans="1:8" ht="18">
      <c r="A16" s="3" t="s">
        <v>0</v>
      </c>
      <c r="E16"/>
    </row>
    <row r="17" spans="1:13" ht="13" customHeight="1">
      <c r="A17" s="2" t="s">
        <v>255</v>
      </c>
      <c r="B17" s="114" t="s">
        <v>275</v>
      </c>
      <c r="F17" s="4" t="str">
        <f>IF(F18&lt;95,"Minimum On-Time Too Low. Reduce Operating Frequency!","")</f>
        <v/>
      </c>
    </row>
    <row r="18" spans="1:13" ht="13" customHeight="1">
      <c r="A18" s="2" t="s">
        <v>1</v>
      </c>
      <c r="B18" s="118">
        <v>500</v>
      </c>
      <c r="C18" s="6" t="s">
        <v>2</v>
      </c>
      <c r="E18" s="2" t="s">
        <v>3</v>
      </c>
      <c r="F18" s="7">
        <f>D*1000000000/(Fs*1000)</f>
        <v>402.99431218738846</v>
      </c>
      <c r="G18" s="6" t="s">
        <v>4</v>
      </c>
    </row>
    <row r="19" spans="1:13" ht="13" customHeight="1">
      <c r="A19" s="161" t="str">
        <f>IF(OR(Vin&lt;3.8,Vin&gt;40),"Input Voltage Out of Range","Input Voltage (3.8V-40V)")</f>
        <v>Input Voltage (3.8V-40V)</v>
      </c>
      <c r="B19" s="160">
        <v>7</v>
      </c>
      <c r="C19" s="6" t="s">
        <v>5</v>
      </c>
      <c r="D19" s="128"/>
      <c r="E19" s="2" t="s">
        <v>6</v>
      </c>
      <c r="F19" s="9">
        <f>(Vout + (Iout*((DCR+Ron_l)/1000)))/(Vin+(Iout*((Ron_l-Ron_u)/1000)))</f>
        <v>0.20149715609369423</v>
      </c>
      <c r="G19" s="6"/>
      <c r="H19" s="10"/>
    </row>
    <row r="20" spans="1:13" ht="13" customHeight="1">
      <c r="A20" s="162" t="str">
        <f>IF(OR(Vout&lt;0.8,Vout&gt;Vin), "Voltage Out of Range", "Ouput Voltage")</f>
        <v>Ouput Voltage</v>
      </c>
      <c r="B20" s="160">
        <v>1.2</v>
      </c>
      <c r="C20" s="6" t="s">
        <v>5</v>
      </c>
      <c r="E20" s="2" t="s">
        <v>7</v>
      </c>
      <c r="F20" s="11">
        <f>Vout/Iout</f>
        <v>0.39999999999999997</v>
      </c>
      <c r="G20" s="6" t="s">
        <v>8</v>
      </c>
    </row>
    <row r="21" spans="1:13" ht="13" customHeight="1">
      <c r="A21" s="2" t="s">
        <v>9</v>
      </c>
      <c r="B21" s="118">
        <v>3</v>
      </c>
      <c r="C21" s="6" t="s">
        <v>10</v>
      </c>
    </row>
    <row r="22" spans="1:13" ht="13" customHeight="1">
      <c r="A22" s="4" t="str">
        <f>IF(AND(OR(B17="AP64102",B17="AP64102Q"),Iout+0.5*Irip&gt;1.5),"Output Current Too High", IF(AND(OR(B17="AP64202",B17="AP64202Q"),Iout+0.5*Irip&gt;2.5),"Output Current Too High", IF(AND(OR(B17="AP64352",B17="AP64352Q"),Iout+0.5*Irip&gt;4.25),"Output Current Too High", IF(AND(OR(B17="AP64502",B17="AP64502Q"),Iout+0.5*Irip&gt;6.8),"Output Current Too High", " "))))</f>
        <v xml:space="preserve"> </v>
      </c>
      <c r="B22" s="130"/>
      <c r="E22" s="2" t="s">
        <v>11</v>
      </c>
      <c r="F22" s="9">
        <f>Iout*SQRT(D)*SQRT(1+1/3*(Irip/2/Iout)^2)</f>
        <v>1.371085230207729</v>
      </c>
      <c r="G22" s="6" t="s">
        <v>10</v>
      </c>
    </row>
    <row r="23" spans="1:13" ht="13" customHeight="1">
      <c r="A23" s="13" t="s">
        <v>12</v>
      </c>
      <c r="B23" s="120"/>
      <c r="E23" s="2" t="s">
        <v>13</v>
      </c>
      <c r="F23" s="9">
        <f>Iout*SQRT(1-D)*SQRT(1+1/3*(Irip/2/Iout)^2)</f>
        <v>2.7294065262220966</v>
      </c>
      <c r="G23" s="6" t="s">
        <v>10</v>
      </c>
    </row>
    <row r="24" spans="1:13" ht="13" customHeight="1">
      <c r="A24" s="14" t="s">
        <v>14</v>
      </c>
      <c r="B24" s="121">
        <v>40</v>
      </c>
      <c r="C24" s="15" t="s">
        <v>15</v>
      </c>
      <c r="F24" s="12"/>
    </row>
    <row r="25" spans="1:13" ht="13" customHeight="1">
      <c r="A25" s="14"/>
      <c r="B25" s="122"/>
      <c r="C25" s="14"/>
      <c r="F25" s="12"/>
    </row>
    <row r="26" spans="1:13" ht="13" customHeight="1">
      <c r="A26" s="14" t="s">
        <v>16</v>
      </c>
      <c r="B26" s="123">
        <f>IF(OR(B17="AP64102",B17="AP64102Q"),MAX((((Vin-Vout)*D)/((Fs*10^3)*1*(LIR/100)))*10^6,Vout*Dmax*1000000/(0.8*Se*Compensation!C28)),(IF(OR(B17="AP64202",B17="AP64202Q"),MAX((((Vin-Vout)*D)/((Fs*10^3)*2*(LIR/100)))*10^6,Vout*Dmax*1000000/(0.8*Se*Compensation!C28)),IF(OR(B17="AP64352",B17="AP64352Q"),MAX((((Vin-Vout)*D)/((Fs*10^3)*3.5*(LIR/100)))*10^6,Vout*Dmax*1000000/(0.8*Se*Compensation!C28)),MAX((((Vin-Vout)*D)/((Fs*10^3)*5*(LIR/100)))*10^6,Vout*Dmax*1000000/(0.8*Se*Compensation!C28))))))</f>
        <v>1.6695478647763238</v>
      </c>
      <c r="C26" s="15" t="s">
        <v>17</v>
      </c>
      <c r="E26" s="2" t="s">
        <v>18</v>
      </c>
      <c r="F26" s="9">
        <f>(Vin-Vout)*((Vout)/(Vin*Lout*10^(-6)*Fs*10^3))</f>
        <v>1.9885714285714284</v>
      </c>
      <c r="G26" s="6" t="s">
        <v>19</v>
      </c>
      <c r="H26" s="10"/>
      <c r="J26" s="17"/>
      <c r="K26" s="17"/>
      <c r="L26" s="17"/>
      <c r="M26" s="4"/>
    </row>
    <row r="27" spans="1:13" ht="13" customHeight="1">
      <c r="A27" s="2" t="str">
        <f>IF(OR(B17="AP64102",B17="AP64102Q"),"Output Inductor (Isat &gt; 4A)", (IF(OR(B17="AP64202",B17="AP64202Q"),"Output Inductor (Isat &gt; 5A)",(IF(OR(B17="AP64352",B17="AP64352Q"),"Output Inductor (Isat &gt; 6A)","Output Inductor (Isat &gt; 9A)")))))</f>
        <v>Output Inductor (Isat &gt; 6A)</v>
      </c>
      <c r="B27" s="118">
        <v>1</v>
      </c>
      <c r="C27" s="6" t="s">
        <v>17</v>
      </c>
      <c r="E27" s="2" t="s">
        <v>246</v>
      </c>
      <c r="F27" s="7">
        <f>Irip*ESR/ncap+Irip/(8*Fs*ncap*Cap*0.000001)</f>
        <v>21.542857142857141</v>
      </c>
      <c r="G27" s="6" t="s">
        <v>248</v>
      </c>
      <c r="J27" s="16"/>
      <c r="K27" s="16" t="s">
        <v>32</v>
      </c>
      <c r="L27" s="16" t="s">
        <v>21</v>
      </c>
      <c r="M27" s="4"/>
    </row>
    <row r="28" spans="1:13" ht="13" customHeight="1">
      <c r="A28" s="18" t="s">
        <v>22</v>
      </c>
      <c r="B28" s="124">
        <v>5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6" t="s">
        <v>24</v>
      </c>
      <c r="K28" s="19">
        <f>B55</f>
        <v>0.17150902626178122</v>
      </c>
      <c r="L28" s="19">
        <f>B56+B57+B58+B59</f>
        <v>0.14026539396216961</v>
      </c>
      <c r="M28" s="4"/>
    </row>
    <row r="29" spans="1:13" ht="13" customHeight="1">
      <c r="A29" s="18"/>
      <c r="B29" s="120"/>
      <c r="E29" s="135" t="s">
        <v>273</v>
      </c>
      <c r="F29" s="8">
        <v>2</v>
      </c>
      <c r="G29" s="6" t="str">
        <f>IF(F29&lt;2, "Too Low", "ms")</f>
        <v>ms</v>
      </c>
      <c r="J29" s="16" t="s">
        <v>25</v>
      </c>
      <c r="K29" s="19">
        <f>B72</f>
        <v>0.43640374253663328</v>
      </c>
      <c r="L29" s="19">
        <f>B73+B74+B75</f>
        <v>8.7054717856598504E-2</v>
      </c>
      <c r="M29" s="4"/>
    </row>
    <row r="30" spans="1:13" ht="13" customHeight="1">
      <c r="A30" s="13" t="s">
        <v>26</v>
      </c>
      <c r="B30" s="120"/>
      <c r="D30" s="14"/>
      <c r="E30" s="113" t="s">
        <v>249</v>
      </c>
      <c r="F30" s="14"/>
      <c r="G30" s="14"/>
      <c r="J30" s="16" t="s">
        <v>27</v>
      </c>
      <c r="K30" s="16"/>
      <c r="L30" s="19">
        <f>B82+B83</f>
        <v>1E-3</v>
      </c>
      <c r="M30" s="4"/>
    </row>
    <row r="31" spans="1:13" ht="13" customHeight="1">
      <c r="A31" s="2" t="s">
        <v>28</v>
      </c>
      <c r="B31" s="124">
        <v>2</v>
      </c>
      <c r="D31" s="14"/>
      <c r="E31" s="117" t="s">
        <v>250</v>
      </c>
      <c r="F31" s="8">
        <v>3.7</v>
      </c>
      <c r="G31" s="6" t="str">
        <f>IF(F31&lt;3.7, "Too Low", "V")</f>
        <v>V</v>
      </c>
      <c r="J31" s="16" t="s">
        <v>20</v>
      </c>
      <c r="K31" s="19">
        <f>B89</f>
        <v>5.1590693877551018E-2</v>
      </c>
      <c r="L31" s="19">
        <f>B88</f>
        <v>2.9533715630562504E-2</v>
      </c>
      <c r="M31" s="4"/>
    </row>
    <row r="32" spans="1:13" ht="13" customHeight="1">
      <c r="A32" s="2" t="s">
        <v>29</v>
      </c>
      <c r="B32" s="124">
        <v>15</v>
      </c>
      <c r="C32" s="6" t="s">
        <v>30</v>
      </c>
      <c r="E32" s="117" t="s">
        <v>252</v>
      </c>
      <c r="F32" s="8">
        <v>3.3</v>
      </c>
      <c r="G32" s="6" t="str">
        <f>IF(F32&lt;3.3,"Too Low", IF(F32&gt;F31, "Too High", "V"))</f>
        <v>V</v>
      </c>
      <c r="J32" s="16" t="s">
        <v>31</v>
      </c>
      <c r="K32" s="95">
        <f>B93</f>
        <v>8.2383673469387756E-4</v>
      </c>
      <c r="L32" s="16"/>
      <c r="M32" s="4"/>
    </row>
    <row r="33" spans="1:13" ht="13" customHeight="1">
      <c r="A33" s="2" t="s">
        <v>33</v>
      </c>
      <c r="B33" s="124">
        <v>5</v>
      </c>
      <c r="C33" s="6" t="s">
        <v>23</v>
      </c>
      <c r="E33" s="117"/>
      <c r="J33" s="4"/>
      <c r="K33" s="4"/>
      <c r="L33" s="4"/>
      <c r="M33" s="4"/>
    </row>
    <row r="34" spans="1:13" ht="13" customHeight="1">
      <c r="B34" s="125"/>
      <c r="E34" s="117" t="s">
        <v>266</v>
      </c>
      <c r="F34" s="129" t="str">
        <f>IF(F31=3.7, "Open",(0.924*F31-F32)/0.0041)</f>
        <v>Open</v>
      </c>
      <c r="G34" s="6" t="s">
        <v>251</v>
      </c>
      <c r="I34" s="17"/>
      <c r="J34" s="4"/>
      <c r="K34" s="4"/>
      <c r="L34" s="4"/>
      <c r="M34" s="4"/>
    </row>
    <row r="35" spans="1:13" ht="13" customHeight="1">
      <c r="A35" s="13" t="s">
        <v>34</v>
      </c>
      <c r="B35" s="126"/>
      <c r="E35" s="117" t="s">
        <v>267</v>
      </c>
      <c r="F35" s="129" t="str">
        <f>IF(F34="Open", "Open", 1.091*F34/(F32-1.09+0.0055*F34))</f>
        <v>Open</v>
      </c>
      <c r="G35" s="6" t="s">
        <v>251</v>
      </c>
      <c r="I35" s="17" t="s">
        <v>279</v>
      </c>
      <c r="J35" s="4"/>
      <c r="K35" s="4"/>
      <c r="L35" s="4"/>
      <c r="M35" s="4"/>
    </row>
    <row r="36" spans="1:13" ht="13" customHeight="1">
      <c r="A36" s="2" t="s">
        <v>35</v>
      </c>
      <c r="B36" s="119">
        <f>IF(OR(B17="AP64102",B17="AP64102Q",B17="AP64202",B17="AP64202Q"),150*(1+0.005*(F40+150*0.001*Iout^2*Vout/Vin*F39-25)), (IF(OR(B17="AP64352",B17="AP64352Q"),80*(1+0.005*(F40+80*0.001*Iout^2*Vout/Vin*F39-25)),45*(1+0.005*(F40+45*0.001*Iout^2*Vout/Vin*F39-25)))))</f>
        <v>91.234285714285733</v>
      </c>
      <c r="C36" s="6" t="s">
        <v>23</v>
      </c>
      <c r="E36" s="117" t="s">
        <v>264</v>
      </c>
      <c r="F36" s="129">
        <f>100000/Fs</f>
        <v>200</v>
      </c>
      <c r="G36" s="6" t="s">
        <v>251</v>
      </c>
      <c r="I36" s="17" t="s">
        <v>280</v>
      </c>
      <c r="J36" s="4"/>
      <c r="K36" s="4"/>
      <c r="L36" s="4"/>
      <c r="M36" s="4"/>
    </row>
    <row r="37" spans="1:13" ht="13" customHeight="1">
      <c r="B37" s="126"/>
      <c r="E37" s="135" t="s">
        <v>274</v>
      </c>
      <c r="F37" s="129" t="str">
        <f>IF(F29&lt;H37, "Open", IF(OR(B17="AP64352",B17="AP64352Q"), 3.7*F29, 1.27*F29))</f>
        <v>Open</v>
      </c>
      <c r="G37" s="6" t="s">
        <v>50</v>
      </c>
      <c r="H37" s="17">
        <f>IF(OR(B17="AP64352",B17="AP64352Q"),2.01,4)</f>
        <v>2.0099999999999998</v>
      </c>
      <c r="I37" s="17" t="s">
        <v>281</v>
      </c>
      <c r="J37" s="17"/>
      <c r="K37" s="17"/>
    </row>
    <row r="38" spans="1:13" ht="13" customHeight="1">
      <c r="A38" s="13" t="s">
        <v>36</v>
      </c>
      <c r="B38" s="125"/>
      <c r="E38" s="10"/>
      <c r="H38" s="17"/>
      <c r="I38" s="17" t="s">
        <v>282</v>
      </c>
      <c r="J38" s="17"/>
      <c r="K38" s="17"/>
    </row>
    <row r="39" spans="1:13" ht="13" customHeight="1">
      <c r="A39" s="2" t="s">
        <v>35</v>
      </c>
      <c r="B39" s="119">
        <f>IF(OR(B17="AP64102",B17="AP64102Q",B17="AP64202",B17="AP64202Q"),80*(1+0.005*(F40+80*0.001*Iout^2*(1-Vout/Vin)*F39-25)), (IF(OR(B17="AP64352",B17="AP64352Q"),50*(1+0.005*(F40+50*0.001*Iout^2*(1-Vout/Vin)*F39-25)),20*(1+0.005*(F40+20*0.001*Iout^2*(1-Vout/Vin)*F39-25)))))</f>
        <v>58.580357142857139</v>
      </c>
      <c r="C39" s="6" t="s">
        <v>23</v>
      </c>
      <c r="E39" s="116" t="s">
        <v>262</v>
      </c>
      <c r="F39" s="110">
        <v>25</v>
      </c>
      <c r="G39" s="22" t="s">
        <v>37</v>
      </c>
      <c r="H39" s="17"/>
      <c r="I39" s="17" t="s">
        <v>275</v>
      </c>
      <c r="J39" s="17" t="s">
        <v>256</v>
      </c>
      <c r="K39" s="17">
        <v>2</v>
      </c>
    </row>
    <row r="40" spans="1:13" ht="13" customHeight="1">
      <c r="B40" s="125"/>
      <c r="E40" s="21" t="s">
        <v>263</v>
      </c>
      <c r="F40" s="110">
        <v>50</v>
      </c>
      <c r="G40" s="22" t="s">
        <v>38</v>
      </c>
      <c r="H40" s="17"/>
      <c r="I40" s="17" t="s">
        <v>276</v>
      </c>
      <c r="J40" s="17" t="s">
        <v>257</v>
      </c>
      <c r="K40" s="17">
        <v>3.5</v>
      </c>
    </row>
    <row r="41" spans="1:13" ht="13" customHeight="1">
      <c r="A41" s="23" t="s">
        <v>39</v>
      </c>
      <c r="B41" s="127">
        <f>Tloss</f>
        <v>0.95935729012529614</v>
      </c>
      <c r="C41" s="24" t="s">
        <v>40</v>
      </c>
      <c r="E41" s="21" t="s">
        <v>283</v>
      </c>
      <c r="F41" s="25">
        <f>+F40+F39*F42</f>
        <v>70.905822015429564</v>
      </c>
      <c r="G41" s="22" t="str">
        <f>IF(F41&gt;H42,"Thermal too high","°C")</f>
        <v>°C</v>
      </c>
      <c r="H41" s="17"/>
      <c r="I41" s="17" t="s">
        <v>277</v>
      </c>
      <c r="J41" s="17"/>
      <c r="K41" s="17"/>
    </row>
    <row r="42" spans="1:13" ht="13" customHeight="1">
      <c r="A42" s="23" t="s">
        <v>41</v>
      </c>
      <c r="B42" s="127">
        <f>Efficiency</f>
        <v>78.958497238128672</v>
      </c>
      <c r="C42" s="24" t="s">
        <v>15</v>
      </c>
      <c r="E42" s="2" t="s">
        <v>42</v>
      </c>
      <c r="F42" s="26">
        <f>+K28+L28+K29+L29+L30</f>
        <v>0.83623288061718259</v>
      </c>
      <c r="G42" s="27" t="s">
        <v>43</v>
      </c>
      <c r="H42" s="17">
        <f>IF(OR(B17="AP64102Q", B17="AP64202Q",B17="AP64352Q",B17="AP64502Q"),145,125)</f>
        <v>125</v>
      </c>
      <c r="I42" s="17" t="s">
        <v>278</v>
      </c>
      <c r="J42" s="17"/>
      <c r="K42" s="17"/>
    </row>
    <row r="43" spans="1:13" ht="13" customHeight="1" thickBot="1">
      <c r="A43" s="1"/>
      <c r="B43" s="28"/>
      <c r="C43" s="1"/>
      <c r="D43" s="1"/>
      <c r="E43" s="1"/>
      <c r="F43" s="1"/>
      <c r="G43" s="1"/>
      <c r="H43" s="1"/>
      <c r="I43" s="4"/>
      <c r="J43" s="4"/>
      <c r="K43" s="4"/>
    </row>
    <row r="44" spans="1:13" s="29" customFormat="1" ht="13" customHeight="1">
      <c r="A44" s="2"/>
      <c r="B44" s="20"/>
      <c r="C44" s="2"/>
      <c r="D44" s="2"/>
      <c r="E44" s="2"/>
      <c r="F44" s="2"/>
      <c r="G44" s="2"/>
      <c r="H44" s="17"/>
      <c r="I44" s="4"/>
    </row>
    <row r="45" spans="1:13" s="30" customFormat="1" ht="13" customHeight="1">
      <c r="A45" s="137" t="s">
        <v>34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3" s="30" customFormat="1" ht="13" customHeight="1">
      <c r="A46" s="16" t="s">
        <v>44</v>
      </c>
      <c r="B46" s="138">
        <f>B36</f>
        <v>91.234285714285733</v>
      </c>
      <c r="C46" s="16" t="s">
        <v>23</v>
      </c>
      <c r="D46" s="16"/>
      <c r="E46" s="16"/>
      <c r="F46" s="16"/>
      <c r="G46" s="16"/>
      <c r="H46" s="16"/>
      <c r="I46" s="16"/>
      <c r="J46" s="16"/>
    </row>
    <row r="47" spans="1:13" s="30" customFormat="1" ht="13" customHeight="1">
      <c r="A47" s="16" t="s">
        <v>45</v>
      </c>
      <c r="B47" s="16">
        <v>1.2</v>
      </c>
      <c r="C47" s="16" t="s">
        <v>5</v>
      </c>
      <c r="D47" s="16"/>
      <c r="E47" s="16"/>
      <c r="F47" s="16"/>
      <c r="G47" s="16"/>
      <c r="H47" s="16"/>
      <c r="I47" s="16"/>
      <c r="J47" s="16"/>
    </row>
    <row r="48" spans="1:13" s="30" customFormat="1" ht="13" customHeight="1">
      <c r="A48" s="16" t="s">
        <v>46</v>
      </c>
      <c r="B48" s="16">
        <v>0.3</v>
      </c>
      <c r="C48" s="16" t="s">
        <v>47</v>
      </c>
      <c r="D48" s="16"/>
      <c r="E48" s="16"/>
      <c r="F48" s="16"/>
      <c r="G48" s="16"/>
      <c r="H48" s="16"/>
      <c r="I48" s="16"/>
      <c r="J48" s="16"/>
    </row>
    <row r="49" spans="1:10" s="30" customFormat="1" ht="13" customHeight="1">
      <c r="A49" s="16" t="s">
        <v>48</v>
      </c>
      <c r="B49" s="16">
        <v>0.2</v>
      </c>
      <c r="C49" s="16" t="s">
        <v>47</v>
      </c>
      <c r="D49" s="16"/>
      <c r="E49" s="16"/>
      <c r="F49" s="16"/>
      <c r="G49" s="16"/>
      <c r="H49" s="16"/>
      <c r="I49" s="16"/>
      <c r="J49"/>
    </row>
    <row r="50" spans="1:10" s="30" customFormat="1" ht="13" customHeight="1">
      <c r="A50" s="16" t="s">
        <v>49</v>
      </c>
      <c r="B50" s="139">
        <f>+E50/Ron_u</f>
        <v>0.32882375046974816</v>
      </c>
      <c r="C50" s="16" t="s">
        <v>50</v>
      </c>
      <c r="D50" s="16" t="s">
        <v>51</v>
      </c>
      <c r="E50" s="96">
        <v>30</v>
      </c>
      <c r="F50" s="16" t="s">
        <v>52</v>
      </c>
      <c r="G50" s="16"/>
      <c r="H50" s="16"/>
      <c r="I50" s="16"/>
      <c r="J50" s="16"/>
    </row>
    <row r="51" spans="1:10" s="30" customFormat="1" ht="13" customHeight="1">
      <c r="A51" s="16" t="s">
        <v>53</v>
      </c>
      <c r="B51" s="140">
        <f>+E51/Ron_u</f>
        <v>0.21921583364649877</v>
      </c>
      <c r="C51" s="16" t="s">
        <v>50</v>
      </c>
      <c r="D51" s="16" t="s">
        <v>54</v>
      </c>
      <c r="E51" s="96">
        <v>20</v>
      </c>
      <c r="F51" s="16" t="s">
        <v>52</v>
      </c>
      <c r="G51" s="16"/>
      <c r="H51" s="16"/>
      <c r="I51" s="16"/>
      <c r="J51" s="16"/>
    </row>
    <row r="52" spans="1:10" s="30" customFormat="1" ht="13" customHeight="1">
      <c r="A52" s="16" t="s">
        <v>55</v>
      </c>
      <c r="B52" s="16">
        <v>15</v>
      </c>
      <c r="C52" s="16" t="s">
        <v>4</v>
      </c>
      <c r="D52" s="16" t="s">
        <v>56</v>
      </c>
      <c r="E52" s="16"/>
      <c r="F52" s="16"/>
      <c r="G52" s="16"/>
      <c r="H52" s="16"/>
      <c r="I52" s="16"/>
      <c r="J52" s="16"/>
    </row>
    <row r="53" spans="1:10" s="30" customFormat="1" ht="13" customHeight="1">
      <c r="A53" s="31" t="s">
        <v>57</v>
      </c>
      <c r="B53" s="16">
        <v>12</v>
      </c>
      <c r="C53" s="31" t="s">
        <v>4</v>
      </c>
      <c r="D53" s="16" t="s">
        <v>58</v>
      </c>
      <c r="E53" s="16"/>
      <c r="F53" s="16"/>
      <c r="G53" s="16"/>
      <c r="H53" s="16"/>
      <c r="I53" s="16"/>
      <c r="J53" s="16"/>
    </row>
    <row r="54" spans="1:10" s="32" customFormat="1" ht="13" customHeight="1">
      <c r="A54" s="141" t="s">
        <v>59</v>
      </c>
      <c r="B54" s="142">
        <v>1</v>
      </c>
      <c r="C54" s="31"/>
      <c r="D54" s="31" t="s">
        <v>60</v>
      </c>
      <c r="E54" s="31"/>
      <c r="F54" s="31"/>
      <c r="G54" s="31"/>
      <c r="H54" s="31"/>
      <c r="I54" s="31"/>
      <c r="J54" s="31"/>
    </row>
    <row r="55" spans="1:10" s="30" customFormat="1" ht="13" customHeight="1">
      <c r="A55" s="16" t="s">
        <v>61</v>
      </c>
      <c r="B55" s="19">
        <f>Iu_rms^2*B46/B54/1000</f>
        <v>0.17150902626178122</v>
      </c>
      <c r="C55" s="16" t="s">
        <v>43</v>
      </c>
      <c r="D55" s="16" t="s">
        <v>62</v>
      </c>
      <c r="E55" s="16"/>
      <c r="F55" s="16"/>
      <c r="G55" s="16"/>
      <c r="H55" s="16"/>
      <c r="I55" s="16"/>
      <c r="J55" s="16"/>
    </row>
    <row r="56" spans="1:10" s="30" customFormat="1" ht="13" customHeight="1">
      <c r="A56" s="16" t="s">
        <v>63</v>
      </c>
      <c r="B56" s="19">
        <f>Vin*(Iout-0.5*Irip)*B52*10^(-9)*Fs*10^(3)/2</f>
        <v>5.2650000000000009E-2</v>
      </c>
      <c r="C56" s="16" t="s">
        <v>43</v>
      </c>
      <c r="D56" s="16" t="s">
        <v>64</v>
      </c>
      <c r="E56" s="16"/>
      <c r="F56" s="16"/>
      <c r="G56" s="16"/>
      <c r="H56" s="16"/>
      <c r="I56" s="16"/>
      <c r="J56" s="16"/>
    </row>
    <row r="57" spans="1:10" s="30" customFormat="1" ht="13" customHeight="1">
      <c r="A57" s="16" t="s">
        <v>65</v>
      </c>
      <c r="B57" s="19">
        <f>Vin*(Iout+0.5*Irip)*B53*10^(-9)*Fs*10^(3)/2</f>
        <v>8.3879999999999996E-2</v>
      </c>
      <c r="C57" s="16" t="s">
        <v>43</v>
      </c>
      <c r="D57" s="16" t="s">
        <v>66</v>
      </c>
      <c r="E57" s="16"/>
      <c r="F57" s="16"/>
      <c r="G57" s="16"/>
      <c r="H57" s="16"/>
      <c r="I57" s="16"/>
      <c r="J57" s="16"/>
    </row>
    <row r="58" spans="1:10" s="30" customFormat="1" ht="13" customHeight="1">
      <c r="A58" s="16" t="s">
        <v>67</v>
      </c>
      <c r="B58" s="19">
        <f>Vin*Fs*10^3*B48*10^(-9)*B54</f>
        <v>1.0500000000000002E-3</v>
      </c>
      <c r="C58" s="16" t="s">
        <v>43</v>
      </c>
      <c r="D58" s="16" t="s">
        <v>68</v>
      </c>
      <c r="E58" s="16"/>
      <c r="F58" s="16"/>
      <c r="G58" s="16"/>
      <c r="H58" s="16"/>
      <c r="I58" s="16"/>
      <c r="J58" s="16"/>
    </row>
    <row r="59" spans="1:10" s="30" customFormat="1" ht="13" customHeight="1">
      <c r="A59" s="16" t="s">
        <v>69</v>
      </c>
      <c r="B59" s="19">
        <f>0.5*B51*10^(-9)*Vin^2*Fs*10^3*B54</f>
        <v>2.6853939621696104E-3</v>
      </c>
      <c r="C59" s="16" t="s">
        <v>43</v>
      </c>
      <c r="D59" s="16" t="s">
        <v>70</v>
      </c>
      <c r="E59" s="16"/>
      <c r="F59" s="16"/>
      <c r="G59" s="16"/>
      <c r="H59" s="16"/>
      <c r="I59" s="16"/>
      <c r="J59" s="16"/>
    </row>
    <row r="60" spans="1:10" s="30" customFormat="1" ht="13" customHeight="1">
      <c r="A60" s="16" t="s">
        <v>71</v>
      </c>
      <c r="B60" s="19">
        <f>SUM(B55:B59)</f>
        <v>0.3117744202239508</v>
      </c>
      <c r="C60" s="16" t="s">
        <v>43</v>
      </c>
      <c r="D60" s="16" t="s">
        <v>72</v>
      </c>
      <c r="E60" s="16"/>
      <c r="F60" s="16"/>
      <c r="G60" s="16"/>
      <c r="H60" s="16"/>
      <c r="I60" s="16"/>
      <c r="J60" s="19"/>
    </row>
    <row r="61" spans="1:10" s="30" customFormat="1" ht="1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30" customFormat="1" ht="13" customHeight="1">
      <c r="A62" s="137" t="s">
        <v>36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s="30" customFormat="1" ht="13" customHeight="1">
      <c r="A63" s="16" t="s">
        <v>44</v>
      </c>
      <c r="B63" s="138">
        <f>B39</f>
        <v>58.580357142857139</v>
      </c>
      <c r="C63" s="16" t="s">
        <v>23</v>
      </c>
      <c r="D63" s="16"/>
      <c r="E63" s="16"/>
      <c r="F63" s="16"/>
      <c r="G63" s="16"/>
      <c r="H63" s="16"/>
      <c r="I63" s="16"/>
      <c r="J63" s="16"/>
    </row>
    <row r="64" spans="1:10" s="30" customFormat="1" ht="13" customHeight="1">
      <c r="A64" s="16" t="s">
        <v>45</v>
      </c>
      <c r="B64" s="16">
        <v>1.2</v>
      </c>
      <c r="C64" s="16" t="s">
        <v>5</v>
      </c>
      <c r="D64" s="16"/>
      <c r="E64" s="16"/>
      <c r="F64" s="16"/>
      <c r="G64" s="16"/>
      <c r="H64" s="16"/>
      <c r="I64" s="16"/>
      <c r="J64" s="16"/>
    </row>
    <row r="65" spans="1:10" s="30" customFormat="1" ht="13" customHeight="1">
      <c r="A65" s="16" t="s">
        <v>46</v>
      </c>
      <c r="B65" s="16">
        <v>0.3</v>
      </c>
      <c r="C65" s="16" t="s">
        <v>47</v>
      </c>
      <c r="D65" s="16"/>
      <c r="E65" s="16"/>
      <c r="F65" s="16"/>
      <c r="G65" s="16"/>
      <c r="H65" s="16"/>
      <c r="I65" s="16"/>
      <c r="J65" s="16"/>
    </row>
    <row r="66" spans="1:10" s="30" customFormat="1" ht="13" customHeight="1">
      <c r="A66" s="16" t="s">
        <v>48</v>
      </c>
      <c r="B66" s="16">
        <v>0.2</v>
      </c>
      <c r="C66" s="16" t="s">
        <v>47</v>
      </c>
      <c r="D66" s="16"/>
      <c r="E66" s="16"/>
      <c r="F66" s="16"/>
      <c r="G66" s="16"/>
      <c r="H66" s="16"/>
      <c r="I66" s="16"/>
      <c r="J66" s="16"/>
    </row>
    <row r="67" spans="1:10" s="30" customFormat="1" ht="13" customHeight="1">
      <c r="A67" s="16" t="s">
        <v>49</v>
      </c>
      <c r="B67" s="143">
        <f>+E67/Ron_l</f>
        <v>0.51211705532693186</v>
      </c>
      <c r="C67" s="16" t="s">
        <v>50</v>
      </c>
      <c r="D67" s="16" t="s">
        <v>51</v>
      </c>
      <c r="E67" s="96">
        <v>30</v>
      </c>
      <c r="F67" s="16" t="s">
        <v>52</v>
      </c>
      <c r="G67" s="16"/>
      <c r="H67" s="16"/>
      <c r="I67" s="16"/>
      <c r="J67" s="16"/>
    </row>
    <row r="68" spans="1:10" s="30" customFormat="1" ht="13" customHeight="1">
      <c r="A68" s="16" t="s">
        <v>53</v>
      </c>
      <c r="B68" s="140">
        <f>+E68/Ron_l</f>
        <v>0.34141137021795459</v>
      </c>
      <c r="C68" s="16" t="s">
        <v>50</v>
      </c>
      <c r="D68" s="16" t="s">
        <v>54</v>
      </c>
      <c r="E68" s="96">
        <v>20</v>
      </c>
      <c r="F68" s="16" t="s">
        <v>52</v>
      </c>
      <c r="G68" s="16"/>
      <c r="H68" s="16"/>
      <c r="I68" s="16"/>
      <c r="J68" s="16"/>
    </row>
    <row r="69" spans="1:10" s="30" customFormat="1" ht="13" customHeight="1">
      <c r="A69" s="16" t="s">
        <v>73</v>
      </c>
      <c r="B69" s="16">
        <v>20.2</v>
      </c>
      <c r="C69" s="16" t="s">
        <v>4</v>
      </c>
      <c r="D69" s="16" t="s">
        <v>74</v>
      </c>
      <c r="E69" s="16"/>
      <c r="F69" s="16"/>
      <c r="G69" s="16"/>
      <c r="H69" s="16"/>
      <c r="I69" s="16"/>
      <c r="J69" s="16"/>
    </row>
    <row r="70" spans="1:10" s="30" customFormat="1" ht="13" customHeight="1">
      <c r="A70" s="31" t="s">
        <v>75</v>
      </c>
      <c r="B70" s="31">
        <v>28.2</v>
      </c>
      <c r="C70" s="31" t="s">
        <v>4</v>
      </c>
      <c r="D70" s="16" t="s">
        <v>76</v>
      </c>
      <c r="E70" s="16"/>
      <c r="F70" s="16"/>
      <c r="G70" s="16"/>
      <c r="H70" s="16"/>
      <c r="I70" s="16"/>
      <c r="J70" s="16"/>
    </row>
    <row r="71" spans="1:10" s="32" customFormat="1" ht="13" customHeight="1">
      <c r="A71" s="31" t="s">
        <v>59</v>
      </c>
      <c r="B71" s="142">
        <v>1</v>
      </c>
      <c r="C71" s="31"/>
      <c r="D71" s="31" t="s">
        <v>77</v>
      </c>
      <c r="E71" s="31"/>
      <c r="F71" s="31"/>
      <c r="G71" s="31"/>
      <c r="H71" s="31"/>
      <c r="I71" s="31"/>
      <c r="J71" s="31"/>
    </row>
    <row r="72" spans="1:10" s="30" customFormat="1" ht="13" customHeight="1">
      <c r="A72" s="16" t="s">
        <v>61</v>
      </c>
      <c r="B72" s="19">
        <f>Il_rms^2*B63/1000/B71</f>
        <v>0.43640374253663328</v>
      </c>
      <c r="C72" s="16" t="s">
        <v>43</v>
      </c>
      <c r="D72" s="16" t="s">
        <v>78</v>
      </c>
      <c r="E72" s="16"/>
      <c r="F72" s="16"/>
      <c r="G72" s="16"/>
      <c r="H72" s="16"/>
      <c r="I72" s="16"/>
      <c r="J72" s="16"/>
    </row>
    <row r="73" spans="1:10" s="30" customFormat="1" ht="12.75" customHeight="1">
      <c r="A73" s="16" t="s">
        <v>67</v>
      </c>
      <c r="B73" s="19">
        <f>B64*Fs*10^(-6)*((Iout+0.5*Irip)*B69+(Iout-0.5*Irip)*B70)</f>
        <v>8.2347428571428558E-2</v>
      </c>
      <c r="C73" s="16" t="s">
        <v>43</v>
      </c>
      <c r="D73" s="16" t="s">
        <v>79</v>
      </c>
      <c r="E73" s="16"/>
      <c r="F73" s="16"/>
      <c r="G73" s="16"/>
      <c r="H73" s="16"/>
      <c r="I73" s="16"/>
      <c r="J73" s="16"/>
    </row>
    <row r="74" spans="1:10" s="30" customFormat="1" ht="13" customHeight="1">
      <c r="A74" s="16" t="s">
        <v>80</v>
      </c>
      <c r="B74" s="19">
        <f>0.5*B65*Vin* Fs*10^(-6)*B71</f>
        <v>5.2499999999999997E-4</v>
      </c>
      <c r="C74" s="16" t="s">
        <v>43</v>
      </c>
      <c r="D74" s="16" t="s">
        <v>243</v>
      </c>
      <c r="E74" s="16"/>
      <c r="F74" s="16"/>
      <c r="G74" s="16"/>
      <c r="H74" s="16"/>
      <c r="I74" s="16"/>
      <c r="J74" s="16"/>
    </row>
    <row r="75" spans="1:10" s="30" customFormat="1" ht="13" customHeight="1">
      <c r="A75" s="16" t="s">
        <v>69</v>
      </c>
      <c r="B75" s="19">
        <f>B68*10^(-9)*B71*Vin^2*Fs*1000/2</f>
        <v>4.1822892851699446E-3</v>
      </c>
      <c r="C75" s="16" t="s">
        <v>43</v>
      </c>
      <c r="D75" s="16" t="s">
        <v>70</v>
      </c>
      <c r="E75" s="16"/>
      <c r="F75" s="16"/>
      <c r="G75" s="16"/>
      <c r="H75" s="16"/>
      <c r="I75" s="16"/>
      <c r="J75" s="16"/>
    </row>
    <row r="76" spans="1:10" s="30" customFormat="1" ht="13" customHeight="1">
      <c r="A76" s="16" t="s">
        <v>81</v>
      </c>
      <c r="B76" s="19">
        <f>B72+B73+B74+B75</f>
        <v>0.52345846039323174</v>
      </c>
      <c r="C76" s="16" t="s">
        <v>43</v>
      </c>
      <c r="D76" s="16" t="s">
        <v>82</v>
      </c>
      <c r="E76" s="16"/>
      <c r="F76" s="16"/>
      <c r="G76" s="16"/>
      <c r="H76" s="16"/>
      <c r="I76" s="16"/>
      <c r="J76" s="16"/>
    </row>
    <row r="77" spans="1:10" s="30" customFormat="1" ht="1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30" customFormat="1" ht="13" customHeight="1">
      <c r="A78" s="144" t="s">
        <v>83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30" customFormat="1" ht="13" customHeight="1">
      <c r="A79" s="16" t="s">
        <v>84</v>
      </c>
      <c r="B79" s="16">
        <f>IF(Vin&lt;5.7, Vin, 5)</f>
        <v>5</v>
      </c>
      <c r="C79" s="16" t="s">
        <v>5</v>
      </c>
      <c r="D79" s="16"/>
      <c r="E79" s="16"/>
      <c r="F79" s="16"/>
      <c r="G79" s="16"/>
      <c r="H79" s="16"/>
      <c r="I79" s="16"/>
      <c r="J79" s="16"/>
    </row>
    <row r="80" spans="1:10" s="32" customFormat="1" ht="13" customHeight="1">
      <c r="A80" s="31" t="s">
        <v>85</v>
      </c>
      <c r="B80" s="16">
        <f>IF(Vin&lt;5.7, Vin, 5)</f>
        <v>5</v>
      </c>
      <c r="C80" s="31" t="s">
        <v>5</v>
      </c>
      <c r="D80" s="31"/>
      <c r="E80" s="31"/>
      <c r="F80" s="31"/>
      <c r="G80" s="31"/>
      <c r="H80" s="31"/>
      <c r="I80" s="31"/>
      <c r="J80" s="31"/>
    </row>
    <row r="81" spans="1:10" s="32" customFormat="1" ht="13" customHeight="1">
      <c r="A81" s="31" t="s">
        <v>86</v>
      </c>
      <c r="B81" s="31">
        <v>6</v>
      </c>
      <c r="C81" s="31" t="s">
        <v>87</v>
      </c>
      <c r="D81" s="31" t="s">
        <v>88</v>
      </c>
      <c r="E81" s="31"/>
      <c r="F81" s="31"/>
      <c r="G81" s="31"/>
      <c r="H81" s="31"/>
      <c r="I81" s="31"/>
      <c r="J81" s="31"/>
    </row>
    <row r="82" spans="1:10" s="30" customFormat="1" ht="13" customHeight="1">
      <c r="A82" s="16" t="s">
        <v>89</v>
      </c>
      <c r="B82" s="19">
        <f>Fs*B79*B49*10^(-6)*B54</f>
        <v>5.0000000000000001E-4</v>
      </c>
      <c r="C82" s="16" t="s">
        <v>43</v>
      </c>
      <c r="D82" s="16" t="s">
        <v>90</v>
      </c>
      <c r="E82" s="16"/>
      <c r="F82" s="16"/>
      <c r="G82" s="16"/>
      <c r="H82" s="16"/>
      <c r="I82" s="16"/>
      <c r="J82" s="16"/>
    </row>
    <row r="83" spans="1:10" s="30" customFormat="1" ht="13" customHeight="1">
      <c r="A83" s="16" t="s">
        <v>91</v>
      </c>
      <c r="B83" s="19">
        <f>Fs*B80*B66*10^(-6)*B71</f>
        <v>5.0000000000000001E-4</v>
      </c>
      <c r="C83" s="16" t="s">
        <v>43</v>
      </c>
      <c r="D83" s="16" t="s">
        <v>92</v>
      </c>
      <c r="E83" s="16"/>
      <c r="F83" s="16"/>
      <c r="G83" s="16"/>
      <c r="H83" s="16"/>
      <c r="I83" s="16"/>
      <c r="J83" s="16"/>
    </row>
    <row r="84" spans="1:10" s="30" customFormat="1" ht="13" customHeight="1">
      <c r="A84" s="145" t="s">
        <v>93</v>
      </c>
      <c r="B84" s="146">
        <f>+(Vin-B80)*B81/1000</f>
        <v>1.2E-2</v>
      </c>
      <c r="C84" s="145" t="s">
        <v>43</v>
      </c>
      <c r="D84" s="145" t="s">
        <v>94</v>
      </c>
      <c r="E84" s="145"/>
      <c r="F84" s="16"/>
      <c r="G84" s="16"/>
      <c r="H84" s="16"/>
      <c r="I84" s="16"/>
      <c r="J84" s="16"/>
    </row>
    <row r="85" spans="1:10" s="30" customFormat="1" ht="13" customHeight="1">
      <c r="A85" s="16" t="s">
        <v>95</v>
      </c>
      <c r="B85" s="19">
        <f>B82+B83+B84+B81*B80*0.001</f>
        <v>4.2999999999999997E-2</v>
      </c>
      <c r="C85" s="16" t="s">
        <v>43</v>
      </c>
      <c r="D85" s="16" t="s">
        <v>96</v>
      </c>
      <c r="E85" s="16"/>
      <c r="F85" s="16"/>
      <c r="G85" s="16"/>
      <c r="H85" s="16"/>
      <c r="I85" s="16"/>
      <c r="J85" s="16"/>
    </row>
    <row r="86" spans="1:10" s="30" customFormat="1" ht="1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30" customFormat="1" ht="13" customHeight="1">
      <c r="A87" s="144" t="s">
        <v>97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s="30" customFormat="1" ht="13" customHeight="1">
      <c r="A88" s="16" t="s">
        <v>98</v>
      </c>
      <c r="B88" s="19">
        <f>0.7*10^(-9)*(Fs)^1.35*(57.8*0.5*Irip)^2.263</f>
        <v>2.9533715630562504E-2</v>
      </c>
      <c r="C88" s="16" t="s">
        <v>43</v>
      </c>
      <c r="D88" s="16" t="s">
        <v>99</v>
      </c>
      <c r="E88" s="16"/>
      <c r="F88" s="16"/>
      <c r="G88" s="16"/>
      <c r="H88" s="16"/>
      <c r="I88" s="16"/>
      <c r="J88" s="16"/>
    </row>
    <row r="89" spans="1:10" s="30" customFormat="1" ht="13" customHeight="1">
      <c r="A89" s="16" t="s">
        <v>100</v>
      </c>
      <c r="B89" s="19">
        <f>DCR/1000*(Iout*SQRT(1+1/3*(Irip/Iout)^2))^2</f>
        <v>5.1590693877551018E-2</v>
      </c>
      <c r="C89" s="16" t="s">
        <v>43</v>
      </c>
      <c r="D89" s="16" t="s">
        <v>101</v>
      </c>
      <c r="E89" s="16"/>
      <c r="F89" s="16"/>
      <c r="G89" s="16"/>
      <c r="H89" s="16"/>
      <c r="I89" s="16"/>
      <c r="J89" s="16"/>
    </row>
    <row r="90" spans="1:10" s="30" customFormat="1" ht="13" customHeight="1">
      <c r="A90" s="16" t="s">
        <v>102</v>
      </c>
      <c r="B90" s="19">
        <f>B88+B89</f>
        <v>8.1124409508113518E-2</v>
      </c>
      <c r="C90" s="16" t="s">
        <v>43</v>
      </c>
      <c r="D90" s="16" t="s">
        <v>103</v>
      </c>
      <c r="E90" s="16"/>
      <c r="F90" s="16"/>
      <c r="G90" s="16"/>
      <c r="H90" s="16"/>
      <c r="I90" s="16"/>
      <c r="J90" s="16"/>
    </row>
    <row r="91" spans="1:10" s="30" customFormat="1" ht="13" customHeight="1">
      <c r="A91" s="16"/>
      <c r="B91" s="19"/>
      <c r="C91" s="16"/>
      <c r="D91" s="16"/>
      <c r="E91" s="16"/>
      <c r="F91" s="16"/>
      <c r="G91" s="16"/>
      <c r="H91" s="16"/>
      <c r="I91" s="16"/>
      <c r="J91" s="16"/>
    </row>
    <row r="92" spans="1:10" s="30" customFormat="1" ht="13" customHeight="1">
      <c r="A92" s="144" t="s">
        <v>104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s="30" customFormat="1" ht="13" customHeight="1">
      <c r="A93" s="16" t="s">
        <v>105</v>
      </c>
      <c r="B93" s="147">
        <f>(0.5*Irip/SQRT(3))^2*B33/B31/1000</f>
        <v>8.2383673469387756E-4</v>
      </c>
      <c r="C93" s="16" t="s">
        <v>43</v>
      </c>
      <c r="D93" s="16" t="s">
        <v>106</v>
      </c>
      <c r="E93" s="16"/>
      <c r="F93" s="16"/>
      <c r="G93" s="16"/>
      <c r="H93" s="16"/>
      <c r="I93" s="16"/>
      <c r="J93" s="16"/>
    </row>
    <row r="94" spans="1:10" s="30" customFormat="1" ht="1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s="30" customFormat="1" ht="13" customHeight="1">
      <c r="A95" s="137" t="s">
        <v>39</v>
      </c>
      <c r="B95" s="148">
        <f>B85+B76+B60+B90</f>
        <v>0.95935729012529614</v>
      </c>
      <c r="C95" s="144" t="s">
        <v>43</v>
      </c>
      <c r="D95" s="16"/>
      <c r="E95" s="16"/>
      <c r="F95" s="16"/>
      <c r="G95" s="16"/>
      <c r="H95" s="16"/>
      <c r="I95" s="16"/>
      <c r="J95" s="16"/>
    </row>
    <row r="96" spans="1:10" s="30" customFormat="1" ht="13" customHeight="1">
      <c r="A96" s="137" t="s">
        <v>41</v>
      </c>
      <c r="B96" s="148">
        <f>Vout*Iout/(Vout*Iout+B95)*100</f>
        <v>78.958497238128672</v>
      </c>
      <c r="C96" s="144" t="s">
        <v>15</v>
      </c>
      <c r="D96" s="16"/>
      <c r="E96" s="16"/>
      <c r="F96" s="16"/>
      <c r="G96" s="16"/>
      <c r="H96" s="16"/>
      <c r="I96" s="16"/>
      <c r="J96" s="16"/>
    </row>
    <row r="97" spans="1:10" s="29" customFormat="1" ht="1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3" customHeight="1">
      <c r="A98" s="4"/>
      <c r="B98" s="4"/>
      <c r="C98" s="4"/>
      <c r="D98" s="4"/>
      <c r="E98" s="4"/>
      <c r="F98" s="4"/>
      <c r="G98" s="4"/>
      <c r="H98" s="17"/>
      <c r="I98" s="17"/>
      <c r="J98" s="17"/>
    </row>
    <row r="99" spans="1:10" ht="13" customHeight="1">
      <c r="A99" s="4"/>
      <c r="B99" s="4"/>
      <c r="C99" s="4"/>
      <c r="D99" s="4"/>
      <c r="E99" s="4"/>
      <c r="F99" s="4"/>
      <c r="G99" s="4"/>
      <c r="H99" s="17"/>
      <c r="I99" s="17"/>
      <c r="J99" s="17"/>
    </row>
    <row r="100" spans="1:10" ht="13" customHeight="1">
      <c r="A100" s="4"/>
      <c r="B100" s="33"/>
      <c r="C100" s="4"/>
      <c r="D100" s="4"/>
      <c r="E100" s="4"/>
      <c r="F100" s="4"/>
      <c r="G100" s="4"/>
      <c r="H100" s="17"/>
      <c r="I100" s="17"/>
      <c r="J100" s="17"/>
    </row>
    <row r="101" spans="1:10" ht="13" customHeight="1">
      <c r="A101" s="4"/>
      <c r="B101" s="4"/>
      <c r="C101" s="4"/>
      <c r="D101" s="4"/>
      <c r="E101" s="4"/>
      <c r="F101" s="4"/>
      <c r="G101" s="4"/>
      <c r="H101" s="17"/>
      <c r="I101" s="17"/>
      <c r="J101" s="17"/>
    </row>
    <row r="102" spans="1:10" ht="13" customHeight="1">
      <c r="A102" s="4"/>
      <c r="B102" s="4"/>
      <c r="C102" s="4"/>
      <c r="D102" s="4"/>
      <c r="E102" s="4"/>
      <c r="F102" s="4"/>
      <c r="G102" s="4"/>
      <c r="H102" s="17"/>
      <c r="I102" s="17"/>
      <c r="J102" s="17"/>
    </row>
    <row r="103" spans="1:10" ht="13" customHeight="1">
      <c r="A103" s="4"/>
      <c r="B103" s="4"/>
      <c r="C103" s="4"/>
      <c r="D103" s="4"/>
      <c r="E103" s="4"/>
      <c r="F103" s="4"/>
      <c r="G103" s="4"/>
      <c r="H103" s="17"/>
      <c r="I103" s="17"/>
      <c r="J103" s="17"/>
    </row>
    <row r="104" spans="1:10" ht="13" customHeight="1">
      <c r="A104" s="4"/>
      <c r="B104" s="4"/>
      <c r="C104" s="4"/>
      <c r="D104" s="4"/>
      <c r="E104" s="4"/>
      <c r="F104" s="4"/>
      <c r="G104" s="4"/>
      <c r="H104" s="17"/>
      <c r="I104" s="17"/>
      <c r="J104" s="17"/>
    </row>
    <row r="105" spans="1:10" ht="13" customHeight="1">
      <c r="A105" s="4"/>
      <c r="B105" s="4"/>
      <c r="C105" s="4"/>
      <c r="D105" s="4"/>
      <c r="E105" s="4"/>
      <c r="F105" s="4"/>
      <c r="G105" s="4"/>
      <c r="H105" s="17"/>
      <c r="I105" s="17"/>
      <c r="J105" s="17"/>
    </row>
    <row r="106" spans="1:10" ht="13" customHeight="1">
      <c r="A106" s="4"/>
      <c r="B106" s="4"/>
      <c r="C106" s="4"/>
      <c r="D106" s="4"/>
      <c r="E106" s="4"/>
      <c r="F106" s="4"/>
      <c r="G106" s="4"/>
      <c r="H106" s="17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B19">
    <cfRule type="cellIs" dxfId="6" priority="8" operator="between">
      <formula>3.8</formula>
      <formula>40</formula>
    </cfRule>
  </conditionalFormatting>
  <conditionalFormatting sqref="A19">
    <cfRule type="containsText" dxfId="5" priority="7" operator="containsText" text="Input Voltage (3.8V-40V)">
      <formula>NOT(ISERROR(SEARCH("Input Voltage (3.8V-40V)",A19)))</formula>
    </cfRule>
  </conditionalFormatting>
  <conditionalFormatting sqref="B20">
    <cfRule type="cellIs" dxfId="4" priority="6" operator="between">
      <formula>0.8</formula>
      <formula>$B$19</formula>
    </cfRule>
  </conditionalFormatting>
  <conditionalFormatting sqref="A20">
    <cfRule type="containsText" dxfId="3" priority="2" operator="containsText" text="Output Voltage">
      <formula>NOT(ISERROR(SEARCH("Output Voltage",A20)))</formula>
    </cfRule>
    <cfRule type="containsText" dxfId="2" priority="1" operator="containsText" text="Output Voltage">
      <formula>NOT(ISERROR(SEARCH("Output Voltage",A20)))</formula>
    </cfRule>
  </conditionalFormatting>
  <dataValidations count="1">
    <dataValidation type="list" allowBlank="1" showInputMessage="1" showErrorMessage="1" sqref="B17">
      <formula1>$I$35:$I$42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44" r:id="rId4">
          <objectPr defaultSize="0" autoPict="0" r:id="rId5">
            <anchor moveWithCells="1">
              <from>
                <xdr:col>7</xdr:col>
                <xdr:colOff>317500</xdr:colOff>
                <xdr:row>17</xdr:row>
                <xdr:rowOff>31750</xdr:rowOff>
              </from>
              <to>
                <xdr:col>16</xdr:col>
                <xdr:colOff>298450</xdr:colOff>
                <xdr:row>34</xdr:row>
                <xdr:rowOff>76200</xdr:rowOff>
              </to>
            </anchor>
          </objectPr>
        </oleObject>
      </mc:Choice>
      <mc:Fallback>
        <oleObject progId="Visio.Drawing.11" shapeId="10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workbookViewId="0">
      <selection activeCell="B9" sqref="B9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81640625" style="2" customWidth="1"/>
    <col min="5" max="5" width="12.179687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16" ht="16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3" customHeight="1">
      <c r="A7" s="35" t="s">
        <v>107</v>
      </c>
      <c r="B7" s="36"/>
      <c r="C7" s="36"/>
      <c r="D7" s="36"/>
      <c r="E7" s="36"/>
      <c r="F7" s="36"/>
    </row>
    <row r="9" spans="1:16" ht="13" customHeight="1">
      <c r="A9" s="2" t="s">
        <v>108</v>
      </c>
      <c r="B9" s="5">
        <v>1E-3</v>
      </c>
      <c r="C9" s="6" t="s">
        <v>10</v>
      </c>
      <c r="D9" s="2" t="s">
        <v>261</v>
      </c>
      <c r="E9" s="9">
        <f>Irip/2</f>
        <v>0.99428571428571422</v>
      </c>
      <c r="F9" s="6" t="s">
        <v>10</v>
      </c>
      <c r="G9" s="29"/>
      <c r="H9" s="29"/>
      <c r="I9" s="29"/>
    </row>
    <row r="10" spans="1:16" ht="13" customHeight="1">
      <c r="A10" s="2" t="s">
        <v>109</v>
      </c>
      <c r="B10" s="5">
        <f>+Iout</f>
        <v>3</v>
      </c>
      <c r="C10" s="6" t="s">
        <v>10</v>
      </c>
      <c r="D10" s="29"/>
      <c r="E10" s="29"/>
      <c r="F10" s="29"/>
      <c r="G10" s="29"/>
      <c r="H10" s="29"/>
      <c r="I10" s="10" t="str">
        <f>IF(B10&gt;6,"Over Limit of IC!"," ")</f>
        <v xml:space="preserve"> </v>
      </c>
    </row>
    <row r="11" spans="1:16" s="37" customFormat="1" ht="16.5" customHeight="1">
      <c r="A11" s="97"/>
      <c r="B11" s="97"/>
      <c r="C11" s="97"/>
      <c r="D11" s="97"/>
      <c r="E11" s="97"/>
      <c r="F11" s="97"/>
      <c r="G11" s="97"/>
      <c r="H11" s="97"/>
    </row>
    <row r="12" spans="1:16" s="37" customFormat="1" ht="13" customHeight="1">
      <c r="A12" s="97" t="s">
        <v>9</v>
      </c>
      <c r="B12" s="97" t="s">
        <v>110</v>
      </c>
      <c r="C12" s="97" t="s">
        <v>41</v>
      </c>
      <c r="D12" s="97" t="s">
        <v>111</v>
      </c>
      <c r="E12" s="97" t="s">
        <v>112</v>
      </c>
      <c r="F12" s="97" t="s">
        <v>113</v>
      </c>
      <c r="G12" s="97" t="s">
        <v>114</v>
      </c>
      <c r="H12" s="97" t="s">
        <v>115</v>
      </c>
      <c r="I12" s="97"/>
      <c r="J12" s="38"/>
      <c r="K12" s="38"/>
    </row>
    <row r="13" spans="1:16" s="37" customFormat="1" ht="13" customHeight="1">
      <c r="A13" s="149">
        <f>Imin</f>
        <v>1E-3</v>
      </c>
      <c r="B13" s="150">
        <f t="shared" ref="B13:B24" si="0">SUM(D13:H13)</f>
        <v>7.9047843832543097E-2</v>
      </c>
      <c r="C13" s="151">
        <f>(Vout*A13)/((Vout*A13)+B13)*100</f>
        <v>1.4953672805266838</v>
      </c>
      <c r="D13" s="152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1.8605470654982616E-2</v>
      </c>
      <c r="E13" s="152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1.5984479711676953E-2</v>
      </c>
      <c r="F13" s="152">
        <f>B44*'Power Loss'!$B$79*'Power Loss'!$B$49*10^(-6)*'Power Loss'!$B$54+B44*'Power Loss'!$B$80*'Power Loss'!$B$66*10^(-6)*'Power Loss'!$B$71+'Power Loss'!$B$80*'Power Loss'!$B$81*0.001</f>
        <v>3.0333556982651201E-2</v>
      </c>
      <c r="G13" s="152">
        <f>0.7*10^(-9)*(B44)^1.35*(57.8*0.5*E44)^2.263+DCR/1000*(A13*SQRT(1+1/3*(E44/A13)^2))^2</f>
        <v>1.3300404759489858E-2</v>
      </c>
      <c r="H13" s="152">
        <f>(0.5*E44/SQRT(3))^2*'Power Loss'!$B$33/'Power Loss'!$B$31/1000</f>
        <v>8.2393172374246697E-4</v>
      </c>
      <c r="I13" s="97"/>
      <c r="J13" s="38"/>
      <c r="K13" s="38"/>
    </row>
    <row r="14" spans="1:16" s="37" customFormat="1" ht="13" customHeight="1">
      <c r="A14" s="149">
        <f>Imin+(Imax-Imin)*0.001</f>
        <v>3.9990000000000008E-3</v>
      </c>
      <c r="B14" s="150">
        <f t="shared" si="0"/>
        <v>7.9185827021933011E-2</v>
      </c>
      <c r="C14" s="151">
        <f t="shared" ref="C14:C24" si="1">Vout*A14/(Vout*A14+B14)*100</f>
        <v>5.7139028536100653</v>
      </c>
      <c r="D14" s="152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1.868474760719973E-2</v>
      </c>
      <c r="E14" s="152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1.6018974492278577E-2</v>
      </c>
      <c r="F14" s="152">
        <f>B45*'Power Loss'!$B$79*'Power Loss'!$B$49*10^(-6)*'Power Loss'!$B$54+B45*'Power Loss'!$B$80*'Power Loss'!$B$66*10^(-6)*'Power Loss'!$B$71+'Power Loss'!$B$80*'Power Loss'!$B$81*0.001</f>
        <v>3.0334229510218347E-2</v>
      </c>
      <c r="G14" s="152">
        <f t="shared" ref="G14:G41" si="2">0.7*10^(-9)*(B45)^1.35*(57.8*0.5*E45)^2.263+DCR/1000*(A14*SQRT(1+1/3*(E45/A14)^2))^2</f>
        <v>1.3323658778185914E-2</v>
      </c>
      <c r="H14" s="152">
        <f>(0.5*E45/SQRT(3))^2*'Power Loss'!$B$33/'Power Loss'!$B$31/1000</f>
        <v>8.2421663405045657E-4</v>
      </c>
      <c r="I14" s="97"/>
      <c r="J14" s="38"/>
      <c r="K14" s="38"/>
    </row>
    <row r="15" spans="1:16" s="37" customFormat="1" ht="13" customHeight="1">
      <c r="A15" s="149">
        <f>Imin+(Imax-Imin)*0.002</f>
        <v>6.9980000000000007E-3</v>
      </c>
      <c r="B15" s="150">
        <f t="shared" si="0"/>
        <v>7.9325317330093237E-2</v>
      </c>
      <c r="C15" s="151">
        <f t="shared" si="1"/>
        <v>9.5728690467516095</v>
      </c>
      <c r="D15" s="152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1.8764346662257625E-2</v>
      </c>
      <c r="E15" s="152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1.6054459343122218E-2</v>
      </c>
      <c r="F15" s="152">
        <f>B46*'Power Loss'!$B$79*'Power Loss'!$B$49*10^(-6)*'Power Loss'!$B$54+B46*'Power Loss'!$B$80*'Power Loss'!$B$66*10^(-6)*'Power Loss'!$B$71+'Power Loss'!$B$80*'Power Loss'!$B$81*0.001</f>
        <v>3.0334904755204832E-2</v>
      </c>
      <c r="G15" s="152">
        <f t="shared" si="2"/>
        <v>1.3347104967924506E-2</v>
      </c>
      <c r="H15" s="152">
        <f>(0.5*E46/SQRT(3))^2*'Power Loss'!$B$33/'Power Loss'!$B$31/1000</f>
        <v>8.2450160158405725E-4</v>
      </c>
      <c r="I15" s="97"/>
      <c r="J15" s="38"/>
      <c r="K15" s="38"/>
    </row>
    <row r="16" spans="1:16" s="37" customFormat="1" ht="13" customHeight="1">
      <c r="A16" s="149">
        <f>Imin+(Imax-Imin)*0.004</f>
        <v>1.2996000000000001E-2</v>
      </c>
      <c r="B16" s="150">
        <f t="shared" si="0"/>
        <v>7.9608826165141089E-2</v>
      </c>
      <c r="C16" s="151">
        <f t="shared" si="1"/>
        <v>16.38081983313241</v>
      </c>
      <c r="D16" s="152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1.8924512626449303E-2</v>
      </c>
      <c r="E16" s="152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1.6128401713788716E-2</v>
      </c>
      <c r="F16" s="152">
        <f>B47*'Power Loss'!$B$79*'Power Loss'!$B$49*10^(-6)*'Power Loss'!$B$54+B47*'Power Loss'!$B$80*'Power Loss'!$B$66*10^(-6)*'Power Loss'!$B$71+'Power Loss'!$B$80*'Power Loss'!$B$81*0.001</f>
        <v>3.0336263463583247E-2</v>
      </c>
      <c r="G16" s="152">
        <f t="shared" si="2"/>
        <v>1.3394576652973857E-2</v>
      </c>
      <c r="H16" s="152">
        <f>(0.5*E47/SQRT(3))^2*'Power Loss'!$B$33/'Power Loss'!$B$31/1000</f>
        <v>8.2507170834596839E-4</v>
      </c>
      <c r="I16" s="97"/>
      <c r="J16" s="38"/>
      <c r="K16" s="38"/>
    </row>
    <row r="17" spans="1:11" s="37" customFormat="1" ht="13" customHeight="1">
      <c r="A17" s="149">
        <f>Imin+(Imax-Imin)*0.006</f>
        <v>1.8994E-2</v>
      </c>
      <c r="B17" s="150">
        <f t="shared" si="0"/>
        <v>7.9898384203344386E-2</v>
      </c>
      <c r="C17" s="151">
        <f t="shared" si="1"/>
        <v>22.195478781184118</v>
      </c>
      <c r="D17" s="152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1.9085971658316686E-2</v>
      </c>
      <c r="E17" s="152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1.6206311797837075E-2</v>
      </c>
      <c r="F17" s="152">
        <f>B48*'Power Loss'!$B$79*'Power Loss'!$B$49*10^(-6)*'Power Loss'!$B$54+B48*'Power Loss'!$B$80*'Power Loss'!$B$66*10^(-6)*'Power Loss'!$B$71+'Power Loss'!$B$80*'Power Loss'!$B$81*0.001</f>
        <v>3.0337633241428529E-2</v>
      </c>
      <c r="G17" s="152">
        <f t="shared" si="2"/>
        <v>1.3442825461698128E-2</v>
      </c>
      <c r="H17" s="152">
        <f>(0.5*E48/SQRT(3))^2*'Power Loss'!$B$33/'Power Loss'!$B$31/1000</f>
        <v>8.2564204406395867E-4</v>
      </c>
      <c r="I17" s="97"/>
      <c r="J17" s="38"/>
      <c r="K17" s="38"/>
    </row>
    <row r="18" spans="1:11" s="37" customFormat="1" ht="13" customHeight="1">
      <c r="A18" s="149">
        <f>Imin+(Imax-Imin)*0.008</f>
        <v>2.4992000000000004E-2</v>
      </c>
      <c r="B18" s="150">
        <f t="shared" si="0"/>
        <v>8.019400553900996E-2</v>
      </c>
      <c r="C18" s="151">
        <f t="shared" si="1"/>
        <v>27.218370742475102</v>
      </c>
      <c r="D18" s="152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1.9248726900510112E-2</v>
      </c>
      <c r="E18" s="152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1.6288194662996577E-2</v>
      </c>
      <c r="F18" s="152">
        <f>B49*'Power Loss'!$B$79*'Power Loss'!$B$49*10^(-6)*'Power Loss'!$B$54+B49*'Power Loss'!$B$80*'Power Loss'!$B$66*10^(-6)*'Power Loss'!$B$71+'Power Loss'!$B$80*'Power Loss'!$B$81*0.001</f>
        <v>3.0339014224569257E-2</v>
      </c>
      <c r="G18" s="152">
        <f t="shared" si="2"/>
        <v>1.3491857142160238E-2</v>
      </c>
      <c r="H18" s="152">
        <f>(0.5*E49/SQRT(3))^2*'Power Loss'!$B$33/'Power Loss'!$B$31/1000</f>
        <v>8.2621260877379071E-4</v>
      </c>
      <c r="I18" s="97"/>
      <c r="J18" s="38"/>
      <c r="K18" s="38"/>
    </row>
    <row r="19" spans="1:11" s="37" customFormat="1" ht="13" customHeight="1">
      <c r="A19" s="149">
        <f>Imin+(Imax-Imin)*0.01</f>
        <v>3.0990000000000004E-2</v>
      </c>
      <c r="B19" s="150">
        <f t="shared" si="0"/>
        <v>8.0495704499941242E-2</v>
      </c>
      <c r="C19" s="151">
        <f t="shared" si="1"/>
        <v>31.599956984714538</v>
      </c>
      <c r="D19" s="152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1.9412781528223389E-2</v>
      </c>
      <c r="E19" s="152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1.6374055472488356E-2</v>
      </c>
      <c r="F19" s="152">
        <f>B50*'Power Loss'!$B$79*'Power Loss'!$B$49*10^(-6)*'Power Loss'!$B$54+B50*'Power Loss'!$B$80*'Power Loss'!$B$66*10^(-6)*'Power Loss'!$B$71+'Power Loss'!$B$80*'Power Loss'!$B$81*0.001</f>
        <v>3.0340406551065385E-2</v>
      </c>
      <c r="G19" s="152">
        <f t="shared" si="2"/>
        <v>1.3541677545652882E-2</v>
      </c>
      <c r="H19" s="152">
        <f>(0.5*E50/SQRT(3))^2*'Power Loss'!$B$33/'Power Loss'!$B$31/1000</f>
        <v>8.2678340251123353E-4</v>
      </c>
      <c r="I19" s="97"/>
      <c r="J19" s="38"/>
      <c r="K19" s="38"/>
    </row>
    <row r="20" spans="1:11" s="37" customFormat="1" ht="13" customHeight="1">
      <c r="A20" s="149">
        <f>Imin+(Imax-Imin)*0.02</f>
        <v>6.0980000000000006E-2</v>
      </c>
      <c r="B20" s="150">
        <f t="shared" si="0"/>
        <v>8.2095882138573412E-2</v>
      </c>
      <c r="C20" s="151">
        <f t="shared" si="1"/>
        <v>47.127656979577026</v>
      </c>
      <c r="D20" s="152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2.025265894504143E-2</v>
      </c>
      <c r="E20" s="152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1.6863216334574497E-2</v>
      </c>
      <c r="F20" s="152">
        <f>B51*'Power Loss'!$B$79*'Power Loss'!$B$49*10^(-6)*'Power Loss'!$B$54+B51*'Power Loss'!$B$80*'Power Loss'!$B$66*10^(-6)*'Power Loss'!$B$71+'Power Loss'!$B$80*'Power Loss'!$B$81*0.001</f>
        <v>3.0347543328066919E-2</v>
      </c>
      <c r="G20" s="152">
        <f t="shared" si="2"/>
        <v>1.3802822723025614E-2</v>
      </c>
      <c r="H20" s="152">
        <f>(0.5*E51/SQRT(3))^2*'Power Loss'!$B$33/'Power Loss'!$B$31/1000</f>
        <v>8.2964080786494397E-4</v>
      </c>
      <c r="I20" s="97"/>
      <c r="J20" s="38"/>
      <c r="K20" s="38"/>
    </row>
    <row r="21" spans="1:11" s="37" customFormat="1" ht="13" customHeight="1">
      <c r="A21" s="149">
        <f>Imin+(Imax-Imin)*0.04</f>
        <v>0.12096000000000001</v>
      </c>
      <c r="B21" s="150">
        <f t="shared" si="0"/>
        <v>8.5761022797115144E-2</v>
      </c>
      <c r="C21" s="151">
        <f t="shared" si="1"/>
        <v>62.860031990284703</v>
      </c>
      <c r="D21" s="152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2.2031794168944512E-2</v>
      </c>
      <c r="E21" s="152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1.8143148449789967E-2</v>
      </c>
      <c r="F21" s="152">
        <f>B52*'Power Loss'!$B$79*'Power Loss'!$B$49*10^(-6)*'Power Loss'!$B$54+B52*'Power Loss'!$B$80*'Power Loss'!$B$66*10^(-6)*'Power Loss'!$B$71+'Power Loss'!$B$80*'Power Loss'!$B$81*0.001</f>
        <v>3.0362753927749425E-2</v>
      </c>
      <c r="G21" s="152">
        <f t="shared" si="2"/>
        <v>1.4387953434404094E-2</v>
      </c>
      <c r="H21" s="152">
        <f>(0.5*E52/SQRT(3))^2*'Power Loss'!$B$33/'Power Loss'!$B$31/1000</f>
        <v>8.3537281622715479E-4</v>
      </c>
      <c r="I21" s="97"/>
      <c r="J21" s="38"/>
      <c r="K21" s="38"/>
    </row>
    <row r="22" spans="1:11" s="37" customFormat="1" ht="13" customHeight="1">
      <c r="A22" s="149">
        <f>Imin+(Imax-Imin)*0.06</f>
        <v>0.18093999999999999</v>
      </c>
      <c r="B22" s="150">
        <f t="shared" si="0"/>
        <v>9.0060753534164095E-2</v>
      </c>
      <c r="C22" s="151">
        <f t="shared" si="1"/>
        <v>70.682275149064679</v>
      </c>
      <c r="D22" s="152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2.3946489372952979E-2</v>
      </c>
      <c r="E22" s="152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1.983072497610127E-2</v>
      </c>
      <c r="F22" s="152">
        <f>B53*'Power Loss'!$B$79*'Power Loss'!$B$49*10^(-6)*'Power Loss'!$B$54+B53*'Power Loss'!$B$80*'Power Loss'!$B$66*10^(-6)*'Power Loss'!$B$71+'Power Loss'!$B$80*'Power Loss'!$B$81*0.001</f>
        <v>3.0379356881075976E-2</v>
      </c>
      <c r="G22" s="152">
        <f t="shared" si="2"/>
        <v>1.5063054519368192E-2</v>
      </c>
      <c r="H22" s="152">
        <f>(0.5*E53/SQRT(3))^2*'Power Loss'!$B$33/'Power Loss'!$B$31/1000</f>
        <v>8.4112778466567239E-4</v>
      </c>
      <c r="I22" s="97"/>
      <c r="J22" s="38"/>
      <c r="K22" s="38"/>
    </row>
    <row r="23" spans="1:11" s="37" customFormat="1" ht="13" customHeight="1">
      <c r="A23" s="149">
        <f>Imin+(Imax-Imin)*0.08</f>
        <v>0.24092000000000002</v>
      </c>
      <c r="B23" s="150">
        <f>SUM(D23:H23)</f>
        <v>9.5322878927059623E-2</v>
      </c>
      <c r="C23" s="151">
        <f>Vout*A23/(Vout*A23+B23)*100</f>
        <v>75.203898542914843</v>
      </c>
      <c r="D23" s="152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2.6095674519590325E-2</v>
      </c>
      <c r="E23" s="152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2.2025607428225222E-2</v>
      </c>
      <c r="F23" s="152">
        <f>B54*'Power Loss'!$B$79*'Power Loss'!$B$49*10^(-6)*'Power Loss'!$B$54+B54*'Power Loss'!$B$80*'Power Loss'!$B$66*10^(-6)*'Power Loss'!$B$71+'Power Loss'!$B$80*'Power Loss'!$B$81*0.001</f>
        <v>3.0397552538624285E-2</v>
      </c>
      <c r="G23" s="152">
        <f t="shared" si="2"/>
        <v>1.5951337695208078E-2</v>
      </c>
      <c r="H23" s="152">
        <f>(0.5*E54/SQRT(3))^2*'Power Loss'!$B$33/'Power Loss'!$B$31/1000</f>
        <v>8.527067454116938E-4</v>
      </c>
      <c r="I23" s="97"/>
      <c r="J23" s="38"/>
      <c r="K23" s="38"/>
    </row>
    <row r="24" spans="1:11" s="29" customFormat="1" ht="13" customHeight="1">
      <c r="A24" s="149">
        <f>Imin+(Imax-Imin)*0.1</f>
        <v>0.30090000000000006</v>
      </c>
      <c r="B24" s="150">
        <f t="shared" si="0"/>
        <v>0.10143258709604813</v>
      </c>
      <c r="C24" s="151">
        <f t="shared" si="1"/>
        <v>78.069226670584854</v>
      </c>
      <c r="D24" s="152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2.8438363374865997E-2</v>
      </c>
      <c r="E24" s="152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2.4688970347275841E-2</v>
      </c>
      <c r="F24" s="152">
        <f>B55*'Power Loss'!$B$79*'Power Loss'!$B$49*10^(-6)*'Power Loss'!$B$54+B55*'Power Loss'!$B$80*'Power Loss'!$B$66*10^(-6)*'Power Loss'!$B$71+'Power Loss'!$B$80*'Power Loss'!$B$81*0.001</f>
        <v>3.0417581626408438E-2</v>
      </c>
      <c r="G24" s="152">
        <f t="shared" si="2"/>
        <v>1.7020361510089933E-2</v>
      </c>
      <c r="H24" s="152">
        <f>(0.5*E55/SQRT(3))^2*'Power Loss'!$B$33/'Power Loss'!$B$31/1000</f>
        <v>8.6731023740794068E-4</v>
      </c>
      <c r="I24" s="4"/>
      <c r="J24" s="4"/>
      <c r="K24" s="4"/>
    </row>
    <row r="25" spans="1:11" s="29" customFormat="1" ht="13" customHeight="1">
      <c r="A25" s="149">
        <f>Imin+(Imax-Imin)*0.15</f>
        <v>0.45084999999999997</v>
      </c>
      <c r="B25" s="150">
        <f t="shared" ref="B25:B38" si="3">SUM(D25:H25)</f>
        <v>0.11875424589425489</v>
      </c>
      <c r="C25" s="151">
        <f t="shared" ref="C25:C38" si="4">Vout*A25/(Vout*A25+B25)*100</f>
        <v>82.000775775463026</v>
      </c>
      <c r="D25" s="152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3.4608700932723419E-2</v>
      </c>
      <c r="E25" s="152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3.2942224415241403E-2</v>
      </c>
      <c r="F25" s="152">
        <f>B56*'Power Loss'!$B$79*'Power Loss'!$B$49*10^(-6)*'Power Loss'!$B$54+B56*'Power Loss'!$B$80*'Power Loss'!$B$66*10^(-6)*'Power Loss'!$B$71+'Power Loss'!$B$80*'Power Loss'!$B$81*0.001</f>
        <v>3.0477756193326513E-2</v>
      </c>
      <c r="G25" s="152">
        <f t="shared" si="2"/>
        <v>1.9843505884458257E-2</v>
      </c>
      <c r="H25" s="152">
        <f>(0.5*E56/SQRT(3))^2*'Power Loss'!$B$33/'Power Loss'!$B$31/1000</f>
        <v>8.8205846850529946E-4</v>
      </c>
      <c r="I25" s="4"/>
      <c r="J25" s="4"/>
      <c r="K25" s="4"/>
    </row>
    <row r="26" spans="1:11" s="29" customFormat="1" ht="13" customHeight="1">
      <c r="A26" s="149">
        <f>Imin+(Imax-Imin)*0.2</f>
        <v>0.60080000000000011</v>
      </c>
      <c r="B26" s="150">
        <f t="shared" si="3"/>
        <v>0.14127941124592269</v>
      </c>
      <c r="C26" s="151">
        <f t="shared" si="4"/>
        <v>83.61482792328222</v>
      </c>
      <c r="D26" s="152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4.1836176651028373E-2</v>
      </c>
      <c r="E26" s="152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4.4207682080470434E-2</v>
      </c>
      <c r="F26" s="152">
        <f>B57*'Power Loss'!$B$79*'Power Loss'!$B$49*10^(-6)*'Power Loss'!$B$54+B57*'Power Loss'!$B$80*'Power Loss'!$B$66*10^(-6)*'Power Loss'!$B$71+'Power Loss'!$B$80*'Power Loss'!$B$81*0.001</f>
        <v>3.0558193250352878E-2</v>
      </c>
      <c r="G26" s="152">
        <f t="shared" si="2"/>
        <v>2.3780407258727827E-2</v>
      </c>
      <c r="H26" s="152">
        <f>(0.5*E57/SQRT(3))^2*'Power Loss'!$B$33/'Power Loss'!$B$31/1000</f>
        <v>8.9695200534318164E-4</v>
      </c>
      <c r="I26" s="4"/>
      <c r="J26" s="4"/>
      <c r="K26" s="4"/>
    </row>
    <row r="27" spans="1:11" s="29" customFormat="1" ht="13" customHeight="1">
      <c r="A27" s="149">
        <f>Imin+(Imax-Imin)*0.25</f>
        <v>0.75075000000000003</v>
      </c>
      <c r="B27" s="150">
        <f t="shared" si="3"/>
        <v>0.17129564262673053</v>
      </c>
      <c r="C27" s="151">
        <f t="shared" si="4"/>
        <v>84.02384454696346</v>
      </c>
      <c r="D27" s="152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5.0571993723955121E-2</v>
      </c>
      <c r="E27" s="152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5.9181936256649706E-2</v>
      </c>
      <c r="F27" s="152">
        <f>B58*'Power Loss'!$B$79*'Power Loss'!$B$49*10^(-6)*'Power Loss'!$B$54+B58*'Power Loss'!$B$80*'Power Loss'!$B$66*10^(-6)*'Power Loss'!$B$71+'Power Loss'!$B$80*'Power Loss'!$B$81*0.001</f>
        <v>3.0671199189932011E-2</v>
      </c>
      <c r="G27" s="152">
        <f t="shared" si="2"/>
        <v>2.9943336181742948E-2</v>
      </c>
      <c r="H27" s="152">
        <f>(0.5*E58/SQRT(3))^2*'Power Loss'!$B$33/'Power Loss'!$B$31/1000</f>
        <v>9.2717727445072804E-4</v>
      </c>
      <c r="I27" s="4"/>
      <c r="J27" s="4"/>
      <c r="K27" s="4"/>
    </row>
    <row r="28" spans="1:11" s="29" customFormat="1" ht="13" customHeight="1">
      <c r="A28" s="149">
        <f>Imin+(Imax-Imin)*0.35</f>
        <v>1.0506499999999999</v>
      </c>
      <c r="B28" s="150">
        <f t="shared" si="3"/>
        <v>0.25291837928632571</v>
      </c>
      <c r="C28" s="151">
        <f t="shared" si="4"/>
        <v>83.291362219362952</v>
      </c>
      <c r="D28" s="152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7.2568389656565827E-2</v>
      </c>
      <c r="E28" s="152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0.1009567804959165</v>
      </c>
      <c r="F28" s="152">
        <f>B59*'Power Loss'!$B$79*'Power Loss'!$B$49*10^(-6)*'Power Loss'!$B$54+B59*'Power Loss'!$B$80*'Power Loss'!$B$66*10^(-6)*'Power Loss'!$B$71+'Power Loss'!$B$80*'Power Loss'!$B$81*0.001</f>
        <v>3.1E-2</v>
      </c>
      <c r="G28" s="152">
        <f t="shared" si="2"/>
        <v>4.7450698982159201E-2</v>
      </c>
      <c r="H28" s="152">
        <f>(0.5*E59/SQRT(3))^2*'Power Loss'!$B$33/'Power Loss'!$B$31/1000</f>
        <v>9.4251015168416634E-4</v>
      </c>
      <c r="I28" s="4"/>
      <c r="J28" s="4"/>
      <c r="K28" s="4"/>
    </row>
    <row r="29" spans="1:11" s="29" customFormat="1" ht="13" customHeight="1">
      <c r="A29" s="149">
        <f>Imin+(Imax-Imin)*0.4</f>
        <v>1.2006000000000001</v>
      </c>
      <c r="B29" s="150">
        <f t="shared" si="3"/>
        <v>0.28902332100115485</v>
      </c>
      <c r="C29" s="151">
        <f t="shared" si="4"/>
        <v>83.2909705450476</v>
      </c>
      <c r="D29" s="152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8.5608311493788267E-2</v>
      </c>
      <c r="E29" s="152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0.12155476676954748</v>
      </c>
      <c r="F29" s="152">
        <f>B60*'Power Loss'!$B$79*'Power Loss'!$B$49*10^(-6)*'Power Loss'!$B$54+B60*'Power Loss'!$B$80*'Power Loss'!$B$66*10^(-6)*'Power Loss'!$B$71+'Power Loss'!$B$80*'Power Loss'!$B$81*0.001</f>
        <v>3.1E-2</v>
      </c>
      <c r="G29" s="152">
        <f t="shared" si="2"/>
        <v>4.9902252113211726E-2</v>
      </c>
      <c r="H29" s="152">
        <f>(0.5*E60/SQRT(3))^2*'Power Loss'!$B$33/'Power Loss'!$B$31/1000</f>
        <v>9.5799062460738798E-4</v>
      </c>
      <c r="I29" s="4"/>
      <c r="J29" s="4"/>
      <c r="K29" s="4"/>
    </row>
    <row r="30" spans="1:11" s="29" customFormat="1" ht="13" customHeight="1">
      <c r="A30" s="149">
        <f>Imin+(Imax-Imin)*0.45</f>
        <v>1.3505499999999999</v>
      </c>
      <c r="B30" s="150">
        <f t="shared" si="3"/>
        <v>0.32830750113983898</v>
      </c>
      <c r="C30" s="151">
        <f t="shared" si="4"/>
        <v>83.154798581924496</v>
      </c>
      <c r="D30" s="152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9.9508272223581204E-2</v>
      </c>
      <c r="E30" s="152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0.14423826403143952</v>
      </c>
      <c r="F30" s="152">
        <f>B61*'Power Loss'!$B$79*'Power Loss'!$B$49*10^(-6)*'Power Loss'!$B$54+B61*'Power Loss'!$B$80*'Power Loss'!$B$66*10^(-6)*'Power Loss'!$B$71+'Power Loss'!$B$80*'Power Loss'!$B$81*0.001</f>
        <v>3.1E-2</v>
      </c>
      <c r="G30" s="152">
        <f t="shared" si="2"/>
        <v>5.2587345613208311E-2</v>
      </c>
      <c r="H30" s="152">
        <f>(0.5*E61/SQRT(3))^2*'Power Loss'!$B$33/'Power Loss'!$B$31/1000</f>
        <v>9.7361927160990363E-4</v>
      </c>
      <c r="I30" s="4"/>
      <c r="J30" s="4"/>
      <c r="K30" s="4"/>
    </row>
    <row r="31" spans="1:11" s="29" customFormat="1" ht="13" customHeight="1">
      <c r="A31" s="149">
        <f>Imin+(Imax-Imin)*0.5</f>
        <v>1.5004999999999999</v>
      </c>
      <c r="B31" s="150">
        <f t="shared" si="3"/>
        <v>0.3707776891875868</v>
      </c>
      <c r="C31" s="151">
        <f t="shared" si="4"/>
        <v>82.924311554186033</v>
      </c>
      <c r="D31" s="152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0.11428701078588273</v>
      </c>
      <c r="E31" s="152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0.16899525364714063</v>
      </c>
      <c r="F31" s="152">
        <f>B62*'Power Loss'!$B$79*'Power Loss'!$B$49*10^(-6)*'Power Loss'!$B$54+B62*'Power Loss'!$B$80*'Power Loss'!$B$66*10^(-6)*'Power Loss'!$B$71+'Power Loss'!$B$80*'Power Loss'!$B$81*0.001</f>
        <v>3.1E-2</v>
      </c>
      <c r="G31" s="152">
        <f t="shared" si="2"/>
        <v>5.5506028081099459E-2</v>
      </c>
      <c r="H31" s="152">
        <f>(0.5*E62/SQRT(3))^2*'Power Loss'!$B$33/'Power Loss'!$B$31/1000</f>
        <v>9.8939667346401809E-4</v>
      </c>
      <c r="I31" s="4"/>
      <c r="J31" s="4"/>
      <c r="K31" s="4"/>
    </row>
    <row r="32" spans="1:11" s="29" customFormat="1" ht="13" customHeight="1">
      <c r="A32" s="149">
        <f>Imin+(Imax-Imin)*0.55</f>
        <v>1.6504500000000002</v>
      </c>
      <c r="B32" s="150">
        <f t="shared" si="3"/>
        <v>0.41644067383817579</v>
      </c>
      <c r="C32" s="151">
        <f t="shared" si="4"/>
        <v>82.626448415566557</v>
      </c>
      <c r="D32" s="152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0.12996331912878478</v>
      </c>
      <c r="E32" s="152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0.19581368300184282</v>
      </c>
      <c r="F32" s="152">
        <f>B63*'Power Loss'!$B$79*'Power Loss'!$B$49*10^(-6)*'Power Loss'!$B$54+B63*'Power Loss'!$B$80*'Power Loss'!$B$66*10^(-6)*'Power Loss'!$B$71+'Power Loss'!$B$80*'Power Loss'!$B$81*0.001</f>
        <v>3.1E-2</v>
      </c>
      <c r="G32" s="152">
        <f t="shared" si="2"/>
        <v>5.8658348294212341E-2</v>
      </c>
      <c r="H32" s="152">
        <f>(0.5*E63/SQRT(3))^2*'Power Loss'!$B$33/'Power Loss'!$B$31/1000</f>
        <v>1.005323413335887E-3</v>
      </c>
      <c r="I32" s="4"/>
      <c r="J32" s="4"/>
      <c r="K32" s="4"/>
    </row>
    <row r="33" spans="1:23" s="29" customFormat="1" ht="13" customHeight="1">
      <c r="A33" s="149">
        <f>Imin+(Imax-Imin)*0.6</f>
        <v>1.8003999999999998</v>
      </c>
      <c r="B33" s="150">
        <f t="shared" si="3"/>
        <v>0.46530326306292058</v>
      </c>
      <c r="C33" s="151">
        <f t="shared" si="4"/>
        <v>82.279448970203504</v>
      </c>
      <c r="D33" s="152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0.14655604239630754</v>
      </c>
      <c r="E33" s="152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0.22468146538007325</v>
      </c>
      <c r="F33" s="152">
        <f>B64*'Power Loss'!$B$79*'Power Loss'!$B$49*10^(-6)*'Power Loss'!$B$54+B64*'Power Loss'!$B$80*'Power Loss'!$B$66*10^(-6)*'Power Loss'!$B$71+'Power Loss'!$B$80*'Power Loss'!$B$81*0.001</f>
        <v>3.1E-2</v>
      </c>
      <c r="G33" s="152">
        <f t="shared" si="2"/>
        <v>6.2044355209743142E-2</v>
      </c>
      <c r="H33" s="152">
        <f>(0.5*E64/SQRT(3))^2*'Power Loss'!$B$33/'Power Loss'!$B$31/1000</f>
        <v>1.0214000767966342E-3</v>
      </c>
      <c r="I33" s="4"/>
      <c r="J33" s="4"/>
      <c r="K33" s="4"/>
    </row>
    <row r="34" spans="1:23" s="29" customFormat="1" ht="13" customHeight="1">
      <c r="A34" s="149">
        <f>Imin+(Imax-Imin)*0.65</f>
        <v>1.95035</v>
      </c>
      <c r="B34" s="150">
        <f t="shared" si="3"/>
        <v>0.5173722841799272</v>
      </c>
      <c r="C34" s="151">
        <f t="shared" si="4"/>
        <v>81.896085063845277</v>
      </c>
      <c r="D34" s="152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0.16408407911697373</v>
      </c>
      <c r="E34" s="152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0.25558647984487309</v>
      </c>
      <c r="F34" s="152">
        <f>B65*'Power Loss'!$B$79*'Power Loss'!$B$49*10^(-6)*'Power Loss'!$B$54+B65*'Power Loss'!$B$80*'Power Loss'!$B$66*10^(-6)*'Power Loss'!$B$71+'Power Loss'!$B$80*'Power Loss'!$B$81*0.001</f>
        <v>3.1E-2</v>
      </c>
      <c r="G34" s="152">
        <f t="shared" si="2"/>
        <v>6.5664097966246837E-2</v>
      </c>
      <c r="H34" s="152">
        <f>(0.5*E65/SQRT(3))^2*'Power Loss'!$B$33/'Power Loss'!$B$31/1000</f>
        <v>1.0376272518335264E-3</v>
      </c>
      <c r="I34" s="4"/>
      <c r="J34" s="4"/>
      <c r="K34" s="4"/>
    </row>
    <row r="35" spans="1:23" s="29" customFormat="1" ht="13" customHeight="1">
      <c r="A35" s="149">
        <f>Imin+(Imax-Imin)*0.7</f>
        <v>2.1002999999999998</v>
      </c>
      <c r="B35" s="150">
        <f t="shared" si="3"/>
        <v>0.57265458392363067</v>
      </c>
      <c r="C35" s="151">
        <f t="shared" si="4"/>
        <v>81.485551768812144</v>
      </c>
      <c r="D35" s="152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0.18256638139318587</v>
      </c>
      <c r="E35" s="152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0.28851657111646117</v>
      </c>
      <c r="F35" s="152">
        <f>B66*'Power Loss'!$B$79*'Power Loss'!$B$49*10^(-6)*'Power Loss'!$B$54+B66*'Power Loss'!$B$80*'Power Loss'!$B$66*10^(-6)*'Power Loss'!$B$71+'Power Loss'!$B$80*'Power Loss'!$B$81*0.001</f>
        <v>3.1E-2</v>
      </c>
      <c r="G35" s="152">
        <f t="shared" si="2"/>
        <v>6.9517625885122294E-2</v>
      </c>
      <c r="H35" s="152">
        <f>(0.5*E66/SQRT(3))^2*'Power Loss'!$B$33/'Power Loss'!$B$31/1000</f>
        <v>1.0540055288612074E-3</v>
      </c>
      <c r="I35" s="4"/>
      <c r="J35" s="4"/>
      <c r="K35" s="4"/>
    </row>
    <row r="36" spans="1:23" s="29" customFormat="1" ht="13" customHeight="1">
      <c r="A36" s="149">
        <f>Imin+(Imax-Imin)*0.75</f>
        <v>2.2502499999999999</v>
      </c>
      <c r="B36" s="150">
        <f t="shared" si="3"/>
        <v>0.63115702851462185</v>
      </c>
      <c r="C36" s="151">
        <f t="shared" si="4"/>
        <v>81.054624955014589</v>
      </c>
      <c r="D36" s="152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0.20202195509141194</v>
      </c>
      <c r="E36" s="152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0.32345954945038169</v>
      </c>
      <c r="F36" s="152">
        <f>B67*'Power Loss'!$B$79*'Power Loss'!$B$49*10^(-6)*'Power Loss'!$B$54+B67*'Power Loss'!$B$80*'Power Loss'!$B$66*10^(-6)*'Power Loss'!$B$71+'Power Loss'!$B$80*'Power Loss'!$B$81*0.001</f>
        <v>3.1E-2</v>
      </c>
      <c r="G36" s="152">
        <f t="shared" si="2"/>
        <v>7.360498847209522E-2</v>
      </c>
      <c r="H36" s="152">
        <f>(0.5*E67/SQRT(3))^2*'Power Loss'!$B$33/'Power Loss'!$B$31/1000</f>
        <v>1.070535500732987E-3</v>
      </c>
      <c r="I36" s="4"/>
      <c r="J36" s="4"/>
      <c r="K36" s="4"/>
    </row>
    <row r="37" spans="1:23" s="29" customFormat="1" ht="13" customHeight="1">
      <c r="A37" s="149">
        <f>Imin+(Imax-Imin)*0.8</f>
        <v>2.4002000000000003</v>
      </c>
      <c r="B37" s="150">
        <f t="shared" si="3"/>
        <v>0.69288650372976224</v>
      </c>
      <c r="C37" s="151">
        <f t="shared" si="4"/>
        <v>80.608397071682148</v>
      </c>
      <c r="D37" s="152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0.2224698600331822</v>
      </c>
      <c r="E37" s="152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0.3604031905151307</v>
      </c>
      <c r="F37" s="152">
        <f>B68*'Power Loss'!$B$79*'Power Loss'!$B$49*10^(-6)*'Power Loss'!$B$54+B68*'Power Loss'!$B$80*'Power Loss'!$B$66*10^(-6)*'Power Loss'!$B$71+'Power Loss'!$B$80*'Power Loss'!$B$81*0.001</f>
        <v>3.1E-2</v>
      </c>
      <c r="G37" s="152">
        <f t="shared" si="2"/>
        <v>7.7926235418697171E-2</v>
      </c>
      <c r="H37" s="152">
        <f>(0.5*E68/SQRT(3))^2*'Power Loss'!$B$33/'Power Loss'!$B$31/1000</f>
        <v>1.0872177627522003E-3</v>
      </c>
      <c r="I37" s="4"/>
      <c r="J37" s="4"/>
      <c r="K37" s="4"/>
    </row>
    <row r="38" spans="1:23" s="29" customFormat="1" ht="13" customHeight="1">
      <c r="A38" s="149">
        <f>Imin+(Imax-Imin)*0.85</f>
        <v>2.5501499999999999</v>
      </c>
      <c r="B38" s="150">
        <f t="shared" si="3"/>
        <v>0.75784991497258836</v>
      </c>
      <c r="C38" s="151">
        <f t="shared" si="4"/>
        <v>80.150760160347517</v>
      </c>
      <c r="D38" s="152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0.24392921018690145</v>
      </c>
      <c r="E38" s="152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0.39933523526926062</v>
      </c>
      <c r="F38" s="152">
        <f>B69*'Power Loss'!$B$79*'Power Loss'!$B$49*10^(-6)*'Power Loss'!$B$54+B69*'Power Loss'!$B$80*'Power Loss'!$B$66*10^(-6)*'Power Loss'!$B$71+'Power Loss'!$B$80*'Power Loss'!$B$81*0.001</f>
        <v>3.1E-2</v>
      </c>
      <c r="G38" s="152">
        <f t="shared" si="2"/>
        <v>8.2481416603742724E-2</v>
      </c>
      <c r="H38" s="152">
        <f>(0.5*E69/SQRT(3))^2*'Power Loss'!$B$33/'Power Loss'!$B$31/1000</f>
        <v>1.1040529126836143E-3</v>
      </c>
      <c r="I38" s="4"/>
      <c r="J38" s="4"/>
      <c r="K38" s="4"/>
    </row>
    <row r="39" spans="1:23" s="29" customFormat="1" ht="13" customHeight="1">
      <c r="A39" s="149">
        <f>Imin+(Imax-Imin)*0.9</f>
        <v>2.7000999999999999</v>
      </c>
      <c r="B39" s="150">
        <f>SUM(D39:H39)</f>
        <v>0.82605418734401259</v>
      </c>
      <c r="C39" s="151">
        <f>Vout*A39/(Vout*A39+B39)*100</f>
        <v>79.684731905605261</v>
      </c>
      <c r="D39" s="152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0.26641917386048214</v>
      </c>
      <c r="E39" s="152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0.44024338983796224</v>
      </c>
      <c r="F39" s="152">
        <f>B70*'Power Loss'!$B$79*'Power Loss'!$B$49*10^(-6)*'Power Loss'!$B$54+B70*'Power Loss'!$B$80*'Power Loss'!$B$66*10^(-6)*'Power Loss'!$B$71+'Power Loss'!$B$80*'Power Loss'!$B$81*0.001</f>
        <v>3.1E-2</v>
      </c>
      <c r="G39" s="152">
        <f t="shared" si="2"/>
        <v>8.727058209480329E-2</v>
      </c>
      <c r="H39" s="152">
        <f>(0.5*E70/SQRT(3))^2*'Power Loss'!$B$33/'Power Loss'!$B$31/1000</f>
        <v>1.1210415507648993E-3</v>
      </c>
      <c r="I39" s="4"/>
      <c r="J39" s="4"/>
      <c r="K39" s="4"/>
    </row>
    <row r="40" spans="1:23" ht="15" customHeight="1">
      <c r="A40" s="149">
        <f>Imin+(Imax-Imin)*0.95</f>
        <v>2.85005</v>
      </c>
      <c r="B40" s="150">
        <f>SUM(D40:H40)</f>
        <v>0.89750626571331293</v>
      </c>
      <c r="C40" s="151">
        <f>Vout*A40/(Vout*A40+B40)*100</f>
        <v>79.212681161593366</v>
      </c>
      <c r="D40" s="152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0.28995897389480013</v>
      </c>
      <c r="E40" s="152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0.48311532538911439</v>
      </c>
      <c r="F40" s="152">
        <f>B71*'Power Loss'!$B$79*'Power Loss'!$B$49*10^(-6)*'Power Loss'!$B$54+B71*'Power Loss'!$B$80*'Power Loss'!$B$66*10^(-6)*'Power Loss'!$B$71+'Power Loss'!$B$80*'Power Loss'!$B$81*0.001</f>
        <v>3.1E-2</v>
      </c>
      <c r="G40" s="152">
        <f t="shared" si="2"/>
        <v>9.2293782149680162E-2</v>
      </c>
      <c r="H40" s="152">
        <f>(0.5*E71/SQRT(3))^2*'Power Loss'!$B$33/'Power Loss'!$B$31/1000</f>
        <v>1.1381842797181666E-3</v>
      </c>
      <c r="I40" s="4"/>
      <c r="J40" s="4"/>
      <c r="K40" s="4"/>
    </row>
    <row r="41" spans="1:23" ht="14.25" customHeight="1">
      <c r="A41" s="149">
        <f>Imin+(Imax-Imin)*1</f>
        <v>3</v>
      </c>
      <c r="B41" s="150">
        <f>SUM(D41:H41)</f>
        <v>0.93902085403392055</v>
      </c>
      <c r="C41" s="151">
        <f>Vout*A41/(Vout*A41+B41)*100</f>
        <v>79.31225953281546</v>
      </c>
      <c r="D41" s="152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0.28618083976375225</v>
      </c>
      <c r="E41" s="152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0.53989176802736083</v>
      </c>
      <c r="F41" s="152">
        <f>B72*'Power Loss'!$B$79*'Power Loss'!$B$49*10^(-6)*'Power Loss'!$B$54+B72*'Power Loss'!$B$80*'Power Loss'!$B$66*10^(-6)*'Power Loss'!$B$71+'Power Loss'!$B$80*'Power Loss'!$B$81*0.001</f>
        <v>3.1E-2</v>
      </c>
      <c r="G41" s="152">
        <f t="shared" si="2"/>
        <v>8.1124409508113518E-2</v>
      </c>
      <c r="H41" s="152">
        <f>(0.5*E72/SQRT(3))^2*'Power Loss'!$B$33/'Power Loss'!$B$31/1000</f>
        <v>8.2383673469387788E-4</v>
      </c>
    </row>
    <row r="42" spans="1:23" ht="13" customHeight="1">
      <c r="A42" s="17"/>
      <c r="B42" s="17"/>
      <c r="C42" s="17"/>
      <c r="D42" s="17"/>
      <c r="E42" s="17"/>
      <c r="F42" s="17"/>
      <c r="G42" s="17"/>
      <c r="H42" s="17"/>
      <c r="I42" s="111"/>
      <c r="J42" s="111"/>
      <c r="K42" s="111"/>
      <c r="L42" s="111"/>
      <c r="M42" s="111"/>
      <c r="N42" s="111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3" customHeight="1">
      <c r="A43" s="17" t="s">
        <v>258</v>
      </c>
      <c r="B43" s="17" t="s">
        <v>259</v>
      </c>
      <c r="C43" s="17" t="s">
        <v>260</v>
      </c>
      <c r="D43" s="17" t="s">
        <v>116</v>
      </c>
      <c r="E43" s="17" t="s">
        <v>117</v>
      </c>
      <c r="F43" s="17" t="s">
        <v>118</v>
      </c>
      <c r="G43" s="17" t="s">
        <v>119</v>
      </c>
      <c r="H43" s="17"/>
      <c r="I43" s="100"/>
      <c r="J43" s="100"/>
      <c r="K43" s="100"/>
      <c r="L43" s="100"/>
      <c r="M43" s="111"/>
      <c r="N43" s="111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3" customHeight="1">
      <c r="A44" s="17">
        <f>IF(OR('Power Loss'!$B$17="AP63206",'Power Loss'!$B$17="AP63356"), 0, IF(A13&gt;$E$9, 0, 2/((Vin-Vout)*Vout/(2*Vin*Lout*0.000001*($E$9-A13)))))</f>
        <v>3.9959770114942523E-6</v>
      </c>
      <c r="B44" s="153">
        <f t="shared" ref="B44:B72" si="5">1/(1000/(Fs*1000)+A44*1000)</f>
        <v>166.77849132560146</v>
      </c>
      <c r="C44" s="149">
        <f>Imin</f>
        <v>1E-3</v>
      </c>
      <c r="D44" s="17">
        <f t="shared" ref="D44:D53" si="6">Vout/Vin*(1+(Ron_l+DCR)/1000*A13/Vout)/(1-A13*(Ron_u-Ron_l)/1000/Vin)</f>
        <v>0.17143845407088235</v>
      </c>
      <c r="E44" s="17">
        <f t="shared" ref="E44:E54" si="7">(Vin-Vout)/Lout/10^(-6)*D44/Fs/10^3</f>
        <v>1.9886860672222353</v>
      </c>
      <c r="F44" s="17">
        <f>A13*SQRT(D44)*SQRT(1+1/3*(E44/2/A13)^2)</f>
        <v>0.23770066013749397</v>
      </c>
      <c r="G44" s="17">
        <f>A13*SQRT(1-D44)*SQRT(1+1/3*(E44/2/A13)^2)</f>
        <v>0.52256299684075069</v>
      </c>
      <c r="H44" s="17"/>
      <c r="I44" s="100"/>
      <c r="J44" s="112" t="s">
        <v>120</v>
      </c>
      <c r="K44" s="100">
        <v>1</v>
      </c>
      <c r="L44" s="100" t="s">
        <v>5</v>
      </c>
      <c r="M44" s="111"/>
      <c r="N44" s="111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3" customHeight="1">
      <c r="A45" s="17">
        <f>IF(OR('Power Loss'!$B$17="AP63206",'Power Loss'!$B$17="AP63356"), 0, IF(A14&gt;$E$9, 0, 2/((Vin-Vout)*Vout/(2*Vin*Lout*0.000001*($E$9-A14)))))</f>
        <v>3.983912068965517E-6</v>
      </c>
      <c r="B45" s="153">
        <f t="shared" si="5"/>
        <v>167.11475510917347</v>
      </c>
      <c r="C45" s="149">
        <f>Imin+(Imax-Imin)*0.001</f>
        <v>3.9990000000000008E-3</v>
      </c>
      <c r="D45" s="17">
        <f t="shared" si="6"/>
        <v>0.17146809266807264</v>
      </c>
      <c r="E45" s="17">
        <f t="shared" si="7"/>
        <v>1.9890298749496427</v>
      </c>
      <c r="F45" s="17">
        <f t="shared" ref="F45:F72" si="8">A14*SQRT(D45)*SQRT(1+1/3*(E45/2/A14)^2)</f>
        <v>0.23776770973427333</v>
      </c>
      <c r="G45" s="17">
        <f t="shared" ref="G45:G72" si="9">A14*SQRT(1-D45)*SQRT(1+1/3*(E45/2/A14)^2)</f>
        <v>0.52265587323677998</v>
      </c>
      <c r="H45" s="17"/>
      <c r="I45" s="100"/>
      <c r="J45" s="112" t="s">
        <v>121</v>
      </c>
      <c r="K45" s="100">
        <v>5</v>
      </c>
      <c r="L45" s="100" t="s">
        <v>122</v>
      </c>
      <c r="M45" s="111"/>
      <c r="N45" s="111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" customHeight="1">
      <c r="A46" s="17">
        <f>IF(OR('Power Loss'!$B$17="AP63206",'Power Loss'!$B$17="AP63356"), 0, IF(A15&gt;$E$9, 0, 2/((Vin-Vout)*Vout/(2*Vin*Lout*0.000001*($E$9-A15)))))</f>
        <v>3.9718471264367817E-6</v>
      </c>
      <c r="B46" s="153">
        <f t="shared" si="5"/>
        <v>167.45237760241685</v>
      </c>
      <c r="C46" s="149">
        <f>Imin+(Imax-Imin)*0.002</f>
        <v>6.9980000000000007E-3</v>
      </c>
      <c r="D46" s="17">
        <f t="shared" si="6"/>
        <v>0.17149773209457059</v>
      </c>
      <c r="E46" s="17">
        <f t="shared" si="7"/>
        <v>1.9893736922970189</v>
      </c>
      <c r="F46" s="17">
        <f t="shared" si="8"/>
        <v>0.23784125062659953</v>
      </c>
      <c r="G46" s="17">
        <f t="shared" si="9"/>
        <v>0.52276299805743509</v>
      </c>
      <c r="H46" s="17"/>
      <c r="I46" s="100"/>
      <c r="J46" s="100" t="s">
        <v>86</v>
      </c>
      <c r="K46" s="100">
        <v>80</v>
      </c>
      <c r="L46" s="100" t="s">
        <v>123</v>
      </c>
      <c r="M46" s="111"/>
      <c r="N46" s="111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9" customFormat="1" ht="13" customHeight="1">
      <c r="A47" s="17">
        <f>IF(OR('Power Loss'!$B$17="AP63206",'Power Loss'!$B$17="AP63356"), 0, IF(A16&gt;$E$9, 0, 2/((Vin-Vout)*Vout/(2*Vin*Lout*0.000001*($E$9-A16)))))</f>
        <v>3.9477172413793103E-6</v>
      </c>
      <c r="B47" s="153">
        <f t="shared" si="5"/>
        <v>168.13173179162331</v>
      </c>
      <c r="C47" s="149">
        <f>Imin+(Imax-Imin)*0.004</f>
        <v>1.2996000000000001E-2</v>
      </c>
      <c r="D47" s="17">
        <f t="shared" si="6"/>
        <v>0.17155701343562874</v>
      </c>
      <c r="E47" s="17">
        <f t="shared" si="7"/>
        <v>1.9900613558532934</v>
      </c>
      <c r="F47" s="17">
        <f t="shared" si="8"/>
        <v>0.23800779516165579</v>
      </c>
      <c r="G47" s="17">
        <f t="shared" si="9"/>
        <v>0.52301995066792106</v>
      </c>
      <c r="H47" s="17"/>
      <c r="I47" s="111"/>
      <c r="J47" s="111"/>
      <c r="K47" s="111"/>
      <c r="L47" s="111"/>
      <c r="M47" s="111"/>
      <c r="N47" s="111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39" customFormat="1" ht="13" customHeight="1">
      <c r="A48" s="17">
        <f>IF(OR('Power Loss'!$B$17="AP63206",'Power Loss'!$B$17="AP63356"), 0, IF(A17&gt;$E$9, 0, 2/((Vin-Vout)*Vout/(2*Vin*Lout*0.000001*($E$9-A17)))))</f>
        <v>3.9235873563218389E-6</v>
      </c>
      <c r="B48" s="153">
        <f t="shared" si="5"/>
        <v>168.81662071426504</v>
      </c>
      <c r="C48" s="149">
        <f>Imin+(Imax-Imin)*0.006</f>
        <v>1.8994E-2</v>
      </c>
      <c r="D48" s="17">
        <f t="shared" si="6"/>
        <v>0.17161629809433529</v>
      </c>
      <c r="E48" s="17">
        <f t="shared" si="7"/>
        <v>1.9907490578942892</v>
      </c>
      <c r="F48" s="17">
        <f t="shared" si="8"/>
        <v>0.23820026621016382</v>
      </c>
      <c r="G48" s="17">
        <f t="shared" si="9"/>
        <v>0.52333375855087971</v>
      </c>
      <c r="H48" s="17"/>
      <c r="I48" s="111" t="s">
        <v>124</v>
      </c>
      <c r="J48" s="111"/>
      <c r="K48" s="111"/>
      <c r="L48" s="111"/>
      <c r="M48" s="111"/>
      <c r="N48" s="111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39" customFormat="1" ht="13" customHeight="1">
      <c r="A49" s="17">
        <f>IF(OR('Power Loss'!$B$17="AP63206",'Power Loss'!$B$17="AP63356"), 0, IF(A18&gt;$E$9, 0, 2/((Vin-Vout)*Vout/(2*Vin*Lout*0.000001*($E$9-A18)))))</f>
        <v>3.8994574712643675E-6</v>
      </c>
      <c r="B49" s="153">
        <f t="shared" si="5"/>
        <v>169.50711228462853</v>
      </c>
      <c r="C49" s="149">
        <f>Imin+(Imax-Imin)*0.008</f>
        <v>2.4992000000000004E-2</v>
      </c>
      <c r="D49" s="17">
        <f t="shared" si="6"/>
        <v>0.17167558607096875</v>
      </c>
      <c r="E49" s="17">
        <f t="shared" si="7"/>
        <v>1.9914367984232375</v>
      </c>
      <c r="F49" s="17">
        <f t="shared" si="8"/>
        <v>0.23841862786752413</v>
      </c>
      <c r="G49" s="17">
        <f t="shared" si="9"/>
        <v>0.52370430727585504</v>
      </c>
      <c r="H49" s="17"/>
      <c r="I49" s="111" t="s">
        <v>125</v>
      </c>
      <c r="J49" s="111"/>
      <c r="K49" s="111"/>
      <c r="L49" s="111"/>
      <c r="M49" s="111"/>
      <c r="N49" s="111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39" customFormat="1" ht="13" customHeight="1">
      <c r="A50" s="17">
        <f>IF(OR('Power Loss'!$B$17="AP63206",'Power Loss'!$B$17="AP63356"), 0, IF(A19&gt;$E$9, 0, 2/((Vin-Vout)*Vout/(2*Vin*Lout*0.000001*($E$9-A19)))))</f>
        <v>3.8753275862068962E-6</v>
      </c>
      <c r="B50" s="153">
        <f t="shared" si="5"/>
        <v>170.20327553269226</v>
      </c>
      <c r="C50" s="149">
        <f>Imin+(Imax-Imin)*0.01</f>
        <v>3.0990000000000004E-2</v>
      </c>
      <c r="D50" s="17">
        <f t="shared" si="6"/>
        <v>0.17173487736580764</v>
      </c>
      <c r="E50" s="17">
        <f t="shared" si="7"/>
        <v>1.9921245774433687</v>
      </c>
      <c r="F50" s="17">
        <f t="shared" si="8"/>
        <v>0.23866283592976684</v>
      </c>
      <c r="G50" s="17">
        <f t="shared" si="9"/>
        <v>0.52413146428205826</v>
      </c>
      <c r="H50" s="17"/>
      <c r="I50" s="98" t="s">
        <v>127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39" customFormat="1" ht="13" customHeight="1">
      <c r="A51" s="17">
        <f>IF(OR('Power Loss'!$B$17="AP63206",'Power Loss'!$B$17="AP63356"), 0, IF(A20&gt;$E$9, 0, 2/((Vin-Vout)*Vout/(2*Vin*Lout*0.000001*($E$9-A20)))))</f>
        <v>3.7546781609195396E-6</v>
      </c>
      <c r="B51" s="153">
        <f t="shared" si="5"/>
        <v>173.77166403346007</v>
      </c>
      <c r="C51" s="149">
        <f>Imin+(Imax-Imin)*0.02</f>
        <v>6.0980000000000006E-2</v>
      </c>
      <c r="D51" s="17">
        <f t="shared" si="6"/>
        <v>0.1720313836228351</v>
      </c>
      <c r="E51" s="17">
        <f t="shared" si="7"/>
        <v>1.9955640500248872</v>
      </c>
      <c r="F51" s="17">
        <f t="shared" si="8"/>
        <v>0.24026945608105554</v>
      </c>
      <c r="G51" s="17">
        <f t="shared" si="9"/>
        <v>0.52711049318002701</v>
      </c>
      <c r="H51" s="17"/>
      <c r="I51" s="98" t="s">
        <v>128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39" customFormat="1" ht="13" customHeight="1">
      <c r="A52" s="17">
        <f>IF(OR('Power Loss'!$B$17="AP63206",'Power Loss'!$B$17="AP63356"), 0, IF(A21&gt;$E$9, 0, 2/((Vin-Vout)*Vout/(2*Vin*Lout*0.000001*($E$9-A21)))))</f>
        <v>3.5133793103448278E-6</v>
      </c>
      <c r="B52" s="153">
        <f t="shared" si="5"/>
        <v>181.37696387471229</v>
      </c>
      <c r="C52" s="149">
        <f>Imin+(Imax-Imin)*0.04</f>
        <v>0.12096000000000001</v>
      </c>
      <c r="D52" s="17">
        <f t="shared" si="6"/>
        <v>0.17262464516255088</v>
      </c>
      <c r="E52" s="17">
        <f t="shared" si="7"/>
        <v>2.0024458838855903</v>
      </c>
      <c r="F52" s="17">
        <f t="shared" si="8"/>
        <v>0.24537339116399828</v>
      </c>
      <c r="G52" s="17">
        <f t="shared" si="9"/>
        <v>0.53718930275978249</v>
      </c>
      <c r="H52" s="17"/>
      <c r="I52" s="16" t="s">
        <v>129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39" customFormat="1" ht="13" customHeight="1">
      <c r="A53" s="17">
        <f>IF(OR('Power Loss'!$B$17="AP63206",'Power Loss'!$B$17="AP63356"), 0, IF(A22&gt;$E$9, 0, 2/((Vin-Vout)*Vout/(2*Vin*Lout*0.000001*($E$9-A22)))))</f>
        <v>3.2720804597701147E-6</v>
      </c>
      <c r="B53" s="153">
        <f t="shared" si="5"/>
        <v>189.67844053798913</v>
      </c>
      <c r="C53" s="149">
        <f>Imin+(Imax-Imin)*0.06</f>
        <v>0.18093999999999999</v>
      </c>
      <c r="D53" s="17">
        <f t="shared" si="6"/>
        <v>0.1732182389689331</v>
      </c>
      <c r="E53" s="17">
        <f t="shared" si="7"/>
        <v>2.0093315720396241</v>
      </c>
      <c r="F53" s="17">
        <f t="shared" si="8"/>
        <v>0.25288438167144206</v>
      </c>
      <c r="G53" s="17">
        <f t="shared" si="9"/>
        <v>0.55248519163224763</v>
      </c>
      <c r="H53" s="17"/>
      <c r="I53" s="16" t="s">
        <v>129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39" customFormat="1" ht="13" customHeight="1">
      <c r="A54" s="17">
        <f>IF(OR('Power Loss'!$B$17="AP63206",'Power Loss'!$B$17="AP63356"), 0, IF(A23&gt;$E$9, 0, 2/((Vin-Vout)*Vout/(2*Vin*Lout*0.000001*($E$9-A23)))))</f>
        <v>3.030781609195402E-6</v>
      </c>
      <c r="B54" s="153">
        <f t="shared" si="5"/>
        <v>198.77626931214272</v>
      </c>
      <c r="C54" s="149">
        <f>Imin+(Imax-Imin)*0.08</f>
        <v>0.24092000000000002</v>
      </c>
      <c r="D54" s="17">
        <f t="shared" ref="D54:D72" si="10">Vout/Vin*(1+(Ron_l+DCR)/1000*A24/Vout)/(1-A24*(Ron_u-Ron_l)/1000/Vin)</f>
        <v>0.17440642449887372</v>
      </c>
      <c r="E54" s="17">
        <f t="shared" si="7"/>
        <v>2.0231145241869353</v>
      </c>
      <c r="F54" s="17">
        <f t="shared" si="8"/>
        <v>0.26383705083085179</v>
      </c>
      <c r="G54" s="17">
        <f t="shared" si="9"/>
        <v>0.57403410628076446</v>
      </c>
      <c r="H54" s="17"/>
      <c r="I54" s="16" t="s">
        <v>131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39" customFormat="1" ht="13" customHeight="1">
      <c r="A55" s="17">
        <f>IF(OR('Power Loss'!$B$17="AP63206",'Power Loss'!$B$17="AP63356"), 0, IF(A24&gt;$E$9, 0, 2/((Vin-Vout)*Vout/(2*Vin*Lout*0.000001*($E$9-A24)))))</f>
        <v>2.7894827586206893E-6</v>
      </c>
      <c r="B55" s="153">
        <f t="shared" si="5"/>
        <v>208.79081320421903</v>
      </c>
      <c r="C55" s="149">
        <f>Imin+(Imax-Imin)*0.1</f>
        <v>0.30090000000000006</v>
      </c>
      <c r="D55" s="17">
        <f t="shared" si="10"/>
        <v>0.17589353039147557</v>
      </c>
      <c r="E55" s="17">
        <f t="shared" ref="E55:E71" si="11">(Vin-Vout)/Lout/10^(-6)*D55/Fs/10^3</f>
        <v>2.0403649525411169</v>
      </c>
      <c r="F55" s="17">
        <f t="shared" si="8"/>
        <v>0.27739366711650865</v>
      </c>
      <c r="G55" s="17">
        <f t="shared" si="9"/>
        <v>0.60043122704172525</v>
      </c>
      <c r="H55" s="17"/>
      <c r="I55" s="16" t="s">
        <v>133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39" customFormat="1" ht="13" customHeight="1">
      <c r="A56" s="17">
        <f>IF(OR('Power Loss'!$B$17="AP63206",'Power Loss'!$B$17="AP63356"), 0, IF(A25&gt;$E$9, 0, 2/((Vin-Vout)*Vout/(2*Vin*Lout*0.000001*($E$9-A25)))))</f>
        <v>2.1862356321839078E-6</v>
      </c>
      <c r="B56" s="153">
        <f t="shared" si="5"/>
        <v>238.87809666325742</v>
      </c>
      <c r="C56" s="149">
        <f>Imin+(Imax-Imin)*0.15</f>
        <v>0.45084999999999997</v>
      </c>
      <c r="D56" s="17">
        <f t="shared" si="10"/>
        <v>0.17738272257389581</v>
      </c>
      <c r="E56" s="17">
        <f t="shared" si="11"/>
        <v>2.0576395818571913</v>
      </c>
      <c r="F56" s="17">
        <f t="shared" si="8"/>
        <v>0.3140710115692506</v>
      </c>
      <c r="G56" s="17">
        <f t="shared" si="9"/>
        <v>0.67634939904903235</v>
      </c>
      <c r="H56" s="17"/>
      <c r="I56" s="16" t="s">
        <v>135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39" customFormat="1" ht="13" customHeight="1">
      <c r="A57" s="17">
        <f>IF(OR('Power Loss'!$B$17="AP63206",'Power Loss'!$B$17="AP63356"), 0, IF(A26&gt;$E$9, 0, 2/((Vin-Vout)*Vout/(2*Vin*Lout*0.000001*($E$9-A26)))))</f>
        <v>1.5829885057471257E-6</v>
      </c>
      <c r="B57" s="153">
        <f t="shared" si="5"/>
        <v>279.09662517644045</v>
      </c>
      <c r="C57" s="149">
        <f>Imin+(Imax-Imin)*0.2</f>
        <v>0.60080000000000011</v>
      </c>
      <c r="D57" s="17">
        <f t="shared" si="10"/>
        <v>0.17887400543956131</v>
      </c>
      <c r="E57" s="17">
        <f t="shared" si="11"/>
        <v>2.0749384630989112</v>
      </c>
      <c r="F57" s="17">
        <f t="shared" si="8"/>
        <v>0.35880779623071213</v>
      </c>
      <c r="G57" s="17">
        <f t="shared" si="9"/>
        <v>0.76876420799965217</v>
      </c>
      <c r="H57" s="17"/>
      <c r="I57" s="16" t="s">
        <v>137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39" customFormat="1" ht="13" customHeight="1">
      <c r="A58" s="17">
        <f>IF(OR('Power Loss'!$B$17="AP63206",'Power Loss'!$B$17="AP63356"), 0, IF(A27&gt;$E$9, 0, 2/((Vin-Vout)*Vout/(2*Vin*Lout*0.000001*($E$9-A27)))))</f>
        <v>9.7974137931034438E-7</v>
      </c>
      <c r="B58" s="153">
        <f t="shared" si="5"/>
        <v>335.59959496600612</v>
      </c>
      <c r="C58" s="149">
        <f>Imin+(Imax-Imin)*0.25</f>
        <v>0.75075000000000003</v>
      </c>
      <c r="D58" s="17">
        <f t="shared" si="10"/>
        <v>0.18186286085610107</v>
      </c>
      <c r="E58" s="17">
        <f t="shared" si="11"/>
        <v>2.109609185930772</v>
      </c>
      <c r="F58" s="17">
        <f t="shared" si="8"/>
        <v>0.41225016908283724</v>
      </c>
      <c r="G58" s="17">
        <f t="shared" si="9"/>
        <v>0.87438336579069442</v>
      </c>
      <c r="H58" s="17"/>
      <c r="I58" s="16" t="s">
        <v>139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39" customFormat="1" ht="13" customHeight="1">
      <c r="A59" s="17">
        <f>IF(OR('Power Loss'!$B$17="AP63206",'Power Loss'!$B$17="AP63356"), 0, IF(A28&gt;$E$9, 0, 2/((Vin-Vout)*Vout/(2*Vin*Lout*0.000001*($E$9-A28)))))</f>
        <v>0</v>
      </c>
      <c r="B59" s="153">
        <f t="shared" si="5"/>
        <v>500</v>
      </c>
      <c r="C59" s="149">
        <f>Imin+(Imax-Imin)*0.35</f>
        <v>1.0506499999999999</v>
      </c>
      <c r="D59" s="17">
        <f t="shared" si="10"/>
        <v>0.1833604422557254</v>
      </c>
      <c r="E59" s="17">
        <f t="shared" si="11"/>
        <v>2.1269811301664143</v>
      </c>
      <c r="F59" s="17">
        <f t="shared" si="8"/>
        <v>0.52108817234488347</v>
      </c>
      <c r="G59" s="17">
        <f t="shared" si="9"/>
        <v>1.0996984131187673</v>
      </c>
      <c r="H59" s="17"/>
      <c r="I59" s="16" t="s">
        <v>141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39" customFormat="1" ht="13" customHeight="1">
      <c r="A60" s="17">
        <f>IF(OR('Power Loss'!$B$17="AP63206",'Power Loss'!$B$17="AP63356"), 0, IF(A29&gt;$E$9, 0, 2/((Vin-Vout)*Vout/(2*Vin*Lout*0.000001*($E$9-A29)))))</f>
        <v>0</v>
      </c>
      <c r="B60" s="153">
        <f t="shared" si="5"/>
        <v>500</v>
      </c>
      <c r="C60" s="149">
        <f>Imin+(Imax-Imin)*0.4</f>
        <v>1.2006000000000001</v>
      </c>
      <c r="D60" s="17">
        <f t="shared" si="10"/>
        <v>0.18486013203618229</v>
      </c>
      <c r="E60" s="17">
        <f t="shared" si="11"/>
        <v>2.1443775316197149</v>
      </c>
      <c r="F60" s="17">
        <f t="shared" si="8"/>
        <v>0.58077755174732848</v>
      </c>
      <c r="G60" s="17">
        <f t="shared" si="9"/>
        <v>1.2195630550444427</v>
      </c>
      <c r="H60" s="17"/>
      <c r="I60" s="16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39" customFormat="1" ht="13" customHeight="1">
      <c r="A61" s="17">
        <f>IF(OR('Power Loss'!$B$17="AP63206",'Power Loss'!$B$17="AP63356"), 0, IF(A30&gt;$E$9, 0, 2/((Vin-Vout)*Vout/(2*Vin*Lout*0.000001*($E$9-A30)))))</f>
        <v>0</v>
      </c>
      <c r="B61" s="153">
        <f t="shared" si="5"/>
        <v>500</v>
      </c>
      <c r="C61" s="149">
        <f>Imin+(Imax-Imin)*0.45</f>
        <v>1.3505499999999999</v>
      </c>
      <c r="D61" s="17">
        <f t="shared" si="10"/>
        <v>0.18636193465305712</v>
      </c>
      <c r="E61" s="17">
        <f t="shared" si="11"/>
        <v>2.1617984419754626</v>
      </c>
      <c r="F61" s="17">
        <f t="shared" si="8"/>
        <v>0.64226136282803925</v>
      </c>
      <c r="G61" s="17">
        <f t="shared" si="9"/>
        <v>1.3419885815319856</v>
      </c>
      <c r="H61" s="17"/>
      <c r="I61" s="16" t="s">
        <v>145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39" customFormat="1" ht="13" customHeight="1">
      <c r="A62" s="17">
        <f>IF(OR('Power Loss'!$B$17="AP63206",'Power Loss'!$B$17="AP63356"), 0, IF(A31&gt;$E$9, 0, 2/((Vin-Vout)*Vout/(2*Vin*Lout*0.000001*($E$9-A31)))))</f>
        <v>0</v>
      </c>
      <c r="B62" s="153">
        <f t="shared" si="5"/>
        <v>500</v>
      </c>
      <c r="C62" s="149">
        <f>Imin+(Imax-Imin)*0.5</f>
        <v>1.5004999999999999</v>
      </c>
      <c r="D62" s="17">
        <f t="shared" si="10"/>
        <v>0.18786585457449839</v>
      </c>
      <c r="E62" s="17">
        <f t="shared" si="11"/>
        <v>2.1792439130641816</v>
      </c>
      <c r="F62" s="17">
        <f t="shared" si="8"/>
        <v>0.70521596633254147</v>
      </c>
      <c r="G62" s="17">
        <f t="shared" si="9"/>
        <v>1.4662637416969935</v>
      </c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39" customFormat="1" ht="13" customHeight="1">
      <c r="A63" s="17">
        <f>IF(OR('Power Loss'!$B$17="AP63206",'Power Loss'!$B$17="AP63356"), 0, IF(A32&gt;$E$9, 0, 2/((Vin-Vout)*Vout/(2*Vin*Lout*0.000001*($E$9-A32)))))</f>
        <v>0</v>
      </c>
      <c r="B63" s="153">
        <f t="shared" si="5"/>
        <v>500</v>
      </c>
      <c r="C63" s="149">
        <f>Imin+(Imax-Imin)*0.55</f>
        <v>1.6504500000000002</v>
      </c>
      <c r="D63" s="17">
        <f t="shared" si="10"/>
        <v>0.1893718962812625</v>
      </c>
      <c r="E63" s="17">
        <f t="shared" si="11"/>
        <v>2.1967139968626448</v>
      </c>
      <c r="F63" s="17">
        <f t="shared" si="8"/>
        <v>0.7694142211470173</v>
      </c>
      <c r="G63" s="17">
        <f t="shared" si="9"/>
        <v>1.5918908015724835</v>
      </c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39" customFormat="1" ht="13" customHeight="1">
      <c r="A64" s="17">
        <f>IF(OR('Power Loss'!$B$17="AP63206",'Power Loss'!$B$17="AP63356"), 0, IF(A33&gt;$E$9, 0, 2/((Vin-Vout)*Vout/(2*Vin*Lout*0.000001*($E$9-A33)))))</f>
        <v>0</v>
      </c>
      <c r="B64" s="153">
        <f t="shared" si="5"/>
        <v>500</v>
      </c>
      <c r="C64" s="149">
        <f>Imin+(Imax-Imin)*0.6</f>
        <v>1.8003999999999998</v>
      </c>
      <c r="D64" s="17">
        <f t="shared" si="10"/>
        <v>0.19088006426675783</v>
      </c>
      <c r="E64" s="17">
        <f t="shared" si="11"/>
        <v>2.2142087454943908</v>
      </c>
      <c r="F64" s="17">
        <f t="shared" si="8"/>
        <v>0.83469292016768348</v>
      </c>
      <c r="G64" s="17">
        <f t="shared" si="9"/>
        <v>1.7185132876241016</v>
      </c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30" s="39" customFormat="1" ht="13" customHeight="1">
      <c r="A65" s="17">
        <f>IF(OR('Power Loss'!$B$17="AP63206",'Power Loss'!$B$17="AP63356"), 0, IF(A34&gt;$E$9, 0, 2/((Vin-Vout)*Vout/(2*Vin*Lout*0.000001*($E$9-A34)))))</f>
        <v>0</v>
      </c>
      <c r="B65" s="153">
        <f t="shared" si="5"/>
        <v>500</v>
      </c>
      <c r="C65" s="149">
        <f>Imin+(Imax-Imin)*0.65</f>
        <v>1.95035</v>
      </c>
      <c r="D65" s="17">
        <f t="shared" si="10"/>
        <v>0.19239036303708965</v>
      </c>
      <c r="E65" s="17">
        <f t="shared" si="11"/>
        <v>2.2317282112302399</v>
      </c>
      <c r="F65" s="17">
        <f t="shared" si="8"/>
        <v>0.90093217576733842</v>
      </c>
      <c r="G65" s="17">
        <f t="shared" si="9"/>
        <v>1.8458703199034703</v>
      </c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30" s="39" customFormat="1" ht="13" customHeight="1">
      <c r="A66" s="17">
        <f>IF(OR('Power Loss'!$B$17="AP63206",'Power Loss'!$B$17="AP63356"), 0, IF(A35&gt;$E$9, 0, 2/((Vin-Vout)*Vout/(2*Vin*Lout*0.000001*($E$9-A35)))))</f>
        <v>0</v>
      </c>
      <c r="B66" s="153">
        <f t="shared" si="5"/>
        <v>500</v>
      </c>
      <c r="C66" s="149">
        <f>Imin+(Imax-Imin)*0.7</f>
        <v>2.1002999999999998</v>
      </c>
      <c r="D66" s="17">
        <f t="shared" si="10"/>
        <v>0.19390279711110503</v>
      </c>
      <c r="E66" s="17">
        <f t="shared" si="11"/>
        <v>2.2492724464888183</v>
      </c>
      <c r="F66" s="17">
        <f t="shared" si="8"/>
        <v>0.96804210565568261</v>
      </c>
      <c r="G66" s="17">
        <f t="shared" si="9"/>
        <v>1.9737671552698899</v>
      </c>
      <c r="H66" s="1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0"/>
      <c r="Y66" s="40"/>
      <c r="Z66" s="40"/>
      <c r="AA66" s="40"/>
      <c r="AB66" s="40"/>
      <c r="AC66" s="40"/>
      <c r="AD66" s="40"/>
    </row>
    <row r="67" spans="1:30" s="39" customFormat="1" ht="13" customHeight="1">
      <c r="A67" s="17">
        <f>IF(OR('Power Loss'!$B$17="AP63206",'Power Loss'!$B$17="AP63356"), 0, IF(A36&gt;$E$9, 0, 2/((Vin-Vout)*Vout/(2*Vin*Lout*0.000001*($E$9-A36)))))</f>
        <v>0</v>
      </c>
      <c r="B67" s="153">
        <f t="shared" si="5"/>
        <v>500</v>
      </c>
      <c r="C67" s="149">
        <f>Imin+(Imax-Imin)*0.75</f>
        <v>2.2502499999999999</v>
      </c>
      <c r="D67" s="17">
        <f t="shared" si="10"/>
        <v>0.1954173710204376</v>
      </c>
      <c r="E67" s="17">
        <f t="shared" si="11"/>
        <v>2.2668415038370759</v>
      </c>
      <c r="F67" s="17">
        <f t="shared" si="8"/>
        <v>1.0359540485957204</v>
      </c>
      <c r="G67" s="17">
        <f t="shared" si="9"/>
        <v>2.1020557728070228</v>
      </c>
      <c r="H67" s="17"/>
      <c r="I67" s="31" t="s">
        <v>130</v>
      </c>
      <c r="J67" s="31" t="s">
        <v>132</v>
      </c>
      <c r="K67" s="31" t="s">
        <v>134</v>
      </c>
      <c r="L67" s="31" t="s">
        <v>136</v>
      </c>
      <c r="M67" s="31" t="s">
        <v>138</v>
      </c>
      <c r="N67" s="31" t="s">
        <v>140</v>
      </c>
      <c r="O67" s="31" t="s">
        <v>142</v>
      </c>
      <c r="P67" s="31" t="s">
        <v>144</v>
      </c>
      <c r="Q67" s="31" t="s">
        <v>41</v>
      </c>
      <c r="R67" s="31"/>
      <c r="S67" s="31"/>
      <c r="T67" s="31"/>
      <c r="U67" s="31"/>
      <c r="V67" s="31"/>
      <c r="W67" s="31"/>
      <c r="X67" s="40"/>
      <c r="Y67" s="40"/>
      <c r="Z67" s="40"/>
      <c r="AA67" s="40"/>
      <c r="AB67" s="40"/>
      <c r="AC67" s="40"/>
      <c r="AD67" s="40"/>
    </row>
    <row r="68" spans="1:30" s="39" customFormat="1" ht="13" customHeight="1">
      <c r="A68" s="17">
        <f>IF(OR('Power Loss'!$B$17="AP63206",'Power Loss'!$B$17="AP63356"), 0, IF(A37&gt;$E$9, 0, 2/((Vin-Vout)*Vout/(2*Vin*Lout*0.000001*($E$9-A37)))))</f>
        <v>0</v>
      </c>
      <c r="B68" s="153">
        <f t="shared" si="5"/>
        <v>500</v>
      </c>
      <c r="C68" s="149">
        <f>Imin+(Imax-Imin)*0.8</f>
        <v>2.4002000000000003</v>
      </c>
      <c r="D68" s="17">
        <f t="shared" si="10"/>
        <v>0.19693408930955336</v>
      </c>
      <c r="E68" s="17">
        <f t="shared" si="11"/>
        <v>2.2844354359908188</v>
      </c>
      <c r="F68" s="17">
        <f t="shared" si="8"/>
        <v>1.1046146454857633</v>
      </c>
      <c r="G68" s="17">
        <f t="shared" si="9"/>
        <v>2.2306218034618164</v>
      </c>
      <c r="H68" s="17"/>
      <c r="I68" s="31">
        <f>2*Ron_u*0.001*'Efficiency Summary'!B68*'Efficiency Summary'!$B$44*Vout/(3*Vin)</f>
        <v>869.48094449128291</v>
      </c>
      <c r="J68" s="99">
        <f>+B68*(Vout*(Vin-Vout)/('Efficiency Summary'!$B$44*Lout*0.000001))*'Power Loss'!$B$53*0.000000001</f>
        <v>0.250392</v>
      </c>
      <c r="K68" s="31">
        <f>+'Power Loss'!$B$50*0.000000001*Vin^2*2*'Efficiency Summary'!B68*Vout*(Vin-Vout)/(Lout*0.000001*'Power Loss'!$B$79*'Efficiency Summary'!$B$44^2)</f>
        <v>8.0634038553909794E-4</v>
      </c>
      <c r="L68" s="31">
        <f>2*Ron_l*0.001*'Efficiency Summary'!$B$46*'Efficiency Summary'!$B$44*(Vin-Vout)/(3*Vin)</f>
        <v>903.69539411540813</v>
      </c>
      <c r="M68" s="31">
        <f>+'Power Loss'!$B$67*0.000000001*Vin^2*2*'Efficiency Summary'!B68*Vout*(Vin-Vout)/(Lout*0.000001*'Power Loss'!$B$79*'Efficiency Summary'!$B$44^2)</f>
        <v>1.2558115502409744E-3</v>
      </c>
      <c r="N68" s="31">
        <f>+$K$44*$K$45*0.000000001*2*B68*Vout*(Vin-Vout)/('Efficiency Summary'!$B$44^2*Lout*0.000001*Vin)</f>
        <v>1.7873150903119866E-4</v>
      </c>
      <c r="O68" s="31">
        <f>+ESR*0.001*B68*$B$44/(6*ncap)</f>
        <v>34.745519026166967</v>
      </c>
      <c r="P68" s="31">
        <f>+$K$46*0.000001*(1+20*B68)*Vin</f>
        <v>5.6005599999999998</v>
      </c>
      <c r="Q68" s="99">
        <f>+B68*Vout*100/(Vout*'Efficiency Summary'!B68+SUM('Efficiency Summary'!G68:P68))</f>
        <v>24.834378779578806</v>
      </c>
      <c r="R68" s="31"/>
      <c r="S68" s="31"/>
      <c r="T68" s="31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30" s="39" customFormat="1" ht="13" customHeight="1">
      <c r="A69" s="17">
        <f>IF(OR('Power Loss'!$B$17="AP63206",'Power Loss'!$B$17="AP63356"), 0, IF(A38&gt;$E$9, 0, 2/((Vin-Vout)*Vout/(2*Vin*Lout*0.000001*($E$9-A38)))))</f>
        <v>0</v>
      </c>
      <c r="B69" s="153">
        <f t="shared" si="5"/>
        <v>500</v>
      </c>
      <c r="C69" s="149">
        <f>Imin+(Imax-Imin)*0.85</f>
        <v>2.5501499999999999</v>
      </c>
      <c r="D69" s="17">
        <f t="shared" si="10"/>
        <v>0.19845295653579553</v>
      </c>
      <c r="E69" s="17">
        <f t="shared" si="11"/>
        <v>2.3020542958152284</v>
      </c>
      <c r="F69" s="17">
        <f t="shared" si="8"/>
        <v>1.1739817701857895</v>
      </c>
      <c r="G69" s="17">
        <f t="shared" si="9"/>
        <v>2.3593755510399115</v>
      </c>
      <c r="H69" s="17"/>
      <c r="I69" s="31">
        <f>2*Ron_u*0.001*'Efficiency Summary'!B69*'Efficiency Summary'!$B$44*Vout/(3*Vin)</f>
        <v>869.48094449128291</v>
      </c>
      <c r="J69" s="99">
        <f>+B69*(Vout*(Vin-Vout)/('Efficiency Summary'!$B$44*Lout*0.000001))*'Power Loss'!$B$53*0.000000001</f>
        <v>0.250392</v>
      </c>
      <c r="K69" s="31">
        <f>+'Power Loss'!$B$50*0.000000001*Vin^2*2*'Efficiency Summary'!B69*Vout*(Vin-Vout)/(Lout*0.000001*'Power Loss'!$B$79*'Efficiency Summary'!$B$44^2)</f>
        <v>8.0634038553909794E-4</v>
      </c>
      <c r="L69" s="31">
        <f>2*Ron_l*0.001*'Efficiency Summary'!$B$46*'Efficiency Summary'!$B$44*(Vin-Vout)/(3*Vin)</f>
        <v>903.69539411540813</v>
      </c>
      <c r="M69" s="31">
        <f>+'Power Loss'!$B$67*0.000000001*Vin^2*2*'Efficiency Summary'!B69*Vout*(Vin-Vout)/(Lout*0.000001*'Power Loss'!$B$79*'Efficiency Summary'!$B$44^2)</f>
        <v>1.2558115502409744E-3</v>
      </c>
      <c r="N69" s="31">
        <f>+$K$44*$K$45*0.000000001*2*B69*Vout*(Vin-Vout)/('Efficiency Summary'!$B$44^2*Lout*0.000001*Vin)</f>
        <v>1.7873150903119866E-4</v>
      </c>
      <c r="O69" s="31">
        <f>+ESR*0.001*B69*$B$44/(6*ncap)</f>
        <v>34.745519026166967</v>
      </c>
      <c r="P69" s="31">
        <f>+$K$46*0.000001*(1+20*B69)*Vin</f>
        <v>5.6005599999999998</v>
      </c>
      <c r="Q69" s="99">
        <f>+B69*Vout*100/(Vout*'Efficiency Summary'!B69+SUM('Efficiency Summary'!G69:P69))</f>
        <v>24.833055376666223</v>
      </c>
      <c r="R69" s="31"/>
      <c r="S69" s="31"/>
      <c r="T69" s="31"/>
      <c r="U69" s="31"/>
      <c r="V69" s="31"/>
      <c r="W69" s="31"/>
      <c r="X69" s="40"/>
      <c r="Y69" s="40"/>
      <c r="Z69" s="40"/>
      <c r="AA69" s="40"/>
      <c r="AB69" s="40"/>
      <c r="AC69" s="40"/>
      <c r="AD69" s="40"/>
    </row>
    <row r="70" spans="1:30" s="39" customFormat="1" ht="13" customHeight="1">
      <c r="A70" s="17">
        <f>IF(OR('Power Loss'!$B$17="AP63206",'Power Loss'!$B$17="AP63356"), 0, IF(A39&gt;$E$9, 0, 2/((Vin-Vout)*Vout/(2*Vin*Lout*0.000001*($E$9-A39)))))</f>
        <v>0</v>
      </c>
      <c r="B70" s="153">
        <f t="shared" si="5"/>
        <v>500</v>
      </c>
      <c r="C70" s="149">
        <f>Imin+(Imax-Imin)*0.9</f>
        <v>2.7000999999999999</v>
      </c>
      <c r="D70" s="17">
        <f t="shared" si="10"/>
        <v>0.1999739772694307</v>
      </c>
      <c r="E70" s="17">
        <f t="shared" si="11"/>
        <v>2.3196981363253961</v>
      </c>
      <c r="F70" s="17">
        <f t="shared" si="8"/>
        <v>1.2440216787813281</v>
      </c>
      <c r="G70" s="17">
        <f t="shared" si="9"/>
        <v>2.488245705919744</v>
      </c>
      <c r="H70" s="17"/>
      <c r="I70" s="31">
        <f>2*Ron_u*0.001*'Efficiency Summary'!B70*'Efficiency Summary'!$B$44*Vout/(3*Vin)</f>
        <v>869.48094449128291</v>
      </c>
      <c r="J70" s="99">
        <f>+B70*(Vout*(Vin-Vout)/('Efficiency Summary'!$B$44*Lout*0.000001))*'Power Loss'!$B$53*0.000000001</f>
        <v>0.250392</v>
      </c>
      <c r="K70" s="31">
        <f>+'Power Loss'!$B$50*0.000000001*Vin^2*2*'Efficiency Summary'!B70*Vout*(Vin-Vout)/(Lout*0.000001*'Power Loss'!$B$79*'Efficiency Summary'!$B$44^2)</f>
        <v>8.0634038553909794E-4</v>
      </c>
      <c r="L70" s="31">
        <f>2*Ron_l*0.001*'Efficiency Summary'!$B$46*'Efficiency Summary'!$B$44*(Vin-Vout)/(3*Vin)</f>
        <v>903.69539411540813</v>
      </c>
      <c r="M70" s="31">
        <f>+'Power Loss'!$B$67*0.000000001*Vin^2*2*'Efficiency Summary'!B70*Vout*(Vin-Vout)/(Lout*0.000001*'Power Loss'!$B$79*'Efficiency Summary'!$B$44^2)</f>
        <v>1.2558115502409744E-3</v>
      </c>
      <c r="N70" s="31">
        <f>+$K$44*$K$45*0.000000001*2*B70*Vout*(Vin-Vout)/('Efficiency Summary'!$B$44^2*Lout*0.000001*Vin)</f>
        <v>1.7873150903119866E-4</v>
      </c>
      <c r="O70" s="31">
        <f>+ESR*0.001*B70*$B$44/(6*ncap)</f>
        <v>34.745519026166967</v>
      </c>
      <c r="P70" s="31">
        <f>+$K$46*0.000001*(1+20*B70)*Vin</f>
        <v>5.6005599999999998</v>
      </c>
      <c r="Q70" s="99">
        <f>+B70*Vout*100/(Vout*'Efficiency Summary'!B70+SUM('Efficiency Summary'!G70:P70))</f>
        <v>24.83173091848424</v>
      </c>
      <c r="R70" s="31"/>
      <c r="S70" s="31"/>
      <c r="T70" s="31"/>
      <c r="U70" s="31"/>
      <c r="V70" s="31"/>
      <c r="W70" s="31"/>
      <c r="X70" s="40"/>
      <c r="Y70" s="40"/>
      <c r="Z70" s="40"/>
      <c r="AA70" s="40"/>
      <c r="AB70" s="40"/>
      <c r="AC70" s="40"/>
      <c r="AD70" s="40"/>
    </row>
    <row r="71" spans="1:30" s="39" customFormat="1" ht="13" customHeight="1">
      <c r="A71" s="17">
        <f>IF(OR('Power Loss'!$B$17="AP63206",'Power Loss'!$B$17="AP63356"), 0, IF(A40&gt;$E$9, 0, 2/((Vin-Vout)*Vout/(2*Vin*Lout*0.000001*($E$9-A40)))))</f>
        <v>0</v>
      </c>
      <c r="B71" s="153">
        <f t="shared" si="5"/>
        <v>500</v>
      </c>
      <c r="C71" s="149">
        <f>Imin+(Imax-Imin)*0.95</f>
        <v>2.85005</v>
      </c>
      <c r="D71" s="17">
        <f t="shared" si="10"/>
        <v>0.20149715609369426</v>
      </c>
      <c r="E71" s="17">
        <f t="shared" si="11"/>
        <v>2.3373670106868536</v>
      </c>
      <c r="F71" s="17">
        <f t="shared" si="8"/>
        <v>1.3147069771450082</v>
      </c>
      <c r="G71" s="17">
        <f t="shared" si="9"/>
        <v>2.6171748658875473</v>
      </c>
      <c r="H71" s="17"/>
      <c r="I71" s="31">
        <f>2*Ron_u*0.001*'Efficiency Summary'!B71*'Efficiency Summary'!$B$44*Vout/(3*Vin)</f>
        <v>869.48094449128291</v>
      </c>
      <c r="J71" s="99">
        <f>+B71*(Vout*(Vin-Vout)/('Efficiency Summary'!$B$44*Lout*0.000001))*'Power Loss'!$B$53*0.000000001</f>
        <v>0.250392</v>
      </c>
      <c r="K71" s="31">
        <f>+'Power Loss'!$B$50*0.000000001*Vin^2*2*'Efficiency Summary'!B71*Vout*(Vin-Vout)/(Lout*0.000001*'Power Loss'!$B$79*'Efficiency Summary'!$B$44^2)</f>
        <v>8.0634038553909794E-4</v>
      </c>
      <c r="L71" s="31">
        <f>2*Ron_l*0.001*'Efficiency Summary'!$B$46*'Efficiency Summary'!$B$44*(Vin-Vout)/(3*Vin)</f>
        <v>903.69539411540813</v>
      </c>
      <c r="M71" s="31">
        <f>+'Power Loss'!$B$67*0.000000001*Vin^2*2*'Efficiency Summary'!B71*Vout*(Vin-Vout)/(Lout*0.000001*'Power Loss'!$B$79*'Efficiency Summary'!$B$44^2)</f>
        <v>1.2558115502409744E-3</v>
      </c>
      <c r="N71" s="31">
        <f>+$K$44*$K$45*0.000000001*2*B71*Vout*(Vin-Vout)/('Efficiency Summary'!$B$44^2*Lout*0.000001*Vin)</f>
        <v>1.7873150903119866E-4</v>
      </c>
      <c r="O71" s="31">
        <f>+ESR*0.001*B71*$B$44/(6*ncap)</f>
        <v>34.745519026166967</v>
      </c>
      <c r="P71" s="31">
        <f>+$K$46*0.000001*(1+20*B71)*Vin</f>
        <v>5.6005599999999998</v>
      </c>
      <c r="Q71" s="99">
        <f>+B71*Vout*100/(Vout*'Efficiency Summary'!B71+SUM('Efficiency Summary'!G71:P71))</f>
        <v>24.830405995247755</v>
      </c>
      <c r="R71" s="31"/>
      <c r="S71" s="31"/>
      <c r="T71" s="31"/>
      <c r="U71" s="31"/>
      <c r="V71" s="31"/>
      <c r="W71" s="31"/>
      <c r="X71" s="40"/>
      <c r="Y71" s="40"/>
      <c r="Z71" s="40"/>
      <c r="AA71" s="40"/>
      <c r="AB71" s="40"/>
      <c r="AC71" s="40"/>
      <c r="AD71" s="40"/>
    </row>
    <row r="72" spans="1:30" s="39" customFormat="1" ht="13" customHeight="1">
      <c r="A72" s="17">
        <f>IF(OR('Power Loss'!$B$17="AP63206",'Power Loss'!$B$17="AP63356"), 0, IF(A41&gt;$E$9, 0, 2/((Vin-Vout)*Vout/(2*Vin*Lout*0.000001*($E$9-A41)))))</f>
        <v>0</v>
      </c>
      <c r="B72" s="153">
        <f t="shared" si="5"/>
        <v>500</v>
      </c>
      <c r="C72" s="149">
        <f>Imin+(Imax-Imin)*1</f>
        <v>3</v>
      </c>
      <c r="D72" s="17">
        <f t="shared" si="10"/>
        <v>0.17142857142857143</v>
      </c>
      <c r="E72" s="17">
        <f>(Vin-Vout)/Lout/10^(-6)*D72/Fs/10^3</f>
        <v>1.9885714285714287</v>
      </c>
      <c r="F72" s="17">
        <f t="shared" si="8"/>
        <v>1.2646536303133451</v>
      </c>
      <c r="G72" s="17">
        <f t="shared" si="9"/>
        <v>2.7803211845419642</v>
      </c>
      <c r="H72" s="17"/>
      <c r="I72" s="31">
        <f>2*Ron_u*0.001*'Efficiency Summary'!B72*'Efficiency Summary'!$B$44*Vout/(3*Vin)</f>
        <v>869.48094449128291</v>
      </c>
      <c r="J72" s="99">
        <f>+B72*(Vout*(Vin-Vout)/('Efficiency Summary'!$B$44*Lout*0.000001))*'Power Loss'!$B$53*0.000000001</f>
        <v>0.250392</v>
      </c>
      <c r="K72" s="31">
        <f>+'Power Loss'!$B$50*0.000000001*Vin^2*2*'Efficiency Summary'!B72*Vout*(Vin-Vout)/(Lout*0.000001*'Power Loss'!$B$79*'Efficiency Summary'!$B$44^2)</f>
        <v>8.0634038553909794E-4</v>
      </c>
      <c r="L72" s="31">
        <f>2*Ron_l*0.001*'Efficiency Summary'!$B$46*'Efficiency Summary'!$B$44*(Vin-Vout)/(3*Vin)</f>
        <v>903.69539411540813</v>
      </c>
      <c r="M72" s="31">
        <f>+'Power Loss'!$B$67*0.000000001*Vin^2*2*'Efficiency Summary'!B72*Vout*(Vin-Vout)/(Lout*0.000001*'Power Loss'!$B$79*'Efficiency Summary'!$B$44^2)</f>
        <v>1.2558115502409744E-3</v>
      </c>
      <c r="N72" s="31">
        <f>+$K$44*$K$45*0.000000001*2*B72*Vout*(Vin-Vout)/('Efficiency Summary'!$B$44^2*Lout*0.000001*Vin)</f>
        <v>1.7873150903119866E-4</v>
      </c>
      <c r="O72" s="31">
        <f>+ESR*0.001*B72*$B$44/(6*ncap)</f>
        <v>34.745519026166967</v>
      </c>
      <c r="P72" s="31">
        <f>+$K$46*0.000001*(1+20*B72)*Vin</f>
        <v>5.6005599999999998</v>
      </c>
      <c r="Q72" s="99">
        <f>+B72*Vout*100/(Vout*'Efficiency Summary'!B72+SUM('Efficiency Summary'!G72:P72))</f>
        <v>24.828729646600308</v>
      </c>
      <c r="R72" s="31"/>
      <c r="S72" s="31"/>
      <c r="T72" s="31"/>
      <c r="U72" s="31"/>
      <c r="V72" s="31"/>
      <c r="W72" s="31"/>
      <c r="X72" s="40"/>
      <c r="Y72" s="40"/>
      <c r="Z72" s="40"/>
      <c r="AA72" s="40"/>
      <c r="AB72" s="40"/>
      <c r="AC72" s="40"/>
      <c r="AD72" s="40"/>
    </row>
    <row r="73" spans="1:30" s="39" customFormat="1" ht="13" customHeight="1">
      <c r="A73" s="31"/>
      <c r="B73" s="31"/>
      <c r="C73" s="99"/>
      <c r="D73" s="99"/>
      <c r="E73" s="99"/>
      <c r="F73" s="99"/>
      <c r="G73" s="99"/>
      <c r="H73" s="99"/>
      <c r="I73" s="31"/>
      <c r="J73" s="99"/>
      <c r="K73" s="31"/>
      <c r="L73" s="31"/>
      <c r="M73" s="31"/>
      <c r="N73" s="31"/>
      <c r="O73" s="31"/>
      <c r="P73" s="31"/>
      <c r="Q73" s="99"/>
      <c r="R73" s="31"/>
      <c r="S73" s="31"/>
      <c r="T73" s="31"/>
      <c r="U73" s="31"/>
      <c r="V73" s="31"/>
      <c r="W73" s="31"/>
      <c r="X73" s="40"/>
      <c r="Y73" s="40"/>
      <c r="Z73" s="40"/>
      <c r="AA73" s="40"/>
      <c r="AB73" s="40"/>
      <c r="AC73" s="40"/>
      <c r="AD73" s="40"/>
    </row>
    <row r="74" spans="1:30" s="39" customFormat="1" ht="13" customHeight="1">
      <c r="A74" s="31"/>
      <c r="B74" s="31"/>
      <c r="C74" s="99"/>
      <c r="D74" s="99"/>
      <c r="E74" s="99"/>
      <c r="F74" s="99"/>
      <c r="G74" s="99"/>
      <c r="H74" s="99"/>
      <c r="I74" s="31"/>
      <c r="J74" s="99"/>
      <c r="K74" s="31"/>
      <c r="L74" s="31"/>
      <c r="M74" s="31"/>
      <c r="N74" s="31"/>
      <c r="O74" s="31"/>
      <c r="P74" s="31"/>
      <c r="Q74" s="99"/>
      <c r="R74" s="31"/>
      <c r="S74" s="31"/>
      <c r="T74" s="31"/>
      <c r="U74" s="31"/>
      <c r="V74" s="31"/>
      <c r="W74" s="31"/>
      <c r="X74" s="40"/>
      <c r="Y74" s="40"/>
      <c r="Z74" s="40"/>
      <c r="AA74" s="40"/>
      <c r="AB74" s="40"/>
      <c r="AC74" s="40"/>
      <c r="AD74" s="40"/>
    </row>
    <row r="75" spans="1:30" s="39" customFormat="1" ht="13" customHeight="1">
      <c r="A75" s="31"/>
      <c r="B75" s="31"/>
      <c r="C75" s="99"/>
      <c r="D75" s="99"/>
      <c r="E75" s="99"/>
      <c r="F75" s="99"/>
      <c r="G75" s="99"/>
      <c r="H75" s="99"/>
      <c r="I75" s="31"/>
      <c r="J75" s="99"/>
      <c r="K75" s="31"/>
      <c r="L75" s="31"/>
      <c r="M75" s="31"/>
      <c r="N75" s="31"/>
      <c r="O75" s="31"/>
      <c r="P75" s="31"/>
      <c r="Q75" s="99"/>
      <c r="R75" s="31"/>
      <c r="S75" s="31"/>
      <c r="T75" s="31"/>
      <c r="U75" s="31"/>
      <c r="V75" s="31"/>
      <c r="W75" s="31"/>
      <c r="X75" s="40"/>
      <c r="Y75" s="40"/>
      <c r="Z75" s="40"/>
      <c r="AA75" s="40"/>
      <c r="AB75" s="40"/>
      <c r="AC75" s="40"/>
      <c r="AD75" s="40"/>
    </row>
    <row r="76" spans="1:30" s="39" customFormat="1" ht="13" customHeight="1">
      <c r="A76" s="31"/>
      <c r="B76" s="31"/>
      <c r="C76" s="99"/>
      <c r="D76" s="99"/>
      <c r="E76" s="99"/>
      <c r="F76" s="99"/>
      <c r="G76" s="99"/>
      <c r="H76" s="99"/>
      <c r="I76" s="31"/>
      <c r="J76" s="99"/>
      <c r="K76" s="31"/>
      <c r="L76" s="31"/>
      <c r="M76" s="31"/>
      <c r="N76" s="31"/>
      <c r="O76" s="31"/>
      <c r="P76" s="31"/>
      <c r="Q76" s="99"/>
      <c r="R76" s="31"/>
      <c r="S76" s="31"/>
      <c r="T76" s="31"/>
      <c r="U76" s="31"/>
      <c r="V76" s="31"/>
      <c r="W76" s="31"/>
      <c r="X76" s="40"/>
      <c r="Y76" s="40"/>
      <c r="Z76" s="40"/>
      <c r="AA76" s="40"/>
      <c r="AB76" s="40"/>
      <c r="AC76" s="40"/>
      <c r="AD76" s="40"/>
    </row>
    <row r="77" spans="1:30" s="39" customFormat="1" ht="13" customHeight="1">
      <c r="A77" s="31"/>
      <c r="B77" s="31"/>
      <c r="C77" s="99"/>
      <c r="D77" s="99"/>
      <c r="E77" s="99"/>
      <c r="F77" s="99"/>
      <c r="G77" s="99"/>
      <c r="H77" s="99"/>
      <c r="I77" s="31"/>
      <c r="J77" s="99"/>
      <c r="K77" s="31"/>
      <c r="L77" s="31"/>
      <c r="M77" s="31"/>
      <c r="N77" s="31"/>
      <c r="O77" s="31"/>
      <c r="P77" s="31"/>
      <c r="Q77" s="99"/>
      <c r="R77" s="31"/>
      <c r="S77" s="31"/>
      <c r="T77" s="31"/>
      <c r="U77" s="31"/>
      <c r="V77" s="31"/>
      <c r="W77" s="31"/>
      <c r="X77" s="40"/>
      <c r="Y77" s="40"/>
      <c r="Z77" s="40"/>
      <c r="AA77" s="40"/>
      <c r="AB77" s="40"/>
      <c r="AC77" s="40"/>
      <c r="AD77" s="40"/>
    </row>
    <row r="78" spans="1:30" s="39" customFormat="1" ht="13" customHeight="1">
      <c r="A78" s="31"/>
      <c r="B78" s="31"/>
      <c r="C78" s="99"/>
      <c r="D78" s="99"/>
      <c r="E78" s="99"/>
      <c r="F78" s="99"/>
      <c r="G78" s="99"/>
      <c r="H78" s="99"/>
      <c r="I78" s="31"/>
      <c r="J78" s="99"/>
      <c r="K78" s="31"/>
      <c r="L78" s="31"/>
      <c r="M78" s="31"/>
      <c r="N78" s="31"/>
      <c r="O78" s="31"/>
      <c r="P78" s="31"/>
      <c r="Q78" s="99"/>
      <c r="R78" s="31"/>
      <c r="S78" s="31"/>
      <c r="T78" s="31"/>
      <c r="U78" s="31"/>
      <c r="V78" s="31"/>
      <c r="W78" s="31"/>
      <c r="X78" s="40"/>
      <c r="Y78" s="40"/>
      <c r="Z78" s="40"/>
      <c r="AA78" s="40"/>
      <c r="AB78" s="40"/>
      <c r="AC78" s="40"/>
      <c r="AD78" s="40"/>
    </row>
    <row r="79" spans="1:30" s="39" customFormat="1" ht="13" customHeight="1">
      <c r="A79" s="31"/>
      <c r="B79" s="31"/>
      <c r="C79" s="99"/>
      <c r="D79" s="99"/>
      <c r="E79" s="99"/>
      <c r="F79" s="99"/>
      <c r="G79" s="99"/>
      <c r="H79" s="99"/>
      <c r="I79" s="31"/>
      <c r="J79" s="99"/>
      <c r="K79" s="31"/>
      <c r="L79" s="31"/>
      <c r="M79" s="31"/>
      <c r="N79" s="31"/>
      <c r="O79" s="31"/>
      <c r="P79" s="31"/>
      <c r="Q79" s="99"/>
      <c r="R79" s="31"/>
      <c r="S79" s="31"/>
      <c r="T79" s="31"/>
      <c r="U79" s="31"/>
      <c r="V79" s="31"/>
      <c r="W79" s="31"/>
      <c r="X79" s="40"/>
      <c r="Y79" s="40"/>
      <c r="Z79" s="40"/>
      <c r="AA79" s="40"/>
      <c r="AB79" s="40"/>
      <c r="AC79" s="40"/>
      <c r="AD79" s="40"/>
    </row>
    <row r="80" spans="1:30" s="39" customFormat="1" ht="13" customHeight="1">
      <c r="A80" s="31"/>
      <c r="B80" s="31"/>
      <c r="C80" s="99"/>
      <c r="D80" s="99"/>
      <c r="E80" s="99"/>
      <c r="F80" s="99"/>
      <c r="G80" s="99"/>
      <c r="H80" s="99"/>
      <c r="I80" s="31"/>
      <c r="J80" s="99"/>
      <c r="K80" s="31"/>
      <c r="L80" s="31"/>
      <c r="M80" s="31"/>
      <c r="N80" s="31"/>
      <c r="O80" s="31"/>
      <c r="P80" s="31"/>
      <c r="Q80" s="99"/>
      <c r="R80" s="31"/>
      <c r="S80" s="31"/>
      <c r="T80" s="31"/>
      <c r="U80" s="31"/>
      <c r="V80" s="31"/>
      <c r="W80" s="31"/>
      <c r="X80" s="40"/>
      <c r="Y80" s="40"/>
      <c r="Z80" s="40"/>
      <c r="AA80" s="40"/>
      <c r="AB80" s="40"/>
      <c r="AC80" s="40"/>
      <c r="AD80" s="40"/>
    </row>
    <row r="81" spans="1:30" s="39" customFormat="1" ht="13" customHeight="1">
      <c r="A81" s="31"/>
      <c r="B81" s="31"/>
      <c r="C81" s="99"/>
      <c r="D81" s="99"/>
      <c r="E81" s="99"/>
      <c r="F81" s="99"/>
      <c r="G81" s="99"/>
      <c r="H81" s="99"/>
      <c r="I81" s="31"/>
      <c r="J81" s="99"/>
      <c r="K81" s="31"/>
      <c r="L81" s="31"/>
      <c r="M81" s="31"/>
      <c r="N81" s="31"/>
      <c r="O81" s="31"/>
      <c r="P81" s="31"/>
      <c r="Q81" s="99"/>
      <c r="R81" s="31"/>
      <c r="S81" s="31"/>
      <c r="T81" s="31"/>
      <c r="U81" s="31"/>
      <c r="V81" s="31"/>
      <c r="W81" s="31"/>
      <c r="X81" s="40"/>
      <c r="Y81" s="40"/>
      <c r="Z81" s="40"/>
      <c r="AA81" s="40"/>
      <c r="AB81" s="40"/>
      <c r="AC81" s="40"/>
      <c r="AD81" s="40"/>
    </row>
    <row r="82" spans="1:30" s="39" customFormat="1" ht="13" customHeight="1">
      <c r="A82" s="31"/>
      <c r="B82" s="31"/>
      <c r="C82" s="99"/>
      <c r="D82" s="99"/>
      <c r="E82" s="99"/>
      <c r="F82" s="99"/>
      <c r="G82" s="99"/>
      <c r="H82" s="99"/>
      <c r="I82" s="31"/>
      <c r="J82" s="99"/>
      <c r="K82" s="31"/>
      <c r="L82" s="31"/>
      <c r="M82" s="31"/>
      <c r="N82" s="31"/>
      <c r="O82" s="31"/>
      <c r="P82" s="31"/>
      <c r="Q82" s="99"/>
      <c r="R82" s="31"/>
      <c r="S82" s="31"/>
      <c r="T82" s="31"/>
      <c r="U82" s="31"/>
      <c r="V82" s="31"/>
      <c r="W82" s="31"/>
      <c r="X82" s="40"/>
      <c r="Y82" s="40"/>
      <c r="Z82" s="40"/>
      <c r="AA82" s="40"/>
      <c r="AB82" s="40"/>
      <c r="AC82" s="40"/>
      <c r="AD82" s="40"/>
    </row>
    <row r="83" spans="1:30" s="39" customFormat="1" ht="13" customHeight="1">
      <c r="A83" s="31"/>
      <c r="B83" s="31"/>
      <c r="C83" s="99"/>
      <c r="D83" s="99"/>
      <c r="E83" s="99"/>
      <c r="F83" s="99"/>
      <c r="G83" s="99"/>
      <c r="H83" s="99"/>
      <c r="I83" s="31"/>
      <c r="J83" s="99"/>
      <c r="K83" s="31"/>
      <c r="L83" s="31"/>
      <c r="M83" s="31"/>
      <c r="N83" s="31"/>
      <c r="O83" s="31"/>
      <c r="P83" s="31"/>
      <c r="Q83" s="99"/>
      <c r="R83" s="31"/>
      <c r="S83" s="31"/>
      <c r="T83" s="31"/>
      <c r="U83" s="31"/>
      <c r="V83" s="31"/>
      <c r="W83" s="31"/>
      <c r="X83" s="40"/>
      <c r="Y83" s="40"/>
      <c r="Z83" s="40"/>
      <c r="AA83" s="40"/>
      <c r="AB83" s="40"/>
      <c r="AC83" s="40"/>
      <c r="AD83" s="40"/>
    </row>
    <row r="84" spans="1:30" s="39" customFormat="1" ht="13" customHeight="1">
      <c r="A84" s="31"/>
      <c r="B84" s="31"/>
      <c r="C84" s="99"/>
      <c r="D84" s="99"/>
      <c r="E84" s="99"/>
      <c r="F84" s="99"/>
      <c r="G84" s="99"/>
      <c r="H84" s="99"/>
      <c r="I84" s="31"/>
      <c r="J84" s="99"/>
      <c r="K84" s="31"/>
      <c r="L84" s="31"/>
      <c r="M84" s="31"/>
      <c r="N84" s="31"/>
      <c r="O84" s="31"/>
      <c r="P84" s="31"/>
      <c r="Q84" s="99"/>
      <c r="R84" s="31"/>
      <c r="S84" s="31"/>
      <c r="T84" s="31"/>
      <c r="U84" s="31"/>
      <c r="V84" s="31"/>
      <c r="W84" s="31"/>
      <c r="X84" s="40"/>
      <c r="Y84" s="40"/>
      <c r="Z84" s="40"/>
      <c r="AA84" s="40"/>
      <c r="AB84" s="40"/>
      <c r="AC84" s="40"/>
      <c r="AD84" s="40"/>
    </row>
    <row r="85" spans="1:30" s="39" customFormat="1" ht="13" customHeight="1">
      <c r="A85" s="31"/>
      <c r="B85" s="31"/>
      <c r="C85" s="99"/>
      <c r="D85" s="99"/>
      <c r="E85" s="99"/>
      <c r="F85" s="99"/>
      <c r="G85" s="99"/>
      <c r="H85" s="99"/>
      <c r="I85" s="31"/>
      <c r="J85" s="99"/>
      <c r="K85" s="31"/>
      <c r="L85" s="31"/>
      <c r="M85" s="31"/>
      <c r="N85" s="31"/>
      <c r="O85" s="31"/>
      <c r="P85" s="31"/>
      <c r="Q85" s="99"/>
      <c r="R85" s="31"/>
      <c r="S85" s="31"/>
      <c r="T85" s="31"/>
      <c r="U85" s="31"/>
      <c r="V85" s="31"/>
      <c r="W85" s="31"/>
      <c r="X85" s="40"/>
      <c r="Y85" s="40"/>
      <c r="Z85" s="40"/>
      <c r="AA85" s="40"/>
      <c r="AB85" s="40"/>
      <c r="AC85" s="40"/>
      <c r="AD85" s="40"/>
    </row>
    <row r="86" spans="1:30" s="39" customFormat="1" ht="13" customHeight="1">
      <c r="A86" s="31"/>
      <c r="B86" s="31"/>
      <c r="C86" s="99"/>
      <c r="D86" s="99"/>
      <c r="E86" s="99"/>
      <c r="F86" s="99"/>
      <c r="G86" s="99"/>
      <c r="H86" s="99"/>
      <c r="I86" s="31"/>
      <c r="J86" s="99"/>
      <c r="K86" s="31"/>
      <c r="L86" s="31"/>
      <c r="M86" s="31"/>
      <c r="N86" s="31"/>
      <c r="O86" s="31"/>
      <c r="P86" s="31"/>
      <c r="Q86" s="99"/>
      <c r="R86" s="31"/>
      <c r="S86" s="31"/>
      <c r="T86" s="31"/>
      <c r="U86" s="31"/>
      <c r="V86" s="31"/>
      <c r="W86" s="31"/>
      <c r="X86" s="40"/>
      <c r="Y86" s="40"/>
      <c r="Z86" s="40"/>
      <c r="AA86" s="40"/>
      <c r="AB86" s="40"/>
      <c r="AC86" s="40"/>
      <c r="AD86" s="40"/>
    </row>
    <row r="87" spans="1:30" s="39" customFormat="1" ht="13" customHeight="1">
      <c r="A87" s="31"/>
      <c r="B87" s="31"/>
      <c r="C87" s="99"/>
      <c r="D87" s="99"/>
      <c r="E87" s="99"/>
      <c r="F87" s="99"/>
      <c r="G87" s="99"/>
      <c r="H87" s="99"/>
      <c r="I87" s="31"/>
      <c r="J87" s="99"/>
      <c r="K87" s="31"/>
      <c r="L87" s="31"/>
      <c r="M87" s="31"/>
      <c r="N87" s="31"/>
      <c r="O87" s="31"/>
      <c r="P87" s="31"/>
      <c r="Q87" s="99"/>
      <c r="R87" s="31"/>
      <c r="S87" s="31"/>
      <c r="T87" s="31"/>
      <c r="U87" s="31"/>
      <c r="V87" s="31"/>
      <c r="W87" s="31"/>
      <c r="X87" s="40"/>
      <c r="Y87" s="40"/>
      <c r="Z87" s="40"/>
      <c r="AA87" s="40"/>
      <c r="AB87" s="40"/>
      <c r="AC87" s="40"/>
      <c r="AD87" s="40"/>
    </row>
    <row r="88" spans="1:30" s="39" customFormat="1" ht="13" customHeight="1">
      <c r="A88" s="31"/>
      <c r="B88" s="31"/>
      <c r="C88" s="99"/>
      <c r="D88" s="99"/>
      <c r="E88" s="99"/>
      <c r="F88" s="99"/>
      <c r="G88" s="99"/>
      <c r="H88" s="99"/>
      <c r="I88" s="31"/>
      <c r="J88" s="99"/>
      <c r="K88" s="31"/>
      <c r="L88" s="31"/>
      <c r="M88" s="31"/>
      <c r="N88" s="31"/>
      <c r="O88" s="31"/>
      <c r="P88" s="31"/>
      <c r="Q88" s="99"/>
      <c r="R88" s="31"/>
      <c r="S88" s="31"/>
      <c r="T88" s="31"/>
      <c r="U88" s="31"/>
      <c r="V88" s="31"/>
      <c r="W88" s="31"/>
      <c r="X88" s="40"/>
      <c r="Y88" s="40"/>
      <c r="Z88" s="40"/>
      <c r="AA88" s="40"/>
      <c r="AB88" s="40"/>
      <c r="AC88" s="40"/>
      <c r="AD88" s="40"/>
    </row>
    <row r="89" spans="1:30" s="39" customFormat="1" ht="13" customHeight="1">
      <c r="A89" s="31"/>
      <c r="B89" s="31"/>
      <c r="C89" s="99"/>
      <c r="D89" s="99"/>
      <c r="E89" s="99"/>
      <c r="F89" s="99"/>
      <c r="G89" s="99"/>
      <c r="H89" s="99"/>
      <c r="I89" s="31"/>
      <c r="J89" s="99"/>
      <c r="K89" s="31"/>
      <c r="L89" s="31"/>
      <c r="M89" s="31"/>
      <c r="N89" s="31"/>
      <c r="O89" s="31"/>
      <c r="P89" s="31"/>
      <c r="Q89" s="99"/>
      <c r="R89" s="31"/>
      <c r="S89" s="31"/>
      <c r="T89" s="31"/>
      <c r="U89" s="31"/>
      <c r="V89" s="31"/>
      <c r="W89" s="31"/>
      <c r="X89" s="40"/>
      <c r="Y89" s="40"/>
      <c r="Z89" s="40"/>
      <c r="AA89" s="40"/>
      <c r="AB89" s="40"/>
      <c r="AC89" s="40"/>
      <c r="AD89" s="40"/>
    </row>
    <row r="90" spans="1:30" s="39" customFormat="1" ht="13" customHeight="1">
      <c r="A90" s="31"/>
      <c r="B90" s="31"/>
      <c r="C90" s="99"/>
      <c r="D90" s="99"/>
      <c r="E90" s="99"/>
      <c r="F90" s="99"/>
      <c r="G90" s="99"/>
      <c r="H90" s="99"/>
      <c r="I90" s="31"/>
      <c r="J90" s="99"/>
      <c r="K90" s="31"/>
      <c r="L90" s="31"/>
      <c r="M90" s="31"/>
      <c r="N90" s="31"/>
      <c r="O90" s="31"/>
      <c r="P90" s="31"/>
      <c r="Q90" s="99"/>
      <c r="R90" s="31"/>
      <c r="S90" s="31"/>
      <c r="T90" s="31"/>
      <c r="U90" s="31"/>
      <c r="V90" s="31"/>
      <c r="W90" s="31"/>
      <c r="X90" s="40"/>
      <c r="Y90" s="40"/>
      <c r="Z90" s="40"/>
      <c r="AA90" s="40"/>
      <c r="AB90" s="40"/>
      <c r="AC90" s="40"/>
      <c r="AD90" s="40"/>
    </row>
    <row r="91" spans="1:30" s="39" customFormat="1" ht="13" customHeight="1">
      <c r="A91" s="31"/>
      <c r="B91" s="31"/>
      <c r="C91" s="99"/>
      <c r="D91" s="99"/>
      <c r="E91" s="99"/>
      <c r="F91" s="99"/>
      <c r="G91" s="99"/>
      <c r="H91" s="99"/>
      <c r="I91" s="31"/>
      <c r="J91" s="99"/>
      <c r="K91" s="31"/>
      <c r="L91" s="31"/>
      <c r="M91" s="31"/>
      <c r="N91" s="31"/>
      <c r="O91" s="31"/>
      <c r="P91" s="31"/>
      <c r="Q91" s="99"/>
      <c r="R91" s="31"/>
      <c r="S91" s="31"/>
      <c r="T91" s="31"/>
      <c r="U91" s="31"/>
      <c r="V91" s="31"/>
      <c r="W91" s="31"/>
      <c r="X91" s="40"/>
      <c r="Y91" s="40"/>
      <c r="Z91" s="40"/>
      <c r="AA91" s="40"/>
      <c r="AB91" s="40"/>
      <c r="AC91" s="40"/>
      <c r="AD91" s="40"/>
    </row>
    <row r="92" spans="1:30" s="39" customFormat="1" ht="13" customHeight="1">
      <c r="A92" s="31"/>
      <c r="B92" s="31"/>
      <c r="C92" s="99"/>
      <c r="D92" s="99"/>
      <c r="E92" s="99"/>
      <c r="F92" s="99"/>
      <c r="G92" s="99"/>
      <c r="H92" s="99"/>
      <c r="I92" s="31"/>
      <c r="J92" s="99"/>
      <c r="K92" s="31"/>
      <c r="L92" s="31"/>
      <c r="M92" s="31"/>
      <c r="N92" s="31"/>
      <c r="O92" s="31"/>
      <c r="P92" s="31"/>
      <c r="Q92" s="99"/>
      <c r="R92" s="31"/>
      <c r="S92" s="31"/>
      <c r="T92" s="31"/>
      <c r="U92" s="31"/>
      <c r="V92" s="31"/>
      <c r="W92" s="31"/>
      <c r="X92" s="40"/>
      <c r="Y92" s="40"/>
      <c r="Z92" s="40"/>
      <c r="AA92" s="40"/>
      <c r="AB92" s="40"/>
      <c r="AC92" s="40"/>
      <c r="AD92" s="40"/>
    </row>
    <row r="93" spans="1:30" s="39" customFormat="1" ht="13" customHeight="1">
      <c r="A93" s="31"/>
      <c r="B93" s="31"/>
      <c r="C93" s="99"/>
      <c r="D93" s="99"/>
      <c r="E93" s="99"/>
      <c r="F93" s="99"/>
      <c r="G93" s="99"/>
      <c r="H93" s="99"/>
      <c r="I93" s="31"/>
      <c r="J93" s="99"/>
      <c r="K93" s="31"/>
      <c r="L93" s="31"/>
      <c r="M93" s="31"/>
      <c r="N93" s="31"/>
      <c r="O93" s="31"/>
      <c r="P93" s="31"/>
      <c r="Q93" s="99"/>
      <c r="R93" s="31"/>
      <c r="S93" s="31"/>
      <c r="T93" s="31"/>
      <c r="U93" s="31"/>
      <c r="V93" s="31"/>
      <c r="W93" s="31"/>
      <c r="X93" s="40"/>
      <c r="Y93" s="40"/>
      <c r="Z93" s="40"/>
      <c r="AA93" s="40"/>
      <c r="AB93" s="40"/>
      <c r="AC93" s="40"/>
      <c r="AD93" s="40"/>
    </row>
    <row r="94" spans="1:30" s="39" customFormat="1" ht="13" customHeight="1">
      <c r="A94" s="31"/>
      <c r="B94" s="31"/>
      <c r="C94" s="99"/>
      <c r="D94" s="99"/>
      <c r="E94" s="99"/>
      <c r="F94" s="99"/>
      <c r="G94" s="99"/>
      <c r="H94" s="99"/>
      <c r="I94" s="31"/>
      <c r="J94" s="99"/>
      <c r="K94" s="31"/>
      <c r="L94" s="31"/>
      <c r="M94" s="31"/>
      <c r="N94" s="31"/>
      <c r="O94" s="31"/>
      <c r="P94" s="31"/>
      <c r="Q94" s="99"/>
      <c r="R94" s="31"/>
      <c r="S94" s="31"/>
      <c r="T94" s="31"/>
      <c r="U94" s="31"/>
      <c r="V94" s="31"/>
      <c r="W94" s="31"/>
      <c r="X94" s="40"/>
      <c r="Y94" s="40"/>
      <c r="Z94" s="40"/>
      <c r="AA94" s="40"/>
      <c r="AB94" s="40"/>
      <c r="AC94" s="40"/>
      <c r="AD94" s="40"/>
    </row>
    <row r="95" spans="1:30" s="39" customFormat="1" ht="13" customHeight="1">
      <c r="A95" s="31"/>
      <c r="B95" s="31"/>
      <c r="C95" s="99"/>
      <c r="D95" s="99"/>
      <c r="E95" s="99"/>
      <c r="F95" s="99"/>
      <c r="G95" s="99"/>
      <c r="H95" s="99"/>
      <c r="I95" s="31"/>
      <c r="J95" s="99"/>
      <c r="K95" s="31"/>
      <c r="L95" s="31"/>
      <c r="M95" s="31"/>
      <c r="N95" s="31"/>
      <c r="O95" s="31"/>
      <c r="P95" s="31"/>
      <c r="Q95" s="99"/>
      <c r="R95" s="31"/>
      <c r="S95" s="31"/>
      <c r="T95" s="31"/>
      <c r="U95" s="31"/>
      <c r="V95" s="31"/>
      <c r="W95" s="31"/>
      <c r="X95" s="40"/>
      <c r="Y95" s="40"/>
      <c r="Z95" s="40"/>
      <c r="AA95" s="40"/>
      <c r="AB95" s="40"/>
      <c r="AC95" s="40"/>
      <c r="AD95" s="40"/>
    </row>
    <row r="96" spans="1:30" s="39" customFormat="1" ht="13" customHeight="1">
      <c r="A96" s="31"/>
      <c r="B96" s="31"/>
      <c r="C96" s="99"/>
      <c r="D96" s="99"/>
      <c r="E96" s="99"/>
      <c r="F96" s="99"/>
      <c r="G96" s="99"/>
      <c r="H96" s="99"/>
      <c r="I96" s="31"/>
      <c r="J96" s="99"/>
      <c r="K96" s="31"/>
      <c r="L96" s="31"/>
      <c r="M96" s="31"/>
      <c r="N96" s="31"/>
      <c r="O96" s="31"/>
      <c r="P96" s="31"/>
      <c r="Q96" s="99"/>
      <c r="R96" s="31"/>
      <c r="S96" s="31"/>
      <c r="T96" s="31"/>
      <c r="U96" s="31"/>
      <c r="V96" s="31"/>
      <c r="W96" s="31"/>
      <c r="X96" s="40"/>
      <c r="Y96" s="40"/>
      <c r="Z96" s="40"/>
      <c r="AA96" s="40"/>
      <c r="AB96" s="40"/>
      <c r="AC96" s="40"/>
      <c r="AD96" s="40"/>
    </row>
    <row r="97" spans="1:30" s="39" customFormat="1" ht="13" customHeight="1">
      <c r="A97" s="31"/>
      <c r="B97" s="31"/>
      <c r="C97" s="99"/>
      <c r="D97" s="99"/>
      <c r="E97" s="99"/>
      <c r="F97" s="99"/>
      <c r="G97" s="99"/>
      <c r="H97" s="99"/>
      <c r="I97" s="31"/>
      <c r="J97" s="99"/>
      <c r="K97" s="31"/>
      <c r="L97" s="31"/>
      <c r="M97" s="31"/>
      <c r="N97" s="31"/>
      <c r="O97" s="31"/>
      <c r="P97" s="31"/>
      <c r="Q97" s="99"/>
      <c r="R97" s="31"/>
      <c r="S97" s="31"/>
      <c r="T97" s="31"/>
      <c r="U97" s="31"/>
      <c r="V97" s="31"/>
      <c r="W97" s="31"/>
      <c r="X97" s="40"/>
      <c r="Y97" s="40"/>
      <c r="Z97" s="40"/>
      <c r="AA97" s="40"/>
      <c r="AB97" s="40"/>
      <c r="AC97" s="40"/>
      <c r="AD97" s="40"/>
    </row>
    <row r="98" spans="1:30" s="39" customFormat="1" ht="13" customHeight="1">
      <c r="A98" s="31"/>
      <c r="B98" s="31"/>
      <c r="C98" s="99"/>
      <c r="D98" s="99"/>
      <c r="E98" s="99"/>
      <c r="F98" s="99"/>
      <c r="G98" s="99"/>
      <c r="H98" s="99"/>
      <c r="I98" s="31"/>
      <c r="J98" s="99"/>
      <c r="K98" s="31"/>
      <c r="L98" s="31"/>
      <c r="M98" s="31"/>
      <c r="N98" s="31"/>
      <c r="O98" s="31"/>
      <c r="P98" s="31"/>
      <c r="Q98" s="99"/>
      <c r="R98" s="31"/>
      <c r="S98" s="31"/>
      <c r="T98" s="31"/>
      <c r="U98" s="31"/>
      <c r="V98" s="31"/>
      <c r="W98" s="31"/>
      <c r="X98" s="40"/>
      <c r="Y98" s="40"/>
      <c r="Z98" s="40"/>
      <c r="AA98" s="40"/>
      <c r="AB98" s="40"/>
      <c r="AC98" s="40"/>
      <c r="AD98" s="40"/>
    </row>
    <row r="99" spans="1:30" s="39" customFormat="1" ht="13" customHeight="1">
      <c r="A99" s="31"/>
      <c r="B99" s="31"/>
      <c r="C99" s="99"/>
      <c r="D99" s="99"/>
      <c r="E99" s="99"/>
      <c r="F99" s="99"/>
      <c r="G99" s="99"/>
      <c r="H99" s="99"/>
      <c r="I99" s="31"/>
      <c r="J99" s="99"/>
      <c r="K99" s="31"/>
      <c r="L99" s="31"/>
      <c r="M99" s="31"/>
      <c r="N99" s="31"/>
      <c r="O99" s="31"/>
      <c r="P99" s="31"/>
      <c r="Q99" s="99"/>
      <c r="R99" s="31"/>
      <c r="S99" s="31"/>
      <c r="T99" s="31"/>
      <c r="U99" s="31"/>
      <c r="V99" s="31"/>
      <c r="W99" s="31"/>
      <c r="X99" s="40"/>
      <c r="Y99" s="40"/>
      <c r="Z99" s="40"/>
      <c r="AA99" s="40"/>
      <c r="AB99" s="40"/>
      <c r="AC99" s="40"/>
      <c r="AD99" s="40"/>
    </row>
    <row r="100" spans="1:30" s="39" customFormat="1" ht="13" customHeight="1">
      <c r="A100" s="31"/>
      <c r="B100" s="31"/>
      <c r="C100" s="99"/>
      <c r="D100" s="99"/>
      <c r="E100" s="99"/>
      <c r="F100" s="99"/>
      <c r="G100" s="99"/>
      <c r="H100" s="99"/>
      <c r="I100" s="31"/>
      <c r="J100" s="99"/>
      <c r="K100" s="31"/>
      <c r="L100" s="31"/>
      <c r="M100" s="31"/>
      <c r="N100" s="31"/>
      <c r="O100" s="31"/>
      <c r="P100" s="31"/>
      <c r="Q100" s="99"/>
      <c r="R100" s="31"/>
      <c r="S100" s="31"/>
      <c r="T100" s="31"/>
      <c r="U100" s="31"/>
      <c r="V100" s="31"/>
      <c r="W100" s="31"/>
      <c r="X100" s="40"/>
      <c r="Y100" s="40"/>
      <c r="Z100" s="40"/>
      <c r="AA100" s="40"/>
      <c r="AB100" s="40"/>
      <c r="AC100" s="40"/>
      <c r="AD100" s="40"/>
    </row>
    <row r="101" spans="1:30" s="39" customFormat="1" ht="13" customHeight="1">
      <c r="A101" s="31"/>
      <c r="B101" s="31"/>
      <c r="C101" s="99"/>
      <c r="D101" s="99"/>
      <c r="E101" s="99"/>
      <c r="F101" s="99"/>
      <c r="G101" s="99"/>
      <c r="H101" s="99"/>
      <c r="I101" s="31"/>
      <c r="J101" s="99"/>
      <c r="K101" s="31"/>
      <c r="L101" s="31"/>
      <c r="M101" s="31"/>
      <c r="N101" s="31"/>
      <c r="O101" s="31"/>
      <c r="P101" s="31"/>
      <c r="Q101" s="99"/>
      <c r="R101" s="31"/>
      <c r="S101" s="31"/>
      <c r="T101" s="31"/>
      <c r="U101" s="31"/>
      <c r="V101" s="31"/>
      <c r="W101" s="31"/>
      <c r="X101" s="40"/>
      <c r="Y101" s="40"/>
      <c r="Z101" s="40"/>
      <c r="AA101" s="40"/>
      <c r="AB101" s="40"/>
      <c r="AC101" s="40"/>
      <c r="AD101" s="40"/>
    </row>
    <row r="102" spans="1:30" s="39" customFormat="1" ht="13" customHeight="1">
      <c r="A102" s="31"/>
      <c r="B102" s="31"/>
      <c r="C102" s="99"/>
      <c r="D102" s="99"/>
      <c r="E102" s="99"/>
      <c r="F102" s="99"/>
      <c r="G102" s="99"/>
      <c r="H102" s="99"/>
      <c r="I102" s="31"/>
      <c r="J102" s="99"/>
      <c r="K102" s="31"/>
      <c r="L102" s="31"/>
      <c r="M102" s="31"/>
      <c r="N102" s="31"/>
      <c r="O102" s="31"/>
      <c r="P102" s="31"/>
      <c r="Q102" s="99"/>
      <c r="R102" s="31"/>
      <c r="S102" s="31"/>
      <c r="T102" s="31"/>
      <c r="U102" s="31"/>
      <c r="V102" s="31"/>
      <c r="W102" s="31"/>
      <c r="X102" s="40"/>
      <c r="Y102" s="40"/>
      <c r="Z102" s="40"/>
      <c r="AA102" s="40"/>
      <c r="AB102" s="40"/>
      <c r="AC102" s="40"/>
      <c r="AD102" s="40"/>
    </row>
    <row r="103" spans="1:30" s="39" customFormat="1" ht="13" customHeight="1">
      <c r="A103" s="31"/>
      <c r="B103" s="31"/>
      <c r="C103" s="99"/>
      <c r="D103" s="99"/>
      <c r="E103" s="99"/>
      <c r="F103" s="99"/>
      <c r="G103" s="99"/>
      <c r="H103" s="99"/>
      <c r="I103" s="31"/>
      <c r="J103" s="99"/>
      <c r="K103" s="31"/>
      <c r="L103" s="31"/>
      <c r="M103" s="31"/>
      <c r="N103" s="31"/>
      <c r="O103" s="31"/>
      <c r="P103" s="31"/>
      <c r="Q103" s="99"/>
      <c r="R103" s="31"/>
      <c r="S103" s="31"/>
      <c r="T103" s="31"/>
      <c r="U103" s="31"/>
      <c r="V103" s="31"/>
      <c r="W103" s="31"/>
      <c r="X103" s="40"/>
      <c r="Y103" s="40"/>
      <c r="Z103" s="40"/>
      <c r="AA103" s="40"/>
      <c r="AB103" s="40"/>
      <c r="AC103" s="40"/>
      <c r="AD103" s="40"/>
    </row>
    <row r="104" spans="1:30" s="39" customFormat="1" ht="13" customHeight="1">
      <c r="A104" s="31"/>
      <c r="B104" s="31"/>
      <c r="C104" s="99"/>
      <c r="D104" s="99"/>
      <c r="E104" s="99"/>
      <c r="F104" s="99"/>
      <c r="G104" s="99"/>
      <c r="H104" s="99"/>
      <c r="I104" s="31"/>
      <c r="J104" s="99"/>
      <c r="K104" s="31"/>
      <c r="L104" s="31"/>
      <c r="M104" s="31"/>
      <c r="N104" s="31"/>
      <c r="O104" s="31"/>
      <c r="P104" s="31"/>
      <c r="Q104" s="99"/>
      <c r="R104" s="31"/>
      <c r="S104" s="31"/>
      <c r="T104" s="31"/>
      <c r="U104" s="31"/>
      <c r="V104" s="31"/>
      <c r="W104" s="31"/>
      <c r="X104" s="40"/>
      <c r="Y104" s="40"/>
      <c r="Z104" s="40"/>
      <c r="AA104" s="40"/>
      <c r="AB104" s="40"/>
      <c r="AC104" s="40"/>
      <c r="AD104" s="40"/>
    </row>
    <row r="105" spans="1:30" s="39" customFormat="1" ht="13" customHeight="1">
      <c r="A105" s="31"/>
      <c r="B105" s="31"/>
      <c r="C105" s="99"/>
      <c r="D105" s="99"/>
      <c r="E105" s="99"/>
      <c r="F105" s="99"/>
      <c r="G105" s="99"/>
      <c r="H105" s="99"/>
      <c r="I105" s="31"/>
      <c r="J105" s="99"/>
      <c r="K105" s="31"/>
      <c r="L105" s="31"/>
      <c r="M105" s="31"/>
      <c r="N105" s="31"/>
      <c r="O105" s="31"/>
      <c r="P105" s="31"/>
      <c r="Q105" s="99"/>
      <c r="R105" s="31"/>
      <c r="S105" s="31"/>
      <c r="T105" s="31"/>
      <c r="U105" s="31"/>
      <c r="V105" s="31"/>
      <c r="W105" s="31"/>
      <c r="X105" s="40"/>
      <c r="Y105" s="40"/>
      <c r="Z105" s="40"/>
      <c r="AA105" s="40"/>
      <c r="AB105" s="40"/>
      <c r="AC105" s="40"/>
      <c r="AD105" s="40"/>
    </row>
    <row r="106" spans="1:30" s="39" customFormat="1" ht="13" customHeight="1">
      <c r="A106" s="31"/>
      <c r="B106" s="31"/>
      <c r="C106" s="99"/>
      <c r="D106" s="99"/>
      <c r="E106" s="99"/>
      <c r="F106" s="99"/>
      <c r="G106" s="99"/>
      <c r="H106" s="99"/>
      <c r="I106" s="31"/>
      <c r="J106" s="99"/>
      <c r="K106" s="31"/>
      <c r="L106" s="31"/>
      <c r="M106" s="31"/>
      <c r="N106" s="31"/>
      <c r="O106" s="31"/>
      <c r="P106" s="31"/>
      <c r="Q106" s="99"/>
      <c r="R106" s="31"/>
      <c r="S106" s="31"/>
      <c r="T106" s="31"/>
      <c r="U106" s="31"/>
      <c r="V106" s="31"/>
      <c r="W106" s="31"/>
      <c r="X106" s="40"/>
      <c r="Y106" s="40"/>
      <c r="Z106" s="40"/>
      <c r="AA106" s="40"/>
      <c r="AB106" s="40"/>
      <c r="AC106" s="40"/>
      <c r="AD106" s="40"/>
    </row>
    <row r="107" spans="1:30" s="39" customFormat="1" ht="13" customHeight="1">
      <c r="A107" s="31"/>
      <c r="B107" s="31"/>
      <c r="C107" s="99"/>
      <c r="D107" s="99"/>
      <c r="E107" s="99"/>
      <c r="F107" s="99"/>
      <c r="G107" s="99"/>
      <c r="H107" s="99"/>
      <c r="I107" s="31"/>
      <c r="J107" s="99"/>
      <c r="K107" s="31"/>
      <c r="L107" s="31"/>
      <c r="M107" s="31"/>
      <c r="N107" s="31"/>
      <c r="O107" s="31"/>
      <c r="P107" s="31"/>
      <c r="Q107" s="99"/>
      <c r="R107" s="31"/>
      <c r="S107" s="31"/>
      <c r="T107" s="31"/>
      <c r="U107" s="31"/>
      <c r="V107" s="31"/>
      <c r="W107" s="31"/>
      <c r="X107" s="40"/>
      <c r="Y107" s="40"/>
      <c r="Z107" s="40"/>
      <c r="AA107" s="40"/>
      <c r="AB107" s="40"/>
      <c r="AC107" s="40"/>
      <c r="AD107" s="40"/>
    </row>
    <row r="108" spans="1:30" s="39" customFormat="1" ht="13" customHeight="1">
      <c r="A108" s="31"/>
      <c r="B108" s="31"/>
      <c r="C108" s="99"/>
      <c r="D108" s="99"/>
      <c r="E108" s="99"/>
      <c r="F108" s="99"/>
      <c r="G108" s="99"/>
      <c r="H108" s="99"/>
      <c r="I108" s="31"/>
      <c r="J108" s="99"/>
      <c r="K108" s="31"/>
      <c r="L108" s="31"/>
      <c r="M108" s="31"/>
      <c r="N108" s="31"/>
      <c r="O108" s="31"/>
      <c r="P108" s="31"/>
      <c r="Q108" s="99"/>
      <c r="R108" s="31"/>
      <c r="S108" s="31"/>
      <c r="T108" s="31"/>
      <c r="U108" s="31"/>
      <c r="V108" s="31"/>
      <c r="W108" s="31"/>
      <c r="X108" s="40"/>
      <c r="Y108" s="40"/>
      <c r="Z108" s="40"/>
      <c r="AA108" s="40"/>
      <c r="AB108" s="40"/>
      <c r="AC108" s="40"/>
      <c r="AD108" s="40"/>
    </row>
    <row r="109" spans="1:30" s="39" customFormat="1" ht="13" customHeight="1">
      <c r="A109" s="16"/>
      <c r="B109" s="16"/>
      <c r="C109" s="96"/>
      <c r="D109" s="96"/>
      <c r="E109" s="96"/>
      <c r="F109" s="99"/>
      <c r="G109" s="99"/>
      <c r="H109" s="99"/>
      <c r="I109" s="31"/>
      <c r="J109" s="99"/>
      <c r="K109" s="31"/>
      <c r="L109" s="31"/>
      <c r="M109" s="31"/>
      <c r="N109" s="31"/>
      <c r="O109" s="31"/>
      <c r="P109" s="31"/>
      <c r="Q109" s="99"/>
      <c r="R109" s="16"/>
      <c r="S109" s="16"/>
      <c r="T109" s="16"/>
      <c r="U109" s="16"/>
      <c r="V109" s="16"/>
      <c r="W109" s="16"/>
    </row>
    <row r="110" spans="1:30" s="39" customFormat="1" ht="13" customHeight="1">
      <c r="A110" s="16"/>
      <c r="B110" s="16"/>
      <c r="C110" s="96"/>
      <c r="D110" s="96"/>
      <c r="E110" s="96"/>
      <c r="F110" s="99"/>
      <c r="G110" s="99"/>
      <c r="H110" s="99"/>
      <c r="I110" s="31"/>
      <c r="J110" s="99"/>
      <c r="K110" s="31"/>
      <c r="L110" s="31"/>
      <c r="M110" s="31"/>
      <c r="N110" s="31"/>
      <c r="O110" s="31"/>
      <c r="P110" s="31"/>
      <c r="Q110" s="99"/>
      <c r="R110" s="16"/>
      <c r="S110" s="16"/>
      <c r="T110" s="16"/>
      <c r="U110" s="16"/>
      <c r="V110" s="16"/>
      <c r="W110" s="16"/>
    </row>
    <row r="111" spans="1:30" s="39" customFormat="1" ht="13" customHeight="1">
      <c r="A111" s="16"/>
      <c r="B111" s="16"/>
      <c r="C111" s="96"/>
      <c r="D111" s="96"/>
      <c r="E111" s="96"/>
      <c r="F111" s="99"/>
      <c r="G111" s="99"/>
      <c r="H111" s="99"/>
      <c r="I111" s="31"/>
      <c r="J111" s="99"/>
      <c r="K111" s="31"/>
      <c r="L111" s="31"/>
      <c r="M111" s="31"/>
      <c r="N111" s="31"/>
      <c r="O111" s="31"/>
      <c r="P111" s="31"/>
      <c r="Q111" s="99"/>
      <c r="R111" s="16"/>
      <c r="S111" s="16"/>
      <c r="T111" s="16"/>
      <c r="U111" s="16"/>
      <c r="V111" s="16"/>
      <c r="W111" s="16"/>
    </row>
    <row r="112" spans="1:30" s="39" customFormat="1" ht="13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9" customFormat="1" ht="13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9" customFormat="1" ht="13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3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3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3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topLeftCell="A19" zoomScale="80" zoomScaleNormal="80" workbookViewId="0">
      <selection activeCell="K28" sqref="K28"/>
    </sheetView>
  </sheetViews>
  <sheetFormatPr defaultRowHeight="14.5"/>
  <cols>
    <col min="2" max="2" width="12" bestFit="1" customWidth="1"/>
    <col min="3" max="3" width="16.7265625" bestFit="1" customWidth="1"/>
    <col min="4" max="4" width="11.453125" customWidth="1"/>
    <col min="5" max="5" width="18.26953125" customWidth="1"/>
    <col min="6" max="6" width="11.453125" customWidth="1"/>
    <col min="7" max="7" width="10.1796875" customWidth="1"/>
    <col min="8" max="8" width="12.7265625" customWidth="1"/>
    <col min="9" max="9" width="11.54296875" customWidth="1"/>
    <col min="10" max="10" width="12" bestFit="1" customWidth="1"/>
    <col min="11" max="11" width="14" customWidth="1"/>
    <col min="12" max="12" width="11.54296875" customWidth="1"/>
    <col min="13" max="13" width="11.453125" customWidth="1"/>
    <col min="14" max="14" width="12.54296875" customWidth="1"/>
    <col min="15" max="15" width="11.26953125" customWidth="1"/>
    <col min="16" max="16" width="34.54296875" customWidth="1"/>
    <col min="17" max="17" width="11" bestFit="1" customWidth="1"/>
    <col min="18" max="18" width="9.26953125" bestFit="1" customWidth="1"/>
    <col min="19" max="19" width="14.26953125" customWidth="1"/>
    <col min="22" max="22" width="39.453125" customWidth="1"/>
    <col min="24" max="24" width="22.26953125" customWidth="1"/>
    <col min="25" max="26" width="9.26953125" bestFit="1" customWidth="1"/>
    <col min="28" max="28" width="21.26953125" customWidth="1"/>
    <col min="29" max="30" width="9.26953125" bestFit="1" customWidth="1"/>
    <col min="32" max="32" width="20.26953125" customWidth="1"/>
    <col min="33" max="34" width="9.26953125" bestFit="1" customWidth="1"/>
    <col min="36" max="36" width="34.453125" customWidth="1"/>
    <col min="37" max="37" width="26.54296875" customWidth="1"/>
    <col min="38" max="38" width="16.453125" customWidth="1"/>
    <col min="39" max="40" width="20.1796875" customWidth="1"/>
    <col min="41" max="41" width="37.1796875" customWidth="1"/>
    <col min="42" max="42" width="27" customWidth="1"/>
    <col min="43" max="43" width="12.1796875" customWidth="1"/>
    <col min="44" max="44" width="13.7265625" bestFit="1" customWidth="1"/>
    <col min="47" max="47" width="34.81640625" customWidth="1"/>
    <col min="50" max="51" width="9.26953125" bestFit="1" customWidth="1"/>
    <col min="52" max="52" width="9.453125" customWidth="1"/>
    <col min="53" max="54" width="9.26953125" bestFit="1" customWidth="1"/>
    <col min="57" max="58" width="9.26953125" bestFit="1" customWidth="1"/>
    <col min="60" max="61" width="9.26953125" bestFit="1" customWidth="1"/>
    <col min="261" max="261" width="12" bestFit="1" customWidth="1"/>
    <col min="262" max="262" width="16.7265625" bestFit="1" customWidth="1"/>
    <col min="263" max="263" width="11.453125" customWidth="1"/>
    <col min="264" max="264" width="16.7265625" customWidth="1"/>
    <col min="265" max="265" width="11.453125" customWidth="1"/>
    <col min="266" max="266" width="10.1796875" customWidth="1"/>
    <col min="267" max="267" width="12.7265625" customWidth="1"/>
    <col min="268" max="268" width="11.54296875" customWidth="1"/>
    <col min="269" max="269" width="12" bestFit="1" customWidth="1"/>
    <col min="270" max="270" width="14" customWidth="1"/>
    <col min="271" max="271" width="11.54296875" customWidth="1"/>
    <col min="272" max="272" width="12.7265625" customWidth="1"/>
    <col min="273" max="273" width="12.54296875" customWidth="1"/>
    <col min="274" max="274" width="11.26953125" customWidth="1"/>
    <col min="275" max="275" width="34.54296875" customWidth="1"/>
    <col min="276" max="276" width="11" bestFit="1" customWidth="1"/>
    <col min="278" max="278" width="14.26953125" customWidth="1"/>
    <col min="281" max="281" width="39.453125" customWidth="1"/>
    <col min="283" max="283" width="22.26953125" customWidth="1"/>
    <col min="287" max="287" width="21.26953125" customWidth="1"/>
    <col min="291" max="291" width="20.26953125" customWidth="1"/>
    <col min="295" max="295" width="34.453125" customWidth="1"/>
    <col min="296" max="296" width="26.54296875" customWidth="1"/>
    <col min="297" max="297" width="16.453125" customWidth="1"/>
    <col min="298" max="299" width="20.1796875" customWidth="1"/>
    <col min="300" max="300" width="37.1796875" customWidth="1"/>
    <col min="301" max="301" width="27" customWidth="1"/>
    <col min="302" max="302" width="12.1796875" customWidth="1"/>
    <col min="303" max="303" width="12.453125" bestFit="1" customWidth="1"/>
    <col min="306" max="306" width="34.81640625" customWidth="1"/>
    <col min="311" max="311" width="9.453125" customWidth="1"/>
    <col min="517" max="517" width="12" bestFit="1" customWidth="1"/>
    <col min="518" max="518" width="16.7265625" bestFit="1" customWidth="1"/>
    <col min="519" max="519" width="11.453125" customWidth="1"/>
    <col min="520" max="520" width="16.7265625" customWidth="1"/>
    <col min="521" max="521" width="11.453125" customWidth="1"/>
    <col min="522" max="522" width="10.1796875" customWidth="1"/>
    <col min="523" max="523" width="12.7265625" customWidth="1"/>
    <col min="524" max="524" width="11.54296875" customWidth="1"/>
    <col min="525" max="525" width="12" bestFit="1" customWidth="1"/>
    <col min="526" max="526" width="14" customWidth="1"/>
    <col min="527" max="527" width="11.54296875" customWidth="1"/>
    <col min="528" max="528" width="12.7265625" customWidth="1"/>
    <col min="529" max="529" width="12.54296875" customWidth="1"/>
    <col min="530" max="530" width="11.26953125" customWidth="1"/>
    <col min="531" max="531" width="34.54296875" customWidth="1"/>
    <col min="532" max="532" width="11" bestFit="1" customWidth="1"/>
    <col min="534" max="534" width="14.26953125" customWidth="1"/>
    <col min="537" max="537" width="39.453125" customWidth="1"/>
    <col min="539" max="539" width="22.26953125" customWidth="1"/>
    <col min="543" max="543" width="21.26953125" customWidth="1"/>
    <col min="547" max="547" width="20.26953125" customWidth="1"/>
    <col min="551" max="551" width="34.453125" customWidth="1"/>
    <col min="552" max="552" width="26.54296875" customWidth="1"/>
    <col min="553" max="553" width="16.453125" customWidth="1"/>
    <col min="554" max="555" width="20.1796875" customWidth="1"/>
    <col min="556" max="556" width="37.1796875" customWidth="1"/>
    <col min="557" max="557" width="27" customWidth="1"/>
    <col min="558" max="558" width="12.1796875" customWidth="1"/>
    <col min="559" max="559" width="12.453125" bestFit="1" customWidth="1"/>
    <col min="562" max="562" width="34.81640625" customWidth="1"/>
    <col min="567" max="567" width="9.453125" customWidth="1"/>
    <col min="773" max="773" width="12" bestFit="1" customWidth="1"/>
    <col min="774" max="774" width="16.7265625" bestFit="1" customWidth="1"/>
    <col min="775" max="775" width="11.453125" customWidth="1"/>
    <col min="776" max="776" width="16.7265625" customWidth="1"/>
    <col min="777" max="777" width="11.453125" customWidth="1"/>
    <col min="778" max="778" width="10.1796875" customWidth="1"/>
    <col min="779" max="779" width="12.7265625" customWidth="1"/>
    <col min="780" max="780" width="11.54296875" customWidth="1"/>
    <col min="781" max="781" width="12" bestFit="1" customWidth="1"/>
    <col min="782" max="782" width="14" customWidth="1"/>
    <col min="783" max="783" width="11.54296875" customWidth="1"/>
    <col min="784" max="784" width="12.7265625" customWidth="1"/>
    <col min="785" max="785" width="12.54296875" customWidth="1"/>
    <col min="786" max="786" width="11.26953125" customWidth="1"/>
    <col min="787" max="787" width="34.54296875" customWidth="1"/>
    <col min="788" max="788" width="11" bestFit="1" customWidth="1"/>
    <col min="790" max="790" width="14.26953125" customWidth="1"/>
    <col min="793" max="793" width="39.453125" customWidth="1"/>
    <col min="795" max="795" width="22.26953125" customWidth="1"/>
    <col min="799" max="799" width="21.26953125" customWidth="1"/>
    <col min="803" max="803" width="20.26953125" customWidth="1"/>
    <col min="807" max="807" width="34.453125" customWidth="1"/>
    <col min="808" max="808" width="26.54296875" customWidth="1"/>
    <col min="809" max="809" width="16.453125" customWidth="1"/>
    <col min="810" max="811" width="20.1796875" customWidth="1"/>
    <col min="812" max="812" width="37.1796875" customWidth="1"/>
    <col min="813" max="813" width="27" customWidth="1"/>
    <col min="814" max="814" width="12.1796875" customWidth="1"/>
    <col min="815" max="815" width="12.453125" bestFit="1" customWidth="1"/>
    <col min="818" max="818" width="34.81640625" customWidth="1"/>
    <col min="823" max="823" width="9.453125" customWidth="1"/>
    <col min="1029" max="1029" width="12" bestFit="1" customWidth="1"/>
    <col min="1030" max="1030" width="16.7265625" bestFit="1" customWidth="1"/>
    <col min="1031" max="1031" width="11.453125" customWidth="1"/>
    <col min="1032" max="1032" width="16.7265625" customWidth="1"/>
    <col min="1033" max="1033" width="11.453125" customWidth="1"/>
    <col min="1034" max="1034" width="10.1796875" customWidth="1"/>
    <col min="1035" max="1035" width="12.7265625" customWidth="1"/>
    <col min="1036" max="1036" width="11.54296875" customWidth="1"/>
    <col min="1037" max="1037" width="12" bestFit="1" customWidth="1"/>
    <col min="1038" max="1038" width="14" customWidth="1"/>
    <col min="1039" max="1039" width="11.54296875" customWidth="1"/>
    <col min="1040" max="1040" width="12.7265625" customWidth="1"/>
    <col min="1041" max="1041" width="12.54296875" customWidth="1"/>
    <col min="1042" max="1042" width="11.26953125" customWidth="1"/>
    <col min="1043" max="1043" width="34.54296875" customWidth="1"/>
    <col min="1044" max="1044" width="11" bestFit="1" customWidth="1"/>
    <col min="1046" max="1046" width="14.26953125" customWidth="1"/>
    <col min="1049" max="1049" width="39.453125" customWidth="1"/>
    <col min="1051" max="1051" width="22.26953125" customWidth="1"/>
    <col min="1055" max="1055" width="21.26953125" customWidth="1"/>
    <col min="1059" max="1059" width="20.26953125" customWidth="1"/>
    <col min="1063" max="1063" width="34.453125" customWidth="1"/>
    <col min="1064" max="1064" width="26.54296875" customWidth="1"/>
    <col min="1065" max="1065" width="16.453125" customWidth="1"/>
    <col min="1066" max="1067" width="20.1796875" customWidth="1"/>
    <col min="1068" max="1068" width="37.1796875" customWidth="1"/>
    <col min="1069" max="1069" width="27" customWidth="1"/>
    <col min="1070" max="1070" width="12.1796875" customWidth="1"/>
    <col min="1071" max="1071" width="12.453125" bestFit="1" customWidth="1"/>
    <col min="1074" max="1074" width="34.81640625" customWidth="1"/>
    <col min="1079" max="1079" width="9.453125" customWidth="1"/>
    <col min="1285" max="1285" width="12" bestFit="1" customWidth="1"/>
    <col min="1286" max="1286" width="16.7265625" bestFit="1" customWidth="1"/>
    <col min="1287" max="1287" width="11.453125" customWidth="1"/>
    <col min="1288" max="1288" width="16.7265625" customWidth="1"/>
    <col min="1289" max="1289" width="11.453125" customWidth="1"/>
    <col min="1290" max="1290" width="10.1796875" customWidth="1"/>
    <col min="1291" max="1291" width="12.7265625" customWidth="1"/>
    <col min="1292" max="1292" width="11.54296875" customWidth="1"/>
    <col min="1293" max="1293" width="12" bestFit="1" customWidth="1"/>
    <col min="1294" max="1294" width="14" customWidth="1"/>
    <col min="1295" max="1295" width="11.54296875" customWidth="1"/>
    <col min="1296" max="1296" width="12.7265625" customWidth="1"/>
    <col min="1297" max="1297" width="12.54296875" customWidth="1"/>
    <col min="1298" max="1298" width="11.26953125" customWidth="1"/>
    <col min="1299" max="1299" width="34.54296875" customWidth="1"/>
    <col min="1300" max="1300" width="11" bestFit="1" customWidth="1"/>
    <col min="1302" max="1302" width="14.26953125" customWidth="1"/>
    <col min="1305" max="1305" width="39.453125" customWidth="1"/>
    <col min="1307" max="1307" width="22.26953125" customWidth="1"/>
    <col min="1311" max="1311" width="21.26953125" customWidth="1"/>
    <col min="1315" max="1315" width="20.26953125" customWidth="1"/>
    <col min="1319" max="1319" width="34.453125" customWidth="1"/>
    <col min="1320" max="1320" width="26.54296875" customWidth="1"/>
    <col min="1321" max="1321" width="16.453125" customWidth="1"/>
    <col min="1322" max="1323" width="20.1796875" customWidth="1"/>
    <col min="1324" max="1324" width="37.1796875" customWidth="1"/>
    <col min="1325" max="1325" width="27" customWidth="1"/>
    <col min="1326" max="1326" width="12.1796875" customWidth="1"/>
    <col min="1327" max="1327" width="12.453125" bestFit="1" customWidth="1"/>
    <col min="1330" max="1330" width="34.81640625" customWidth="1"/>
    <col min="1335" max="1335" width="9.453125" customWidth="1"/>
    <col min="1541" max="1541" width="12" bestFit="1" customWidth="1"/>
    <col min="1542" max="1542" width="16.7265625" bestFit="1" customWidth="1"/>
    <col min="1543" max="1543" width="11.453125" customWidth="1"/>
    <col min="1544" max="1544" width="16.7265625" customWidth="1"/>
    <col min="1545" max="1545" width="11.453125" customWidth="1"/>
    <col min="1546" max="1546" width="10.1796875" customWidth="1"/>
    <col min="1547" max="1547" width="12.7265625" customWidth="1"/>
    <col min="1548" max="1548" width="11.54296875" customWidth="1"/>
    <col min="1549" max="1549" width="12" bestFit="1" customWidth="1"/>
    <col min="1550" max="1550" width="14" customWidth="1"/>
    <col min="1551" max="1551" width="11.54296875" customWidth="1"/>
    <col min="1552" max="1552" width="12.7265625" customWidth="1"/>
    <col min="1553" max="1553" width="12.54296875" customWidth="1"/>
    <col min="1554" max="1554" width="11.26953125" customWidth="1"/>
    <col min="1555" max="1555" width="34.54296875" customWidth="1"/>
    <col min="1556" max="1556" width="11" bestFit="1" customWidth="1"/>
    <col min="1558" max="1558" width="14.26953125" customWidth="1"/>
    <col min="1561" max="1561" width="39.453125" customWidth="1"/>
    <col min="1563" max="1563" width="22.26953125" customWidth="1"/>
    <col min="1567" max="1567" width="21.26953125" customWidth="1"/>
    <col min="1571" max="1571" width="20.26953125" customWidth="1"/>
    <col min="1575" max="1575" width="34.453125" customWidth="1"/>
    <col min="1576" max="1576" width="26.54296875" customWidth="1"/>
    <col min="1577" max="1577" width="16.453125" customWidth="1"/>
    <col min="1578" max="1579" width="20.1796875" customWidth="1"/>
    <col min="1580" max="1580" width="37.1796875" customWidth="1"/>
    <col min="1581" max="1581" width="27" customWidth="1"/>
    <col min="1582" max="1582" width="12.1796875" customWidth="1"/>
    <col min="1583" max="1583" width="12.453125" bestFit="1" customWidth="1"/>
    <col min="1586" max="1586" width="34.81640625" customWidth="1"/>
    <col min="1591" max="1591" width="9.453125" customWidth="1"/>
    <col min="1797" max="1797" width="12" bestFit="1" customWidth="1"/>
    <col min="1798" max="1798" width="16.7265625" bestFit="1" customWidth="1"/>
    <col min="1799" max="1799" width="11.453125" customWidth="1"/>
    <col min="1800" max="1800" width="16.7265625" customWidth="1"/>
    <col min="1801" max="1801" width="11.453125" customWidth="1"/>
    <col min="1802" max="1802" width="10.1796875" customWidth="1"/>
    <col min="1803" max="1803" width="12.7265625" customWidth="1"/>
    <col min="1804" max="1804" width="11.54296875" customWidth="1"/>
    <col min="1805" max="1805" width="12" bestFit="1" customWidth="1"/>
    <col min="1806" max="1806" width="14" customWidth="1"/>
    <col min="1807" max="1807" width="11.54296875" customWidth="1"/>
    <col min="1808" max="1808" width="12.7265625" customWidth="1"/>
    <col min="1809" max="1809" width="12.54296875" customWidth="1"/>
    <col min="1810" max="1810" width="11.26953125" customWidth="1"/>
    <col min="1811" max="1811" width="34.54296875" customWidth="1"/>
    <col min="1812" max="1812" width="11" bestFit="1" customWidth="1"/>
    <col min="1814" max="1814" width="14.26953125" customWidth="1"/>
    <col min="1817" max="1817" width="39.453125" customWidth="1"/>
    <col min="1819" max="1819" width="22.26953125" customWidth="1"/>
    <col min="1823" max="1823" width="21.26953125" customWidth="1"/>
    <col min="1827" max="1827" width="20.26953125" customWidth="1"/>
    <col min="1831" max="1831" width="34.453125" customWidth="1"/>
    <col min="1832" max="1832" width="26.54296875" customWidth="1"/>
    <col min="1833" max="1833" width="16.453125" customWidth="1"/>
    <col min="1834" max="1835" width="20.1796875" customWidth="1"/>
    <col min="1836" max="1836" width="37.1796875" customWidth="1"/>
    <col min="1837" max="1837" width="27" customWidth="1"/>
    <col min="1838" max="1838" width="12.1796875" customWidth="1"/>
    <col min="1839" max="1839" width="12.453125" bestFit="1" customWidth="1"/>
    <col min="1842" max="1842" width="34.81640625" customWidth="1"/>
    <col min="1847" max="1847" width="9.453125" customWidth="1"/>
    <col min="2053" max="2053" width="12" bestFit="1" customWidth="1"/>
    <col min="2054" max="2054" width="16.7265625" bestFit="1" customWidth="1"/>
    <col min="2055" max="2055" width="11.453125" customWidth="1"/>
    <col min="2056" max="2056" width="16.7265625" customWidth="1"/>
    <col min="2057" max="2057" width="11.453125" customWidth="1"/>
    <col min="2058" max="2058" width="10.1796875" customWidth="1"/>
    <col min="2059" max="2059" width="12.7265625" customWidth="1"/>
    <col min="2060" max="2060" width="11.54296875" customWidth="1"/>
    <col min="2061" max="2061" width="12" bestFit="1" customWidth="1"/>
    <col min="2062" max="2062" width="14" customWidth="1"/>
    <col min="2063" max="2063" width="11.54296875" customWidth="1"/>
    <col min="2064" max="2064" width="12.7265625" customWidth="1"/>
    <col min="2065" max="2065" width="12.54296875" customWidth="1"/>
    <col min="2066" max="2066" width="11.26953125" customWidth="1"/>
    <col min="2067" max="2067" width="34.54296875" customWidth="1"/>
    <col min="2068" max="2068" width="11" bestFit="1" customWidth="1"/>
    <col min="2070" max="2070" width="14.26953125" customWidth="1"/>
    <col min="2073" max="2073" width="39.453125" customWidth="1"/>
    <col min="2075" max="2075" width="22.26953125" customWidth="1"/>
    <col min="2079" max="2079" width="21.26953125" customWidth="1"/>
    <col min="2083" max="2083" width="20.26953125" customWidth="1"/>
    <col min="2087" max="2087" width="34.453125" customWidth="1"/>
    <col min="2088" max="2088" width="26.54296875" customWidth="1"/>
    <col min="2089" max="2089" width="16.453125" customWidth="1"/>
    <col min="2090" max="2091" width="20.1796875" customWidth="1"/>
    <col min="2092" max="2092" width="37.1796875" customWidth="1"/>
    <col min="2093" max="2093" width="27" customWidth="1"/>
    <col min="2094" max="2094" width="12.1796875" customWidth="1"/>
    <col min="2095" max="2095" width="12.453125" bestFit="1" customWidth="1"/>
    <col min="2098" max="2098" width="34.81640625" customWidth="1"/>
    <col min="2103" max="2103" width="9.453125" customWidth="1"/>
    <col min="2309" max="2309" width="12" bestFit="1" customWidth="1"/>
    <col min="2310" max="2310" width="16.7265625" bestFit="1" customWidth="1"/>
    <col min="2311" max="2311" width="11.453125" customWidth="1"/>
    <col min="2312" max="2312" width="16.7265625" customWidth="1"/>
    <col min="2313" max="2313" width="11.453125" customWidth="1"/>
    <col min="2314" max="2314" width="10.1796875" customWidth="1"/>
    <col min="2315" max="2315" width="12.7265625" customWidth="1"/>
    <col min="2316" max="2316" width="11.54296875" customWidth="1"/>
    <col min="2317" max="2317" width="12" bestFit="1" customWidth="1"/>
    <col min="2318" max="2318" width="14" customWidth="1"/>
    <col min="2319" max="2319" width="11.54296875" customWidth="1"/>
    <col min="2320" max="2320" width="12.7265625" customWidth="1"/>
    <col min="2321" max="2321" width="12.54296875" customWidth="1"/>
    <col min="2322" max="2322" width="11.26953125" customWidth="1"/>
    <col min="2323" max="2323" width="34.54296875" customWidth="1"/>
    <col min="2324" max="2324" width="11" bestFit="1" customWidth="1"/>
    <col min="2326" max="2326" width="14.26953125" customWidth="1"/>
    <col min="2329" max="2329" width="39.453125" customWidth="1"/>
    <col min="2331" max="2331" width="22.26953125" customWidth="1"/>
    <col min="2335" max="2335" width="21.26953125" customWidth="1"/>
    <col min="2339" max="2339" width="20.26953125" customWidth="1"/>
    <col min="2343" max="2343" width="34.453125" customWidth="1"/>
    <col min="2344" max="2344" width="26.54296875" customWidth="1"/>
    <col min="2345" max="2345" width="16.453125" customWidth="1"/>
    <col min="2346" max="2347" width="20.1796875" customWidth="1"/>
    <col min="2348" max="2348" width="37.1796875" customWidth="1"/>
    <col min="2349" max="2349" width="27" customWidth="1"/>
    <col min="2350" max="2350" width="12.1796875" customWidth="1"/>
    <col min="2351" max="2351" width="12.453125" bestFit="1" customWidth="1"/>
    <col min="2354" max="2354" width="34.81640625" customWidth="1"/>
    <col min="2359" max="2359" width="9.453125" customWidth="1"/>
    <col min="2565" max="2565" width="12" bestFit="1" customWidth="1"/>
    <col min="2566" max="2566" width="16.7265625" bestFit="1" customWidth="1"/>
    <col min="2567" max="2567" width="11.453125" customWidth="1"/>
    <col min="2568" max="2568" width="16.7265625" customWidth="1"/>
    <col min="2569" max="2569" width="11.453125" customWidth="1"/>
    <col min="2570" max="2570" width="10.1796875" customWidth="1"/>
    <col min="2571" max="2571" width="12.7265625" customWidth="1"/>
    <col min="2572" max="2572" width="11.54296875" customWidth="1"/>
    <col min="2573" max="2573" width="12" bestFit="1" customWidth="1"/>
    <col min="2574" max="2574" width="14" customWidth="1"/>
    <col min="2575" max="2575" width="11.54296875" customWidth="1"/>
    <col min="2576" max="2576" width="12.7265625" customWidth="1"/>
    <col min="2577" max="2577" width="12.54296875" customWidth="1"/>
    <col min="2578" max="2578" width="11.26953125" customWidth="1"/>
    <col min="2579" max="2579" width="34.54296875" customWidth="1"/>
    <col min="2580" max="2580" width="11" bestFit="1" customWidth="1"/>
    <col min="2582" max="2582" width="14.26953125" customWidth="1"/>
    <col min="2585" max="2585" width="39.453125" customWidth="1"/>
    <col min="2587" max="2587" width="22.26953125" customWidth="1"/>
    <col min="2591" max="2591" width="21.26953125" customWidth="1"/>
    <col min="2595" max="2595" width="20.26953125" customWidth="1"/>
    <col min="2599" max="2599" width="34.453125" customWidth="1"/>
    <col min="2600" max="2600" width="26.54296875" customWidth="1"/>
    <col min="2601" max="2601" width="16.453125" customWidth="1"/>
    <col min="2602" max="2603" width="20.1796875" customWidth="1"/>
    <col min="2604" max="2604" width="37.1796875" customWidth="1"/>
    <col min="2605" max="2605" width="27" customWidth="1"/>
    <col min="2606" max="2606" width="12.1796875" customWidth="1"/>
    <col min="2607" max="2607" width="12.453125" bestFit="1" customWidth="1"/>
    <col min="2610" max="2610" width="34.81640625" customWidth="1"/>
    <col min="2615" max="2615" width="9.453125" customWidth="1"/>
    <col min="2821" max="2821" width="12" bestFit="1" customWidth="1"/>
    <col min="2822" max="2822" width="16.7265625" bestFit="1" customWidth="1"/>
    <col min="2823" max="2823" width="11.453125" customWidth="1"/>
    <col min="2824" max="2824" width="16.7265625" customWidth="1"/>
    <col min="2825" max="2825" width="11.453125" customWidth="1"/>
    <col min="2826" max="2826" width="10.1796875" customWidth="1"/>
    <col min="2827" max="2827" width="12.7265625" customWidth="1"/>
    <col min="2828" max="2828" width="11.54296875" customWidth="1"/>
    <col min="2829" max="2829" width="12" bestFit="1" customWidth="1"/>
    <col min="2830" max="2830" width="14" customWidth="1"/>
    <col min="2831" max="2831" width="11.54296875" customWidth="1"/>
    <col min="2832" max="2832" width="12.7265625" customWidth="1"/>
    <col min="2833" max="2833" width="12.54296875" customWidth="1"/>
    <col min="2834" max="2834" width="11.26953125" customWidth="1"/>
    <col min="2835" max="2835" width="34.54296875" customWidth="1"/>
    <col min="2836" max="2836" width="11" bestFit="1" customWidth="1"/>
    <col min="2838" max="2838" width="14.26953125" customWidth="1"/>
    <col min="2841" max="2841" width="39.453125" customWidth="1"/>
    <col min="2843" max="2843" width="22.26953125" customWidth="1"/>
    <col min="2847" max="2847" width="21.26953125" customWidth="1"/>
    <col min="2851" max="2851" width="20.26953125" customWidth="1"/>
    <col min="2855" max="2855" width="34.453125" customWidth="1"/>
    <col min="2856" max="2856" width="26.54296875" customWidth="1"/>
    <col min="2857" max="2857" width="16.453125" customWidth="1"/>
    <col min="2858" max="2859" width="20.1796875" customWidth="1"/>
    <col min="2860" max="2860" width="37.1796875" customWidth="1"/>
    <col min="2861" max="2861" width="27" customWidth="1"/>
    <col min="2862" max="2862" width="12.1796875" customWidth="1"/>
    <col min="2863" max="2863" width="12.453125" bestFit="1" customWidth="1"/>
    <col min="2866" max="2866" width="34.81640625" customWidth="1"/>
    <col min="2871" max="2871" width="9.453125" customWidth="1"/>
    <col min="3077" max="3077" width="12" bestFit="1" customWidth="1"/>
    <col min="3078" max="3078" width="16.7265625" bestFit="1" customWidth="1"/>
    <col min="3079" max="3079" width="11.453125" customWidth="1"/>
    <col min="3080" max="3080" width="16.7265625" customWidth="1"/>
    <col min="3081" max="3081" width="11.453125" customWidth="1"/>
    <col min="3082" max="3082" width="10.1796875" customWidth="1"/>
    <col min="3083" max="3083" width="12.7265625" customWidth="1"/>
    <col min="3084" max="3084" width="11.54296875" customWidth="1"/>
    <col min="3085" max="3085" width="12" bestFit="1" customWidth="1"/>
    <col min="3086" max="3086" width="14" customWidth="1"/>
    <col min="3087" max="3087" width="11.54296875" customWidth="1"/>
    <col min="3088" max="3088" width="12.7265625" customWidth="1"/>
    <col min="3089" max="3089" width="12.54296875" customWidth="1"/>
    <col min="3090" max="3090" width="11.26953125" customWidth="1"/>
    <col min="3091" max="3091" width="34.54296875" customWidth="1"/>
    <col min="3092" max="3092" width="11" bestFit="1" customWidth="1"/>
    <col min="3094" max="3094" width="14.26953125" customWidth="1"/>
    <col min="3097" max="3097" width="39.453125" customWidth="1"/>
    <col min="3099" max="3099" width="22.26953125" customWidth="1"/>
    <col min="3103" max="3103" width="21.26953125" customWidth="1"/>
    <col min="3107" max="3107" width="20.26953125" customWidth="1"/>
    <col min="3111" max="3111" width="34.453125" customWidth="1"/>
    <col min="3112" max="3112" width="26.54296875" customWidth="1"/>
    <col min="3113" max="3113" width="16.453125" customWidth="1"/>
    <col min="3114" max="3115" width="20.1796875" customWidth="1"/>
    <col min="3116" max="3116" width="37.1796875" customWidth="1"/>
    <col min="3117" max="3117" width="27" customWidth="1"/>
    <col min="3118" max="3118" width="12.1796875" customWidth="1"/>
    <col min="3119" max="3119" width="12.453125" bestFit="1" customWidth="1"/>
    <col min="3122" max="3122" width="34.81640625" customWidth="1"/>
    <col min="3127" max="3127" width="9.453125" customWidth="1"/>
    <col min="3333" max="3333" width="12" bestFit="1" customWidth="1"/>
    <col min="3334" max="3334" width="16.7265625" bestFit="1" customWidth="1"/>
    <col min="3335" max="3335" width="11.453125" customWidth="1"/>
    <col min="3336" max="3336" width="16.7265625" customWidth="1"/>
    <col min="3337" max="3337" width="11.453125" customWidth="1"/>
    <col min="3338" max="3338" width="10.1796875" customWidth="1"/>
    <col min="3339" max="3339" width="12.7265625" customWidth="1"/>
    <col min="3340" max="3340" width="11.54296875" customWidth="1"/>
    <col min="3341" max="3341" width="12" bestFit="1" customWidth="1"/>
    <col min="3342" max="3342" width="14" customWidth="1"/>
    <col min="3343" max="3343" width="11.54296875" customWidth="1"/>
    <col min="3344" max="3344" width="12.7265625" customWidth="1"/>
    <col min="3345" max="3345" width="12.54296875" customWidth="1"/>
    <col min="3346" max="3346" width="11.26953125" customWidth="1"/>
    <col min="3347" max="3347" width="34.54296875" customWidth="1"/>
    <col min="3348" max="3348" width="11" bestFit="1" customWidth="1"/>
    <col min="3350" max="3350" width="14.26953125" customWidth="1"/>
    <col min="3353" max="3353" width="39.453125" customWidth="1"/>
    <col min="3355" max="3355" width="22.26953125" customWidth="1"/>
    <col min="3359" max="3359" width="21.26953125" customWidth="1"/>
    <col min="3363" max="3363" width="20.26953125" customWidth="1"/>
    <col min="3367" max="3367" width="34.453125" customWidth="1"/>
    <col min="3368" max="3368" width="26.54296875" customWidth="1"/>
    <col min="3369" max="3369" width="16.453125" customWidth="1"/>
    <col min="3370" max="3371" width="20.1796875" customWidth="1"/>
    <col min="3372" max="3372" width="37.1796875" customWidth="1"/>
    <col min="3373" max="3373" width="27" customWidth="1"/>
    <col min="3374" max="3374" width="12.1796875" customWidth="1"/>
    <col min="3375" max="3375" width="12.453125" bestFit="1" customWidth="1"/>
    <col min="3378" max="3378" width="34.81640625" customWidth="1"/>
    <col min="3383" max="3383" width="9.453125" customWidth="1"/>
    <col min="3589" max="3589" width="12" bestFit="1" customWidth="1"/>
    <col min="3590" max="3590" width="16.7265625" bestFit="1" customWidth="1"/>
    <col min="3591" max="3591" width="11.453125" customWidth="1"/>
    <col min="3592" max="3592" width="16.7265625" customWidth="1"/>
    <col min="3593" max="3593" width="11.453125" customWidth="1"/>
    <col min="3594" max="3594" width="10.1796875" customWidth="1"/>
    <col min="3595" max="3595" width="12.7265625" customWidth="1"/>
    <col min="3596" max="3596" width="11.54296875" customWidth="1"/>
    <col min="3597" max="3597" width="12" bestFit="1" customWidth="1"/>
    <col min="3598" max="3598" width="14" customWidth="1"/>
    <col min="3599" max="3599" width="11.54296875" customWidth="1"/>
    <col min="3600" max="3600" width="12.7265625" customWidth="1"/>
    <col min="3601" max="3601" width="12.54296875" customWidth="1"/>
    <col min="3602" max="3602" width="11.26953125" customWidth="1"/>
    <col min="3603" max="3603" width="34.54296875" customWidth="1"/>
    <col min="3604" max="3604" width="11" bestFit="1" customWidth="1"/>
    <col min="3606" max="3606" width="14.26953125" customWidth="1"/>
    <col min="3609" max="3609" width="39.453125" customWidth="1"/>
    <col min="3611" max="3611" width="22.26953125" customWidth="1"/>
    <col min="3615" max="3615" width="21.26953125" customWidth="1"/>
    <col min="3619" max="3619" width="20.26953125" customWidth="1"/>
    <col min="3623" max="3623" width="34.453125" customWidth="1"/>
    <col min="3624" max="3624" width="26.54296875" customWidth="1"/>
    <col min="3625" max="3625" width="16.453125" customWidth="1"/>
    <col min="3626" max="3627" width="20.1796875" customWidth="1"/>
    <col min="3628" max="3628" width="37.1796875" customWidth="1"/>
    <col min="3629" max="3629" width="27" customWidth="1"/>
    <col min="3630" max="3630" width="12.1796875" customWidth="1"/>
    <col min="3631" max="3631" width="12.453125" bestFit="1" customWidth="1"/>
    <col min="3634" max="3634" width="34.81640625" customWidth="1"/>
    <col min="3639" max="3639" width="9.453125" customWidth="1"/>
    <col min="3845" max="3845" width="12" bestFit="1" customWidth="1"/>
    <col min="3846" max="3846" width="16.7265625" bestFit="1" customWidth="1"/>
    <col min="3847" max="3847" width="11.453125" customWidth="1"/>
    <col min="3848" max="3848" width="16.7265625" customWidth="1"/>
    <col min="3849" max="3849" width="11.453125" customWidth="1"/>
    <col min="3850" max="3850" width="10.1796875" customWidth="1"/>
    <col min="3851" max="3851" width="12.7265625" customWidth="1"/>
    <col min="3852" max="3852" width="11.54296875" customWidth="1"/>
    <col min="3853" max="3853" width="12" bestFit="1" customWidth="1"/>
    <col min="3854" max="3854" width="14" customWidth="1"/>
    <col min="3855" max="3855" width="11.54296875" customWidth="1"/>
    <col min="3856" max="3856" width="12.7265625" customWidth="1"/>
    <col min="3857" max="3857" width="12.54296875" customWidth="1"/>
    <col min="3858" max="3858" width="11.26953125" customWidth="1"/>
    <col min="3859" max="3859" width="34.54296875" customWidth="1"/>
    <col min="3860" max="3860" width="11" bestFit="1" customWidth="1"/>
    <col min="3862" max="3862" width="14.26953125" customWidth="1"/>
    <col min="3865" max="3865" width="39.453125" customWidth="1"/>
    <col min="3867" max="3867" width="22.26953125" customWidth="1"/>
    <col min="3871" max="3871" width="21.26953125" customWidth="1"/>
    <col min="3875" max="3875" width="20.26953125" customWidth="1"/>
    <col min="3879" max="3879" width="34.453125" customWidth="1"/>
    <col min="3880" max="3880" width="26.54296875" customWidth="1"/>
    <col min="3881" max="3881" width="16.453125" customWidth="1"/>
    <col min="3882" max="3883" width="20.1796875" customWidth="1"/>
    <col min="3884" max="3884" width="37.1796875" customWidth="1"/>
    <col min="3885" max="3885" width="27" customWidth="1"/>
    <col min="3886" max="3886" width="12.1796875" customWidth="1"/>
    <col min="3887" max="3887" width="12.453125" bestFit="1" customWidth="1"/>
    <col min="3890" max="3890" width="34.81640625" customWidth="1"/>
    <col min="3895" max="3895" width="9.453125" customWidth="1"/>
    <col min="4101" max="4101" width="12" bestFit="1" customWidth="1"/>
    <col min="4102" max="4102" width="16.7265625" bestFit="1" customWidth="1"/>
    <col min="4103" max="4103" width="11.453125" customWidth="1"/>
    <col min="4104" max="4104" width="16.7265625" customWidth="1"/>
    <col min="4105" max="4105" width="11.453125" customWidth="1"/>
    <col min="4106" max="4106" width="10.1796875" customWidth="1"/>
    <col min="4107" max="4107" width="12.7265625" customWidth="1"/>
    <col min="4108" max="4108" width="11.54296875" customWidth="1"/>
    <col min="4109" max="4109" width="12" bestFit="1" customWidth="1"/>
    <col min="4110" max="4110" width="14" customWidth="1"/>
    <col min="4111" max="4111" width="11.54296875" customWidth="1"/>
    <col min="4112" max="4112" width="12.7265625" customWidth="1"/>
    <col min="4113" max="4113" width="12.54296875" customWidth="1"/>
    <col min="4114" max="4114" width="11.26953125" customWidth="1"/>
    <col min="4115" max="4115" width="34.54296875" customWidth="1"/>
    <col min="4116" max="4116" width="11" bestFit="1" customWidth="1"/>
    <col min="4118" max="4118" width="14.26953125" customWidth="1"/>
    <col min="4121" max="4121" width="39.453125" customWidth="1"/>
    <col min="4123" max="4123" width="22.26953125" customWidth="1"/>
    <col min="4127" max="4127" width="21.26953125" customWidth="1"/>
    <col min="4131" max="4131" width="20.26953125" customWidth="1"/>
    <col min="4135" max="4135" width="34.453125" customWidth="1"/>
    <col min="4136" max="4136" width="26.54296875" customWidth="1"/>
    <col min="4137" max="4137" width="16.453125" customWidth="1"/>
    <col min="4138" max="4139" width="20.1796875" customWidth="1"/>
    <col min="4140" max="4140" width="37.1796875" customWidth="1"/>
    <col min="4141" max="4141" width="27" customWidth="1"/>
    <col min="4142" max="4142" width="12.1796875" customWidth="1"/>
    <col min="4143" max="4143" width="12.453125" bestFit="1" customWidth="1"/>
    <col min="4146" max="4146" width="34.81640625" customWidth="1"/>
    <col min="4151" max="4151" width="9.453125" customWidth="1"/>
    <col min="4357" max="4357" width="12" bestFit="1" customWidth="1"/>
    <col min="4358" max="4358" width="16.7265625" bestFit="1" customWidth="1"/>
    <col min="4359" max="4359" width="11.453125" customWidth="1"/>
    <col min="4360" max="4360" width="16.7265625" customWidth="1"/>
    <col min="4361" max="4361" width="11.453125" customWidth="1"/>
    <col min="4362" max="4362" width="10.1796875" customWidth="1"/>
    <col min="4363" max="4363" width="12.7265625" customWidth="1"/>
    <col min="4364" max="4364" width="11.54296875" customWidth="1"/>
    <col min="4365" max="4365" width="12" bestFit="1" customWidth="1"/>
    <col min="4366" max="4366" width="14" customWidth="1"/>
    <col min="4367" max="4367" width="11.54296875" customWidth="1"/>
    <col min="4368" max="4368" width="12.7265625" customWidth="1"/>
    <col min="4369" max="4369" width="12.54296875" customWidth="1"/>
    <col min="4370" max="4370" width="11.26953125" customWidth="1"/>
    <col min="4371" max="4371" width="34.54296875" customWidth="1"/>
    <col min="4372" max="4372" width="11" bestFit="1" customWidth="1"/>
    <col min="4374" max="4374" width="14.26953125" customWidth="1"/>
    <col min="4377" max="4377" width="39.453125" customWidth="1"/>
    <col min="4379" max="4379" width="22.26953125" customWidth="1"/>
    <col min="4383" max="4383" width="21.26953125" customWidth="1"/>
    <col min="4387" max="4387" width="20.26953125" customWidth="1"/>
    <col min="4391" max="4391" width="34.453125" customWidth="1"/>
    <col min="4392" max="4392" width="26.54296875" customWidth="1"/>
    <col min="4393" max="4393" width="16.453125" customWidth="1"/>
    <col min="4394" max="4395" width="20.1796875" customWidth="1"/>
    <col min="4396" max="4396" width="37.1796875" customWidth="1"/>
    <col min="4397" max="4397" width="27" customWidth="1"/>
    <col min="4398" max="4398" width="12.1796875" customWidth="1"/>
    <col min="4399" max="4399" width="12.453125" bestFit="1" customWidth="1"/>
    <col min="4402" max="4402" width="34.81640625" customWidth="1"/>
    <col min="4407" max="4407" width="9.453125" customWidth="1"/>
    <col min="4613" max="4613" width="12" bestFit="1" customWidth="1"/>
    <col min="4614" max="4614" width="16.7265625" bestFit="1" customWidth="1"/>
    <col min="4615" max="4615" width="11.453125" customWidth="1"/>
    <col min="4616" max="4616" width="16.7265625" customWidth="1"/>
    <col min="4617" max="4617" width="11.453125" customWidth="1"/>
    <col min="4618" max="4618" width="10.1796875" customWidth="1"/>
    <col min="4619" max="4619" width="12.7265625" customWidth="1"/>
    <col min="4620" max="4620" width="11.54296875" customWidth="1"/>
    <col min="4621" max="4621" width="12" bestFit="1" customWidth="1"/>
    <col min="4622" max="4622" width="14" customWidth="1"/>
    <col min="4623" max="4623" width="11.54296875" customWidth="1"/>
    <col min="4624" max="4624" width="12.7265625" customWidth="1"/>
    <col min="4625" max="4625" width="12.54296875" customWidth="1"/>
    <col min="4626" max="4626" width="11.26953125" customWidth="1"/>
    <col min="4627" max="4627" width="34.54296875" customWidth="1"/>
    <col min="4628" max="4628" width="11" bestFit="1" customWidth="1"/>
    <col min="4630" max="4630" width="14.26953125" customWidth="1"/>
    <col min="4633" max="4633" width="39.453125" customWidth="1"/>
    <col min="4635" max="4635" width="22.26953125" customWidth="1"/>
    <col min="4639" max="4639" width="21.26953125" customWidth="1"/>
    <col min="4643" max="4643" width="20.26953125" customWidth="1"/>
    <col min="4647" max="4647" width="34.453125" customWidth="1"/>
    <col min="4648" max="4648" width="26.54296875" customWidth="1"/>
    <col min="4649" max="4649" width="16.453125" customWidth="1"/>
    <col min="4650" max="4651" width="20.1796875" customWidth="1"/>
    <col min="4652" max="4652" width="37.1796875" customWidth="1"/>
    <col min="4653" max="4653" width="27" customWidth="1"/>
    <col min="4654" max="4654" width="12.1796875" customWidth="1"/>
    <col min="4655" max="4655" width="12.453125" bestFit="1" customWidth="1"/>
    <col min="4658" max="4658" width="34.81640625" customWidth="1"/>
    <col min="4663" max="4663" width="9.453125" customWidth="1"/>
    <col min="4869" max="4869" width="12" bestFit="1" customWidth="1"/>
    <col min="4870" max="4870" width="16.7265625" bestFit="1" customWidth="1"/>
    <col min="4871" max="4871" width="11.453125" customWidth="1"/>
    <col min="4872" max="4872" width="16.7265625" customWidth="1"/>
    <col min="4873" max="4873" width="11.453125" customWidth="1"/>
    <col min="4874" max="4874" width="10.1796875" customWidth="1"/>
    <col min="4875" max="4875" width="12.7265625" customWidth="1"/>
    <col min="4876" max="4876" width="11.54296875" customWidth="1"/>
    <col min="4877" max="4877" width="12" bestFit="1" customWidth="1"/>
    <col min="4878" max="4878" width="14" customWidth="1"/>
    <col min="4879" max="4879" width="11.54296875" customWidth="1"/>
    <col min="4880" max="4880" width="12.7265625" customWidth="1"/>
    <col min="4881" max="4881" width="12.54296875" customWidth="1"/>
    <col min="4882" max="4882" width="11.26953125" customWidth="1"/>
    <col min="4883" max="4883" width="34.54296875" customWidth="1"/>
    <col min="4884" max="4884" width="11" bestFit="1" customWidth="1"/>
    <col min="4886" max="4886" width="14.26953125" customWidth="1"/>
    <col min="4889" max="4889" width="39.453125" customWidth="1"/>
    <col min="4891" max="4891" width="22.26953125" customWidth="1"/>
    <col min="4895" max="4895" width="21.26953125" customWidth="1"/>
    <col min="4899" max="4899" width="20.26953125" customWidth="1"/>
    <col min="4903" max="4903" width="34.453125" customWidth="1"/>
    <col min="4904" max="4904" width="26.54296875" customWidth="1"/>
    <col min="4905" max="4905" width="16.453125" customWidth="1"/>
    <col min="4906" max="4907" width="20.1796875" customWidth="1"/>
    <col min="4908" max="4908" width="37.1796875" customWidth="1"/>
    <col min="4909" max="4909" width="27" customWidth="1"/>
    <col min="4910" max="4910" width="12.1796875" customWidth="1"/>
    <col min="4911" max="4911" width="12.453125" bestFit="1" customWidth="1"/>
    <col min="4914" max="4914" width="34.81640625" customWidth="1"/>
    <col min="4919" max="4919" width="9.453125" customWidth="1"/>
    <col min="5125" max="5125" width="12" bestFit="1" customWidth="1"/>
    <col min="5126" max="5126" width="16.7265625" bestFit="1" customWidth="1"/>
    <col min="5127" max="5127" width="11.453125" customWidth="1"/>
    <col min="5128" max="5128" width="16.7265625" customWidth="1"/>
    <col min="5129" max="5129" width="11.453125" customWidth="1"/>
    <col min="5130" max="5130" width="10.1796875" customWidth="1"/>
    <col min="5131" max="5131" width="12.7265625" customWidth="1"/>
    <col min="5132" max="5132" width="11.54296875" customWidth="1"/>
    <col min="5133" max="5133" width="12" bestFit="1" customWidth="1"/>
    <col min="5134" max="5134" width="14" customWidth="1"/>
    <col min="5135" max="5135" width="11.54296875" customWidth="1"/>
    <col min="5136" max="5136" width="12.7265625" customWidth="1"/>
    <col min="5137" max="5137" width="12.54296875" customWidth="1"/>
    <col min="5138" max="5138" width="11.26953125" customWidth="1"/>
    <col min="5139" max="5139" width="34.54296875" customWidth="1"/>
    <col min="5140" max="5140" width="11" bestFit="1" customWidth="1"/>
    <col min="5142" max="5142" width="14.26953125" customWidth="1"/>
    <col min="5145" max="5145" width="39.453125" customWidth="1"/>
    <col min="5147" max="5147" width="22.26953125" customWidth="1"/>
    <col min="5151" max="5151" width="21.26953125" customWidth="1"/>
    <col min="5155" max="5155" width="20.26953125" customWidth="1"/>
    <col min="5159" max="5159" width="34.453125" customWidth="1"/>
    <col min="5160" max="5160" width="26.54296875" customWidth="1"/>
    <col min="5161" max="5161" width="16.453125" customWidth="1"/>
    <col min="5162" max="5163" width="20.1796875" customWidth="1"/>
    <col min="5164" max="5164" width="37.1796875" customWidth="1"/>
    <col min="5165" max="5165" width="27" customWidth="1"/>
    <col min="5166" max="5166" width="12.1796875" customWidth="1"/>
    <col min="5167" max="5167" width="12.453125" bestFit="1" customWidth="1"/>
    <col min="5170" max="5170" width="34.81640625" customWidth="1"/>
    <col min="5175" max="5175" width="9.453125" customWidth="1"/>
    <col min="5381" max="5381" width="12" bestFit="1" customWidth="1"/>
    <col min="5382" max="5382" width="16.7265625" bestFit="1" customWidth="1"/>
    <col min="5383" max="5383" width="11.453125" customWidth="1"/>
    <col min="5384" max="5384" width="16.7265625" customWidth="1"/>
    <col min="5385" max="5385" width="11.453125" customWidth="1"/>
    <col min="5386" max="5386" width="10.1796875" customWidth="1"/>
    <col min="5387" max="5387" width="12.7265625" customWidth="1"/>
    <col min="5388" max="5388" width="11.54296875" customWidth="1"/>
    <col min="5389" max="5389" width="12" bestFit="1" customWidth="1"/>
    <col min="5390" max="5390" width="14" customWidth="1"/>
    <col min="5391" max="5391" width="11.54296875" customWidth="1"/>
    <col min="5392" max="5392" width="12.7265625" customWidth="1"/>
    <col min="5393" max="5393" width="12.54296875" customWidth="1"/>
    <col min="5394" max="5394" width="11.26953125" customWidth="1"/>
    <col min="5395" max="5395" width="34.54296875" customWidth="1"/>
    <col min="5396" max="5396" width="11" bestFit="1" customWidth="1"/>
    <col min="5398" max="5398" width="14.26953125" customWidth="1"/>
    <col min="5401" max="5401" width="39.453125" customWidth="1"/>
    <col min="5403" max="5403" width="22.26953125" customWidth="1"/>
    <col min="5407" max="5407" width="21.26953125" customWidth="1"/>
    <col min="5411" max="5411" width="20.26953125" customWidth="1"/>
    <col min="5415" max="5415" width="34.453125" customWidth="1"/>
    <col min="5416" max="5416" width="26.54296875" customWidth="1"/>
    <col min="5417" max="5417" width="16.453125" customWidth="1"/>
    <col min="5418" max="5419" width="20.1796875" customWidth="1"/>
    <col min="5420" max="5420" width="37.1796875" customWidth="1"/>
    <col min="5421" max="5421" width="27" customWidth="1"/>
    <col min="5422" max="5422" width="12.1796875" customWidth="1"/>
    <col min="5423" max="5423" width="12.453125" bestFit="1" customWidth="1"/>
    <col min="5426" max="5426" width="34.81640625" customWidth="1"/>
    <col min="5431" max="5431" width="9.453125" customWidth="1"/>
    <col min="5637" max="5637" width="12" bestFit="1" customWidth="1"/>
    <col min="5638" max="5638" width="16.7265625" bestFit="1" customWidth="1"/>
    <col min="5639" max="5639" width="11.453125" customWidth="1"/>
    <col min="5640" max="5640" width="16.7265625" customWidth="1"/>
    <col min="5641" max="5641" width="11.453125" customWidth="1"/>
    <col min="5642" max="5642" width="10.1796875" customWidth="1"/>
    <col min="5643" max="5643" width="12.7265625" customWidth="1"/>
    <col min="5644" max="5644" width="11.54296875" customWidth="1"/>
    <col min="5645" max="5645" width="12" bestFit="1" customWidth="1"/>
    <col min="5646" max="5646" width="14" customWidth="1"/>
    <col min="5647" max="5647" width="11.54296875" customWidth="1"/>
    <col min="5648" max="5648" width="12.7265625" customWidth="1"/>
    <col min="5649" max="5649" width="12.54296875" customWidth="1"/>
    <col min="5650" max="5650" width="11.26953125" customWidth="1"/>
    <col min="5651" max="5651" width="34.54296875" customWidth="1"/>
    <col min="5652" max="5652" width="11" bestFit="1" customWidth="1"/>
    <col min="5654" max="5654" width="14.26953125" customWidth="1"/>
    <col min="5657" max="5657" width="39.453125" customWidth="1"/>
    <col min="5659" max="5659" width="22.26953125" customWidth="1"/>
    <col min="5663" max="5663" width="21.26953125" customWidth="1"/>
    <col min="5667" max="5667" width="20.26953125" customWidth="1"/>
    <col min="5671" max="5671" width="34.453125" customWidth="1"/>
    <col min="5672" max="5672" width="26.54296875" customWidth="1"/>
    <col min="5673" max="5673" width="16.453125" customWidth="1"/>
    <col min="5674" max="5675" width="20.1796875" customWidth="1"/>
    <col min="5676" max="5676" width="37.1796875" customWidth="1"/>
    <col min="5677" max="5677" width="27" customWidth="1"/>
    <col min="5678" max="5678" width="12.1796875" customWidth="1"/>
    <col min="5679" max="5679" width="12.453125" bestFit="1" customWidth="1"/>
    <col min="5682" max="5682" width="34.81640625" customWidth="1"/>
    <col min="5687" max="5687" width="9.453125" customWidth="1"/>
    <col min="5893" max="5893" width="12" bestFit="1" customWidth="1"/>
    <col min="5894" max="5894" width="16.7265625" bestFit="1" customWidth="1"/>
    <col min="5895" max="5895" width="11.453125" customWidth="1"/>
    <col min="5896" max="5896" width="16.7265625" customWidth="1"/>
    <col min="5897" max="5897" width="11.453125" customWidth="1"/>
    <col min="5898" max="5898" width="10.1796875" customWidth="1"/>
    <col min="5899" max="5899" width="12.7265625" customWidth="1"/>
    <col min="5900" max="5900" width="11.54296875" customWidth="1"/>
    <col min="5901" max="5901" width="12" bestFit="1" customWidth="1"/>
    <col min="5902" max="5902" width="14" customWidth="1"/>
    <col min="5903" max="5903" width="11.54296875" customWidth="1"/>
    <col min="5904" max="5904" width="12.7265625" customWidth="1"/>
    <col min="5905" max="5905" width="12.54296875" customWidth="1"/>
    <col min="5906" max="5906" width="11.26953125" customWidth="1"/>
    <col min="5907" max="5907" width="34.54296875" customWidth="1"/>
    <col min="5908" max="5908" width="11" bestFit="1" customWidth="1"/>
    <col min="5910" max="5910" width="14.26953125" customWidth="1"/>
    <col min="5913" max="5913" width="39.453125" customWidth="1"/>
    <col min="5915" max="5915" width="22.26953125" customWidth="1"/>
    <col min="5919" max="5919" width="21.26953125" customWidth="1"/>
    <col min="5923" max="5923" width="20.26953125" customWidth="1"/>
    <col min="5927" max="5927" width="34.453125" customWidth="1"/>
    <col min="5928" max="5928" width="26.54296875" customWidth="1"/>
    <col min="5929" max="5929" width="16.453125" customWidth="1"/>
    <col min="5930" max="5931" width="20.1796875" customWidth="1"/>
    <col min="5932" max="5932" width="37.1796875" customWidth="1"/>
    <col min="5933" max="5933" width="27" customWidth="1"/>
    <col min="5934" max="5934" width="12.1796875" customWidth="1"/>
    <col min="5935" max="5935" width="12.453125" bestFit="1" customWidth="1"/>
    <col min="5938" max="5938" width="34.81640625" customWidth="1"/>
    <col min="5943" max="5943" width="9.453125" customWidth="1"/>
    <col min="6149" max="6149" width="12" bestFit="1" customWidth="1"/>
    <col min="6150" max="6150" width="16.7265625" bestFit="1" customWidth="1"/>
    <col min="6151" max="6151" width="11.453125" customWidth="1"/>
    <col min="6152" max="6152" width="16.7265625" customWidth="1"/>
    <col min="6153" max="6153" width="11.453125" customWidth="1"/>
    <col min="6154" max="6154" width="10.1796875" customWidth="1"/>
    <col min="6155" max="6155" width="12.7265625" customWidth="1"/>
    <col min="6156" max="6156" width="11.54296875" customWidth="1"/>
    <col min="6157" max="6157" width="12" bestFit="1" customWidth="1"/>
    <col min="6158" max="6158" width="14" customWidth="1"/>
    <col min="6159" max="6159" width="11.54296875" customWidth="1"/>
    <col min="6160" max="6160" width="12.7265625" customWidth="1"/>
    <col min="6161" max="6161" width="12.54296875" customWidth="1"/>
    <col min="6162" max="6162" width="11.26953125" customWidth="1"/>
    <col min="6163" max="6163" width="34.54296875" customWidth="1"/>
    <col min="6164" max="6164" width="11" bestFit="1" customWidth="1"/>
    <col min="6166" max="6166" width="14.26953125" customWidth="1"/>
    <col min="6169" max="6169" width="39.453125" customWidth="1"/>
    <col min="6171" max="6171" width="22.26953125" customWidth="1"/>
    <col min="6175" max="6175" width="21.26953125" customWidth="1"/>
    <col min="6179" max="6179" width="20.26953125" customWidth="1"/>
    <col min="6183" max="6183" width="34.453125" customWidth="1"/>
    <col min="6184" max="6184" width="26.54296875" customWidth="1"/>
    <col min="6185" max="6185" width="16.453125" customWidth="1"/>
    <col min="6186" max="6187" width="20.1796875" customWidth="1"/>
    <col min="6188" max="6188" width="37.1796875" customWidth="1"/>
    <col min="6189" max="6189" width="27" customWidth="1"/>
    <col min="6190" max="6190" width="12.1796875" customWidth="1"/>
    <col min="6191" max="6191" width="12.453125" bestFit="1" customWidth="1"/>
    <col min="6194" max="6194" width="34.81640625" customWidth="1"/>
    <col min="6199" max="6199" width="9.453125" customWidth="1"/>
    <col min="6405" max="6405" width="12" bestFit="1" customWidth="1"/>
    <col min="6406" max="6406" width="16.7265625" bestFit="1" customWidth="1"/>
    <col min="6407" max="6407" width="11.453125" customWidth="1"/>
    <col min="6408" max="6408" width="16.7265625" customWidth="1"/>
    <col min="6409" max="6409" width="11.453125" customWidth="1"/>
    <col min="6410" max="6410" width="10.1796875" customWidth="1"/>
    <col min="6411" max="6411" width="12.7265625" customWidth="1"/>
    <col min="6412" max="6412" width="11.54296875" customWidth="1"/>
    <col min="6413" max="6413" width="12" bestFit="1" customWidth="1"/>
    <col min="6414" max="6414" width="14" customWidth="1"/>
    <col min="6415" max="6415" width="11.54296875" customWidth="1"/>
    <col min="6416" max="6416" width="12.7265625" customWidth="1"/>
    <col min="6417" max="6417" width="12.54296875" customWidth="1"/>
    <col min="6418" max="6418" width="11.26953125" customWidth="1"/>
    <col min="6419" max="6419" width="34.54296875" customWidth="1"/>
    <col min="6420" max="6420" width="11" bestFit="1" customWidth="1"/>
    <col min="6422" max="6422" width="14.26953125" customWidth="1"/>
    <col min="6425" max="6425" width="39.453125" customWidth="1"/>
    <col min="6427" max="6427" width="22.26953125" customWidth="1"/>
    <col min="6431" max="6431" width="21.26953125" customWidth="1"/>
    <col min="6435" max="6435" width="20.26953125" customWidth="1"/>
    <col min="6439" max="6439" width="34.453125" customWidth="1"/>
    <col min="6440" max="6440" width="26.54296875" customWidth="1"/>
    <col min="6441" max="6441" width="16.453125" customWidth="1"/>
    <col min="6442" max="6443" width="20.1796875" customWidth="1"/>
    <col min="6444" max="6444" width="37.1796875" customWidth="1"/>
    <col min="6445" max="6445" width="27" customWidth="1"/>
    <col min="6446" max="6446" width="12.1796875" customWidth="1"/>
    <col min="6447" max="6447" width="12.453125" bestFit="1" customWidth="1"/>
    <col min="6450" max="6450" width="34.81640625" customWidth="1"/>
    <col min="6455" max="6455" width="9.453125" customWidth="1"/>
    <col min="6661" max="6661" width="12" bestFit="1" customWidth="1"/>
    <col min="6662" max="6662" width="16.7265625" bestFit="1" customWidth="1"/>
    <col min="6663" max="6663" width="11.453125" customWidth="1"/>
    <col min="6664" max="6664" width="16.7265625" customWidth="1"/>
    <col min="6665" max="6665" width="11.453125" customWidth="1"/>
    <col min="6666" max="6666" width="10.1796875" customWidth="1"/>
    <col min="6667" max="6667" width="12.7265625" customWidth="1"/>
    <col min="6668" max="6668" width="11.54296875" customWidth="1"/>
    <col min="6669" max="6669" width="12" bestFit="1" customWidth="1"/>
    <col min="6670" max="6670" width="14" customWidth="1"/>
    <col min="6671" max="6671" width="11.54296875" customWidth="1"/>
    <col min="6672" max="6672" width="12.7265625" customWidth="1"/>
    <col min="6673" max="6673" width="12.54296875" customWidth="1"/>
    <col min="6674" max="6674" width="11.26953125" customWidth="1"/>
    <col min="6675" max="6675" width="34.54296875" customWidth="1"/>
    <col min="6676" max="6676" width="11" bestFit="1" customWidth="1"/>
    <col min="6678" max="6678" width="14.26953125" customWidth="1"/>
    <col min="6681" max="6681" width="39.453125" customWidth="1"/>
    <col min="6683" max="6683" width="22.26953125" customWidth="1"/>
    <col min="6687" max="6687" width="21.26953125" customWidth="1"/>
    <col min="6691" max="6691" width="20.26953125" customWidth="1"/>
    <col min="6695" max="6695" width="34.453125" customWidth="1"/>
    <col min="6696" max="6696" width="26.54296875" customWidth="1"/>
    <col min="6697" max="6697" width="16.453125" customWidth="1"/>
    <col min="6698" max="6699" width="20.1796875" customWidth="1"/>
    <col min="6700" max="6700" width="37.1796875" customWidth="1"/>
    <col min="6701" max="6701" width="27" customWidth="1"/>
    <col min="6702" max="6702" width="12.1796875" customWidth="1"/>
    <col min="6703" max="6703" width="12.453125" bestFit="1" customWidth="1"/>
    <col min="6706" max="6706" width="34.81640625" customWidth="1"/>
    <col min="6711" max="6711" width="9.453125" customWidth="1"/>
    <col min="6917" max="6917" width="12" bestFit="1" customWidth="1"/>
    <col min="6918" max="6918" width="16.7265625" bestFit="1" customWidth="1"/>
    <col min="6919" max="6919" width="11.453125" customWidth="1"/>
    <col min="6920" max="6920" width="16.7265625" customWidth="1"/>
    <col min="6921" max="6921" width="11.453125" customWidth="1"/>
    <col min="6922" max="6922" width="10.1796875" customWidth="1"/>
    <col min="6923" max="6923" width="12.7265625" customWidth="1"/>
    <col min="6924" max="6924" width="11.54296875" customWidth="1"/>
    <col min="6925" max="6925" width="12" bestFit="1" customWidth="1"/>
    <col min="6926" max="6926" width="14" customWidth="1"/>
    <col min="6927" max="6927" width="11.54296875" customWidth="1"/>
    <col min="6928" max="6928" width="12.7265625" customWidth="1"/>
    <col min="6929" max="6929" width="12.54296875" customWidth="1"/>
    <col min="6930" max="6930" width="11.26953125" customWidth="1"/>
    <col min="6931" max="6931" width="34.54296875" customWidth="1"/>
    <col min="6932" max="6932" width="11" bestFit="1" customWidth="1"/>
    <col min="6934" max="6934" width="14.26953125" customWidth="1"/>
    <col min="6937" max="6937" width="39.453125" customWidth="1"/>
    <col min="6939" max="6939" width="22.26953125" customWidth="1"/>
    <col min="6943" max="6943" width="21.26953125" customWidth="1"/>
    <col min="6947" max="6947" width="20.26953125" customWidth="1"/>
    <col min="6951" max="6951" width="34.453125" customWidth="1"/>
    <col min="6952" max="6952" width="26.54296875" customWidth="1"/>
    <col min="6953" max="6953" width="16.453125" customWidth="1"/>
    <col min="6954" max="6955" width="20.1796875" customWidth="1"/>
    <col min="6956" max="6956" width="37.1796875" customWidth="1"/>
    <col min="6957" max="6957" width="27" customWidth="1"/>
    <col min="6958" max="6958" width="12.1796875" customWidth="1"/>
    <col min="6959" max="6959" width="12.453125" bestFit="1" customWidth="1"/>
    <col min="6962" max="6962" width="34.81640625" customWidth="1"/>
    <col min="6967" max="6967" width="9.453125" customWidth="1"/>
    <col min="7173" max="7173" width="12" bestFit="1" customWidth="1"/>
    <col min="7174" max="7174" width="16.7265625" bestFit="1" customWidth="1"/>
    <col min="7175" max="7175" width="11.453125" customWidth="1"/>
    <col min="7176" max="7176" width="16.7265625" customWidth="1"/>
    <col min="7177" max="7177" width="11.453125" customWidth="1"/>
    <col min="7178" max="7178" width="10.1796875" customWidth="1"/>
    <col min="7179" max="7179" width="12.7265625" customWidth="1"/>
    <col min="7180" max="7180" width="11.54296875" customWidth="1"/>
    <col min="7181" max="7181" width="12" bestFit="1" customWidth="1"/>
    <col min="7182" max="7182" width="14" customWidth="1"/>
    <col min="7183" max="7183" width="11.54296875" customWidth="1"/>
    <col min="7184" max="7184" width="12.7265625" customWidth="1"/>
    <col min="7185" max="7185" width="12.54296875" customWidth="1"/>
    <col min="7186" max="7186" width="11.26953125" customWidth="1"/>
    <col min="7187" max="7187" width="34.54296875" customWidth="1"/>
    <col min="7188" max="7188" width="11" bestFit="1" customWidth="1"/>
    <col min="7190" max="7190" width="14.26953125" customWidth="1"/>
    <col min="7193" max="7193" width="39.453125" customWidth="1"/>
    <col min="7195" max="7195" width="22.26953125" customWidth="1"/>
    <col min="7199" max="7199" width="21.26953125" customWidth="1"/>
    <col min="7203" max="7203" width="20.26953125" customWidth="1"/>
    <col min="7207" max="7207" width="34.453125" customWidth="1"/>
    <col min="7208" max="7208" width="26.54296875" customWidth="1"/>
    <col min="7209" max="7209" width="16.453125" customWidth="1"/>
    <col min="7210" max="7211" width="20.1796875" customWidth="1"/>
    <col min="7212" max="7212" width="37.1796875" customWidth="1"/>
    <col min="7213" max="7213" width="27" customWidth="1"/>
    <col min="7214" max="7214" width="12.1796875" customWidth="1"/>
    <col min="7215" max="7215" width="12.453125" bestFit="1" customWidth="1"/>
    <col min="7218" max="7218" width="34.81640625" customWidth="1"/>
    <col min="7223" max="7223" width="9.453125" customWidth="1"/>
    <col min="7429" max="7429" width="12" bestFit="1" customWidth="1"/>
    <col min="7430" max="7430" width="16.7265625" bestFit="1" customWidth="1"/>
    <col min="7431" max="7431" width="11.453125" customWidth="1"/>
    <col min="7432" max="7432" width="16.7265625" customWidth="1"/>
    <col min="7433" max="7433" width="11.453125" customWidth="1"/>
    <col min="7434" max="7434" width="10.1796875" customWidth="1"/>
    <col min="7435" max="7435" width="12.7265625" customWidth="1"/>
    <col min="7436" max="7436" width="11.54296875" customWidth="1"/>
    <col min="7437" max="7437" width="12" bestFit="1" customWidth="1"/>
    <col min="7438" max="7438" width="14" customWidth="1"/>
    <col min="7439" max="7439" width="11.54296875" customWidth="1"/>
    <col min="7440" max="7440" width="12.7265625" customWidth="1"/>
    <col min="7441" max="7441" width="12.54296875" customWidth="1"/>
    <col min="7442" max="7442" width="11.26953125" customWidth="1"/>
    <col min="7443" max="7443" width="34.54296875" customWidth="1"/>
    <col min="7444" max="7444" width="11" bestFit="1" customWidth="1"/>
    <col min="7446" max="7446" width="14.26953125" customWidth="1"/>
    <col min="7449" max="7449" width="39.453125" customWidth="1"/>
    <col min="7451" max="7451" width="22.26953125" customWidth="1"/>
    <col min="7455" max="7455" width="21.26953125" customWidth="1"/>
    <col min="7459" max="7459" width="20.26953125" customWidth="1"/>
    <col min="7463" max="7463" width="34.453125" customWidth="1"/>
    <col min="7464" max="7464" width="26.54296875" customWidth="1"/>
    <col min="7465" max="7465" width="16.453125" customWidth="1"/>
    <col min="7466" max="7467" width="20.1796875" customWidth="1"/>
    <col min="7468" max="7468" width="37.1796875" customWidth="1"/>
    <col min="7469" max="7469" width="27" customWidth="1"/>
    <col min="7470" max="7470" width="12.1796875" customWidth="1"/>
    <col min="7471" max="7471" width="12.453125" bestFit="1" customWidth="1"/>
    <col min="7474" max="7474" width="34.81640625" customWidth="1"/>
    <col min="7479" max="7479" width="9.453125" customWidth="1"/>
    <col min="7685" max="7685" width="12" bestFit="1" customWidth="1"/>
    <col min="7686" max="7686" width="16.7265625" bestFit="1" customWidth="1"/>
    <col min="7687" max="7687" width="11.453125" customWidth="1"/>
    <col min="7688" max="7688" width="16.7265625" customWidth="1"/>
    <col min="7689" max="7689" width="11.453125" customWidth="1"/>
    <col min="7690" max="7690" width="10.1796875" customWidth="1"/>
    <col min="7691" max="7691" width="12.7265625" customWidth="1"/>
    <col min="7692" max="7692" width="11.54296875" customWidth="1"/>
    <col min="7693" max="7693" width="12" bestFit="1" customWidth="1"/>
    <col min="7694" max="7694" width="14" customWidth="1"/>
    <col min="7695" max="7695" width="11.54296875" customWidth="1"/>
    <col min="7696" max="7696" width="12.7265625" customWidth="1"/>
    <col min="7697" max="7697" width="12.54296875" customWidth="1"/>
    <col min="7698" max="7698" width="11.26953125" customWidth="1"/>
    <col min="7699" max="7699" width="34.54296875" customWidth="1"/>
    <col min="7700" max="7700" width="11" bestFit="1" customWidth="1"/>
    <col min="7702" max="7702" width="14.26953125" customWidth="1"/>
    <col min="7705" max="7705" width="39.453125" customWidth="1"/>
    <col min="7707" max="7707" width="22.26953125" customWidth="1"/>
    <col min="7711" max="7711" width="21.26953125" customWidth="1"/>
    <col min="7715" max="7715" width="20.26953125" customWidth="1"/>
    <col min="7719" max="7719" width="34.453125" customWidth="1"/>
    <col min="7720" max="7720" width="26.54296875" customWidth="1"/>
    <col min="7721" max="7721" width="16.453125" customWidth="1"/>
    <col min="7722" max="7723" width="20.1796875" customWidth="1"/>
    <col min="7724" max="7724" width="37.1796875" customWidth="1"/>
    <col min="7725" max="7725" width="27" customWidth="1"/>
    <col min="7726" max="7726" width="12.1796875" customWidth="1"/>
    <col min="7727" max="7727" width="12.453125" bestFit="1" customWidth="1"/>
    <col min="7730" max="7730" width="34.81640625" customWidth="1"/>
    <col min="7735" max="7735" width="9.453125" customWidth="1"/>
    <col min="7941" max="7941" width="12" bestFit="1" customWidth="1"/>
    <col min="7942" max="7942" width="16.7265625" bestFit="1" customWidth="1"/>
    <col min="7943" max="7943" width="11.453125" customWidth="1"/>
    <col min="7944" max="7944" width="16.7265625" customWidth="1"/>
    <col min="7945" max="7945" width="11.453125" customWidth="1"/>
    <col min="7946" max="7946" width="10.1796875" customWidth="1"/>
    <col min="7947" max="7947" width="12.7265625" customWidth="1"/>
    <col min="7948" max="7948" width="11.54296875" customWidth="1"/>
    <col min="7949" max="7949" width="12" bestFit="1" customWidth="1"/>
    <col min="7950" max="7950" width="14" customWidth="1"/>
    <col min="7951" max="7951" width="11.54296875" customWidth="1"/>
    <col min="7952" max="7952" width="12.7265625" customWidth="1"/>
    <col min="7953" max="7953" width="12.54296875" customWidth="1"/>
    <col min="7954" max="7954" width="11.26953125" customWidth="1"/>
    <col min="7955" max="7955" width="34.54296875" customWidth="1"/>
    <col min="7956" max="7956" width="11" bestFit="1" customWidth="1"/>
    <col min="7958" max="7958" width="14.26953125" customWidth="1"/>
    <col min="7961" max="7961" width="39.453125" customWidth="1"/>
    <col min="7963" max="7963" width="22.26953125" customWidth="1"/>
    <col min="7967" max="7967" width="21.26953125" customWidth="1"/>
    <col min="7971" max="7971" width="20.26953125" customWidth="1"/>
    <col min="7975" max="7975" width="34.453125" customWidth="1"/>
    <col min="7976" max="7976" width="26.54296875" customWidth="1"/>
    <col min="7977" max="7977" width="16.453125" customWidth="1"/>
    <col min="7978" max="7979" width="20.1796875" customWidth="1"/>
    <col min="7980" max="7980" width="37.1796875" customWidth="1"/>
    <col min="7981" max="7981" width="27" customWidth="1"/>
    <col min="7982" max="7982" width="12.1796875" customWidth="1"/>
    <col min="7983" max="7983" width="12.453125" bestFit="1" customWidth="1"/>
    <col min="7986" max="7986" width="34.81640625" customWidth="1"/>
    <col min="7991" max="7991" width="9.453125" customWidth="1"/>
    <col min="8197" max="8197" width="12" bestFit="1" customWidth="1"/>
    <col min="8198" max="8198" width="16.7265625" bestFit="1" customWidth="1"/>
    <col min="8199" max="8199" width="11.453125" customWidth="1"/>
    <col min="8200" max="8200" width="16.7265625" customWidth="1"/>
    <col min="8201" max="8201" width="11.453125" customWidth="1"/>
    <col min="8202" max="8202" width="10.1796875" customWidth="1"/>
    <col min="8203" max="8203" width="12.7265625" customWidth="1"/>
    <col min="8204" max="8204" width="11.54296875" customWidth="1"/>
    <col min="8205" max="8205" width="12" bestFit="1" customWidth="1"/>
    <col min="8206" max="8206" width="14" customWidth="1"/>
    <col min="8207" max="8207" width="11.54296875" customWidth="1"/>
    <col min="8208" max="8208" width="12.7265625" customWidth="1"/>
    <col min="8209" max="8209" width="12.54296875" customWidth="1"/>
    <col min="8210" max="8210" width="11.26953125" customWidth="1"/>
    <col min="8211" max="8211" width="34.54296875" customWidth="1"/>
    <col min="8212" max="8212" width="11" bestFit="1" customWidth="1"/>
    <col min="8214" max="8214" width="14.26953125" customWidth="1"/>
    <col min="8217" max="8217" width="39.453125" customWidth="1"/>
    <col min="8219" max="8219" width="22.26953125" customWidth="1"/>
    <col min="8223" max="8223" width="21.26953125" customWidth="1"/>
    <col min="8227" max="8227" width="20.26953125" customWidth="1"/>
    <col min="8231" max="8231" width="34.453125" customWidth="1"/>
    <col min="8232" max="8232" width="26.54296875" customWidth="1"/>
    <col min="8233" max="8233" width="16.453125" customWidth="1"/>
    <col min="8234" max="8235" width="20.1796875" customWidth="1"/>
    <col min="8236" max="8236" width="37.1796875" customWidth="1"/>
    <col min="8237" max="8237" width="27" customWidth="1"/>
    <col min="8238" max="8238" width="12.1796875" customWidth="1"/>
    <col min="8239" max="8239" width="12.453125" bestFit="1" customWidth="1"/>
    <col min="8242" max="8242" width="34.81640625" customWidth="1"/>
    <col min="8247" max="8247" width="9.453125" customWidth="1"/>
    <col min="8453" max="8453" width="12" bestFit="1" customWidth="1"/>
    <col min="8454" max="8454" width="16.7265625" bestFit="1" customWidth="1"/>
    <col min="8455" max="8455" width="11.453125" customWidth="1"/>
    <col min="8456" max="8456" width="16.7265625" customWidth="1"/>
    <col min="8457" max="8457" width="11.453125" customWidth="1"/>
    <col min="8458" max="8458" width="10.1796875" customWidth="1"/>
    <col min="8459" max="8459" width="12.7265625" customWidth="1"/>
    <col min="8460" max="8460" width="11.54296875" customWidth="1"/>
    <col min="8461" max="8461" width="12" bestFit="1" customWidth="1"/>
    <col min="8462" max="8462" width="14" customWidth="1"/>
    <col min="8463" max="8463" width="11.54296875" customWidth="1"/>
    <col min="8464" max="8464" width="12.7265625" customWidth="1"/>
    <col min="8465" max="8465" width="12.54296875" customWidth="1"/>
    <col min="8466" max="8466" width="11.26953125" customWidth="1"/>
    <col min="8467" max="8467" width="34.54296875" customWidth="1"/>
    <col min="8468" max="8468" width="11" bestFit="1" customWidth="1"/>
    <col min="8470" max="8470" width="14.26953125" customWidth="1"/>
    <col min="8473" max="8473" width="39.453125" customWidth="1"/>
    <col min="8475" max="8475" width="22.26953125" customWidth="1"/>
    <col min="8479" max="8479" width="21.26953125" customWidth="1"/>
    <col min="8483" max="8483" width="20.26953125" customWidth="1"/>
    <col min="8487" max="8487" width="34.453125" customWidth="1"/>
    <col min="8488" max="8488" width="26.54296875" customWidth="1"/>
    <col min="8489" max="8489" width="16.453125" customWidth="1"/>
    <col min="8490" max="8491" width="20.1796875" customWidth="1"/>
    <col min="8492" max="8492" width="37.1796875" customWidth="1"/>
    <col min="8493" max="8493" width="27" customWidth="1"/>
    <col min="8494" max="8494" width="12.1796875" customWidth="1"/>
    <col min="8495" max="8495" width="12.453125" bestFit="1" customWidth="1"/>
    <col min="8498" max="8498" width="34.81640625" customWidth="1"/>
    <col min="8503" max="8503" width="9.453125" customWidth="1"/>
    <col min="8709" max="8709" width="12" bestFit="1" customWidth="1"/>
    <col min="8710" max="8710" width="16.7265625" bestFit="1" customWidth="1"/>
    <col min="8711" max="8711" width="11.453125" customWidth="1"/>
    <col min="8712" max="8712" width="16.7265625" customWidth="1"/>
    <col min="8713" max="8713" width="11.453125" customWidth="1"/>
    <col min="8714" max="8714" width="10.1796875" customWidth="1"/>
    <col min="8715" max="8715" width="12.7265625" customWidth="1"/>
    <col min="8716" max="8716" width="11.54296875" customWidth="1"/>
    <col min="8717" max="8717" width="12" bestFit="1" customWidth="1"/>
    <col min="8718" max="8718" width="14" customWidth="1"/>
    <col min="8719" max="8719" width="11.54296875" customWidth="1"/>
    <col min="8720" max="8720" width="12.7265625" customWidth="1"/>
    <col min="8721" max="8721" width="12.54296875" customWidth="1"/>
    <col min="8722" max="8722" width="11.26953125" customWidth="1"/>
    <col min="8723" max="8723" width="34.54296875" customWidth="1"/>
    <col min="8724" max="8724" width="11" bestFit="1" customWidth="1"/>
    <col min="8726" max="8726" width="14.26953125" customWidth="1"/>
    <col min="8729" max="8729" width="39.453125" customWidth="1"/>
    <col min="8731" max="8731" width="22.26953125" customWidth="1"/>
    <col min="8735" max="8735" width="21.26953125" customWidth="1"/>
    <col min="8739" max="8739" width="20.26953125" customWidth="1"/>
    <col min="8743" max="8743" width="34.453125" customWidth="1"/>
    <col min="8744" max="8744" width="26.54296875" customWidth="1"/>
    <col min="8745" max="8745" width="16.453125" customWidth="1"/>
    <col min="8746" max="8747" width="20.1796875" customWidth="1"/>
    <col min="8748" max="8748" width="37.1796875" customWidth="1"/>
    <col min="8749" max="8749" width="27" customWidth="1"/>
    <col min="8750" max="8750" width="12.1796875" customWidth="1"/>
    <col min="8751" max="8751" width="12.453125" bestFit="1" customWidth="1"/>
    <col min="8754" max="8754" width="34.81640625" customWidth="1"/>
    <col min="8759" max="8759" width="9.453125" customWidth="1"/>
    <col min="8965" max="8965" width="12" bestFit="1" customWidth="1"/>
    <col min="8966" max="8966" width="16.7265625" bestFit="1" customWidth="1"/>
    <col min="8967" max="8967" width="11.453125" customWidth="1"/>
    <col min="8968" max="8968" width="16.7265625" customWidth="1"/>
    <col min="8969" max="8969" width="11.453125" customWidth="1"/>
    <col min="8970" max="8970" width="10.1796875" customWidth="1"/>
    <col min="8971" max="8971" width="12.7265625" customWidth="1"/>
    <col min="8972" max="8972" width="11.54296875" customWidth="1"/>
    <col min="8973" max="8973" width="12" bestFit="1" customWidth="1"/>
    <col min="8974" max="8974" width="14" customWidth="1"/>
    <col min="8975" max="8975" width="11.54296875" customWidth="1"/>
    <col min="8976" max="8976" width="12.7265625" customWidth="1"/>
    <col min="8977" max="8977" width="12.54296875" customWidth="1"/>
    <col min="8978" max="8978" width="11.26953125" customWidth="1"/>
    <col min="8979" max="8979" width="34.54296875" customWidth="1"/>
    <col min="8980" max="8980" width="11" bestFit="1" customWidth="1"/>
    <col min="8982" max="8982" width="14.26953125" customWidth="1"/>
    <col min="8985" max="8985" width="39.453125" customWidth="1"/>
    <col min="8987" max="8987" width="22.26953125" customWidth="1"/>
    <col min="8991" max="8991" width="21.26953125" customWidth="1"/>
    <col min="8995" max="8995" width="20.26953125" customWidth="1"/>
    <col min="8999" max="8999" width="34.453125" customWidth="1"/>
    <col min="9000" max="9000" width="26.54296875" customWidth="1"/>
    <col min="9001" max="9001" width="16.453125" customWidth="1"/>
    <col min="9002" max="9003" width="20.1796875" customWidth="1"/>
    <col min="9004" max="9004" width="37.1796875" customWidth="1"/>
    <col min="9005" max="9005" width="27" customWidth="1"/>
    <col min="9006" max="9006" width="12.1796875" customWidth="1"/>
    <col min="9007" max="9007" width="12.453125" bestFit="1" customWidth="1"/>
    <col min="9010" max="9010" width="34.81640625" customWidth="1"/>
    <col min="9015" max="9015" width="9.453125" customWidth="1"/>
    <col min="9221" max="9221" width="12" bestFit="1" customWidth="1"/>
    <col min="9222" max="9222" width="16.7265625" bestFit="1" customWidth="1"/>
    <col min="9223" max="9223" width="11.453125" customWidth="1"/>
    <col min="9224" max="9224" width="16.7265625" customWidth="1"/>
    <col min="9225" max="9225" width="11.453125" customWidth="1"/>
    <col min="9226" max="9226" width="10.1796875" customWidth="1"/>
    <col min="9227" max="9227" width="12.7265625" customWidth="1"/>
    <col min="9228" max="9228" width="11.54296875" customWidth="1"/>
    <col min="9229" max="9229" width="12" bestFit="1" customWidth="1"/>
    <col min="9230" max="9230" width="14" customWidth="1"/>
    <col min="9231" max="9231" width="11.54296875" customWidth="1"/>
    <col min="9232" max="9232" width="12.7265625" customWidth="1"/>
    <col min="9233" max="9233" width="12.54296875" customWidth="1"/>
    <col min="9234" max="9234" width="11.26953125" customWidth="1"/>
    <col min="9235" max="9235" width="34.54296875" customWidth="1"/>
    <col min="9236" max="9236" width="11" bestFit="1" customWidth="1"/>
    <col min="9238" max="9238" width="14.26953125" customWidth="1"/>
    <col min="9241" max="9241" width="39.453125" customWidth="1"/>
    <col min="9243" max="9243" width="22.26953125" customWidth="1"/>
    <col min="9247" max="9247" width="21.26953125" customWidth="1"/>
    <col min="9251" max="9251" width="20.26953125" customWidth="1"/>
    <col min="9255" max="9255" width="34.453125" customWidth="1"/>
    <col min="9256" max="9256" width="26.54296875" customWidth="1"/>
    <col min="9257" max="9257" width="16.453125" customWidth="1"/>
    <col min="9258" max="9259" width="20.1796875" customWidth="1"/>
    <col min="9260" max="9260" width="37.1796875" customWidth="1"/>
    <col min="9261" max="9261" width="27" customWidth="1"/>
    <col min="9262" max="9262" width="12.1796875" customWidth="1"/>
    <col min="9263" max="9263" width="12.453125" bestFit="1" customWidth="1"/>
    <col min="9266" max="9266" width="34.81640625" customWidth="1"/>
    <col min="9271" max="9271" width="9.453125" customWidth="1"/>
    <col min="9477" max="9477" width="12" bestFit="1" customWidth="1"/>
    <col min="9478" max="9478" width="16.7265625" bestFit="1" customWidth="1"/>
    <col min="9479" max="9479" width="11.453125" customWidth="1"/>
    <col min="9480" max="9480" width="16.7265625" customWidth="1"/>
    <col min="9481" max="9481" width="11.453125" customWidth="1"/>
    <col min="9482" max="9482" width="10.1796875" customWidth="1"/>
    <col min="9483" max="9483" width="12.7265625" customWidth="1"/>
    <col min="9484" max="9484" width="11.54296875" customWidth="1"/>
    <col min="9485" max="9485" width="12" bestFit="1" customWidth="1"/>
    <col min="9486" max="9486" width="14" customWidth="1"/>
    <col min="9487" max="9487" width="11.54296875" customWidth="1"/>
    <col min="9488" max="9488" width="12.7265625" customWidth="1"/>
    <col min="9489" max="9489" width="12.54296875" customWidth="1"/>
    <col min="9490" max="9490" width="11.26953125" customWidth="1"/>
    <col min="9491" max="9491" width="34.54296875" customWidth="1"/>
    <col min="9492" max="9492" width="11" bestFit="1" customWidth="1"/>
    <col min="9494" max="9494" width="14.26953125" customWidth="1"/>
    <col min="9497" max="9497" width="39.453125" customWidth="1"/>
    <col min="9499" max="9499" width="22.26953125" customWidth="1"/>
    <col min="9503" max="9503" width="21.26953125" customWidth="1"/>
    <col min="9507" max="9507" width="20.26953125" customWidth="1"/>
    <col min="9511" max="9511" width="34.453125" customWidth="1"/>
    <col min="9512" max="9512" width="26.54296875" customWidth="1"/>
    <col min="9513" max="9513" width="16.453125" customWidth="1"/>
    <col min="9514" max="9515" width="20.1796875" customWidth="1"/>
    <col min="9516" max="9516" width="37.1796875" customWidth="1"/>
    <col min="9517" max="9517" width="27" customWidth="1"/>
    <col min="9518" max="9518" width="12.1796875" customWidth="1"/>
    <col min="9519" max="9519" width="12.453125" bestFit="1" customWidth="1"/>
    <col min="9522" max="9522" width="34.81640625" customWidth="1"/>
    <col min="9527" max="9527" width="9.453125" customWidth="1"/>
    <col min="9733" max="9733" width="12" bestFit="1" customWidth="1"/>
    <col min="9734" max="9734" width="16.7265625" bestFit="1" customWidth="1"/>
    <col min="9735" max="9735" width="11.453125" customWidth="1"/>
    <col min="9736" max="9736" width="16.7265625" customWidth="1"/>
    <col min="9737" max="9737" width="11.453125" customWidth="1"/>
    <col min="9738" max="9738" width="10.1796875" customWidth="1"/>
    <col min="9739" max="9739" width="12.7265625" customWidth="1"/>
    <col min="9740" max="9740" width="11.54296875" customWidth="1"/>
    <col min="9741" max="9741" width="12" bestFit="1" customWidth="1"/>
    <col min="9742" max="9742" width="14" customWidth="1"/>
    <col min="9743" max="9743" width="11.54296875" customWidth="1"/>
    <col min="9744" max="9744" width="12.7265625" customWidth="1"/>
    <col min="9745" max="9745" width="12.54296875" customWidth="1"/>
    <col min="9746" max="9746" width="11.26953125" customWidth="1"/>
    <col min="9747" max="9747" width="34.54296875" customWidth="1"/>
    <col min="9748" max="9748" width="11" bestFit="1" customWidth="1"/>
    <col min="9750" max="9750" width="14.26953125" customWidth="1"/>
    <col min="9753" max="9753" width="39.453125" customWidth="1"/>
    <col min="9755" max="9755" width="22.26953125" customWidth="1"/>
    <col min="9759" max="9759" width="21.26953125" customWidth="1"/>
    <col min="9763" max="9763" width="20.26953125" customWidth="1"/>
    <col min="9767" max="9767" width="34.453125" customWidth="1"/>
    <col min="9768" max="9768" width="26.54296875" customWidth="1"/>
    <col min="9769" max="9769" width="16.453125" customWidth="1"/>
    <col min="9770" max="9771" width="20.1796875" customWidth="1"/>
    <col min="9772" max="9772" width="37.1796875" customWidth="1"/>
    <col min="9773" max="9773" width="27" customWidth="1"/>
    <col min="9774" max="9774" width="12.1796875" customWidth="1"/>
    <col min="9775" max="9775" width="12.453125" bestFit="1" customWidth="1"/>
    <col min="9778" max="9778" width="34.81640625" customWidth="1"/>
    <col min="9783" max="9783" width="9.453125" customWidth="1"/>
    <col min="9989" max="9989" width="12" bestFit="1" customWidth="1"/>
    <col min="9990" max="9990" width="16.7265625" bestFit="1" customWidth="1"/>
    <col min="9991" max="9991" width="11.453125" customWidth="1"/>
    <col min="9992" max="9992" width="16.7265625" customWidth="1"/>
    <col min="9993" max="9993" width="11.453125" customWidth="1"/>
    <col min="9994" max="9994" width="10.1796875" customWidth="1"/>
    <col min="9995" max="9995" width="12.7265625" customWidth="1"/>
    <col min="9996" max="9996" width="11.54296875" customWidth="1"/>
    <col min="9997" max="9997" width="12" bestFit="1" customWidth="1"/>
    <col min="9998" max="9998" width="14" customWidth="1"/>
    <col min="9999" max="9999" width="11.54296875" customWidth="1"/>
    <col min="10000" max="10000" width="12.7265625" customWidth="1"/>
    <col min="10001" max="10001" width="12.54296875" customWidth="1"/>
    <col min="10002" max="10002" width="11.26953125" customWidth="1"/>
    <col min="10003" max="10003" width="34.54296875" customWidth="1"/>
    <col min="10004" max="10004" width="11" bestFit="1" customWidth="1"/>
    <col min="10006" max="10006" width="14.26953125" customWidth="1"/>
    <col min="10009" max="10009" width="39.453125" customWidth="1"/>
    <col min="10011" max="10011" width="22.26953125" customWidth="1"/>
    <col min="10015" max="10015" width="21.26953125" customWidth="1"/>
    <col min="10019" max="10019" width="20.26953125" customWidth="1"/>
    <col min="10023" max="10023" width="34.453125" customWidth="1"/>
    <col min="10024" max="10024" width="26.54296875" customWidth="1"/>
    <col min="10025" max="10025" width="16.453125" customWidth="1"/>
    <col min="10026" max="10027" width="20.1796875" customWidth="1"/>
    <col min="10028" max="10028" width="37.1796875" customWidth="1"/>
    <col min="10029" max="10029" width="27" customWidth="1"/>
    <col min="10030" max="10030" width="12.1796875" customWidth="1"/>
    <col min="10031" max="10031" width="12.453125" bestFit="1" customWidth="1"/>
    <col min="10034" max="10034" width="34.81640625" customWidth="1"/>
    <col min="10039" max="10039" width="9.453125" customWidth="1"/>
    <col min="10245" max="10245" width="12" bestFit="1" customWidth="1"/>
    <col min="10246" max="10246" width="16.7265625" bestFit="1" customWidth="1"/>
    <col min="10247" max="10247" width="11.453125" customWidth="1"/>
    <col min="10248" max="10248" width="16.7265625" customWidth="1"/>
    <col min="10249" max="10249" width="11.453125" customWidth="1"/>
    <col min="10250" max="10250" width="10.1796875" customWidth="1"/>
    <col min="10251" max="10251" width="12.7265625" customWidth="1"/>
    <col min="10252" max="10252" width="11.54296875" customWidth="1"/>
    <col min="10253" max="10253" width="12" bestFit="1" customWidth="1"/>
    <col min="10254" max="10254" width="14" customWidth="1"/>
    <col min="10255" max="10255" width="11.54296875" customWidth="1"/>
    <col min="10256" max="10256" width="12.7265625" customWidth="1"/>
    <col min="10257" max="10257" width="12.54296875" customWidth="1"/>
    <col min="10258" max="10258" width="11.26953125" customWidth="1"/>
    <col min="10259" max="10259" width="34.54296875" customWidth="1"/>
    <col min="10260" max="10260" width="11" bestFit="1" customWidth="1"/>
    <col min="10262" max="10262" width="14.26953125" customWidth="1"/>
    <col min="10265" max="10265" width="39.453125" customWidth="1"/>
    <col min="10267" max="10267" width="22.26953125" customWidth="1"/>
    <col min="10271" max="10271" width="21.26953125" customWidth="1"/>
    <col min="10275" max="10275" width="20.26953125" customWidth="1"/>
    <col min="10279" max="10279" width="34.453125" customWidth="1"/>
    <col min="10280" max="10280" width="26.54296875" customWidth="1"/>
    <col min="10281" max="10281" width="16.453125" customWidth="1"/>
    <col min="10282" max="10283" width="20.1796875" customWidth="1"/>
    <col min="10284" max="10284" width="37.1796875" customWidth="1"/>
    <col min="10285" max="10285" width="27" customWidth="1"/>
    <col min="10286" max="10286" width="12.1796875" customWidth="1"/>
    <col min="10287" max="10287" width="12.453125" bestFit="1" customWidth="1"/>
    <col min="10290" max="10290" width="34.81640625" customWidth="1"/>
    <col min="10295" max="10295" width="9.453125" customWidth="1"/>
    <col min="10501" max="10501" width="12" bestFit="1" customWidth="1"/>
    <col min="10502" max="10502" width="16.7265625" bestFit="1" customWidth="1"/>
    <col min="10503" max="10503" width="11.453125" customWidth="1"/>
    <col min="10504" max="10504" width="16.7265625" customWidth="1"/>
    <col min="10505" max="10505" width="11.453125" customWidth="1"/>
    <col min="10506" max="10506" width="10.1796875" customWidth="1"/>
    <col min="10507" max="10507" width="12.7265625" customWidth="1"/>
    <col min="10508" max="10508" width="11.54296875" customWidth="1"/>
    <col min="10509" max="10509" width="12" bestFit="1" customWidth="1"/>
    <col min="10510" max="10510" width="14" customWidth="1"/>
    <col min="10511" max="10511" width="11.54296875" customWidth="1"/>
    <col min="10512" max="10512" width="12.7265625" customWidth="1"/>
    <col min="10513" max="10513" width="12.54296875" customWidth="1"/>
    <col min="10514" max="10514" width="11.26953125" customWidth="1"/>
    <col min="10515" max="10515" width="34.54296875" customWidth="1"/>
    <col min="10516" max="10516" width="11" bestFit="1" customWidth="1"/>
    <col min="10518" max="10518" width="14.26953125" customWidth="1"/>
    <col min="10521" max="10521" width="39.453125" customWidth="1"/>
    <col min="10523" max="10523" width="22.26953125" customWidth="1"/>
    <col min="10527" max="10527" width="21.26953125" customWidth="1"/>
    <col min="10531" max="10531" width="20.26953125" customWidth="1"/>
    <col min="10535" max="10535" width="34.453125" customWidth="1"/>
    <col min="10536" max="10536" width="26.54296875" customWidth="1"/>
    <col min="10537" max="10537" width="16.453125" customWidth="1"/>
    <col min="10538" max="10539" width="20.1796875" customWidth="1"/>
    <col min="10540" max="10540" width="37.1796875" customWidth="1"/>
    <col min="10541" max="10541" width="27" customWidth="1"/>
    <col min="10542" max="10542" width="12.1796875" customWidth="1"/>
    <col min="10543" max="10543" width="12.453125" bestFit="1" customWidth="1"/>
    <col min="10546" max="10546" width="34.81640625" customWidth="1"/>
    <col min="10551" max="10551" width="9.453125" customWidth="1"/>
    <col min="10757" max="10757" width="12" bestFit="1" customWidth="1"/>
    <col min="10758" max="10758" width="16.7265625" bestFit="1" customWidth="1"/>
    <col min="10759" max="10759" width="11.453125" customWidth="1"/>
    <col min="10760" max="10760" width="16.7265625" customWidth="1"/>
    <col min="10761" max="10761" width="11.453125" customWidth="1"/>
    <col min="10762" max="10762" width="10.1796875" customWidth="1"/>
    <col min="10763" max="10763" width="12.7265625" customWidth="1"/>
    <col min="10764" max="10764" width="11.54296875" customWidth="1"/>
    <col min="10765" max="10765" width="12" bestFit="1" customWidth="1"/>
    <col min="10766" max="10766" width="14" customWidth="1"/>
    <col min="10767" max="10767" width="11.54296875" customWidth="1"/>
    <col min="10768" max="10768" width="12.7265625" customWidth="1"/>
    <col min="10769" max="10769" width="12.54296875" customWidth="1"/>
    <col min="10770" max="10770" width="11.26953125" customWidth="1"/>
    <col min="10771" max="10771" width="34.54296875" customWidth="1"/>
    <col min="10772" max="10772" width="11" bestFit="1" customWidth="1"/>
    <col min="10774" max="10774" width="14.26953125" customWidth="1"/>
    <col min="10777" max="10777" width="39.453125" customWidth="1"/>
    <col min="10779" max="10779" width="22.26953125" customWidth="1"/>
    <col min="10783" max="10783" width="21.26953125" customWidth="1"/>
    <col min="10787" max="10787" width="20.26953125" customWidth="1"/>
    <col min="10791" max="10791" width="34.453125" customWidth="1"/>
    <col min="10792" max="10792" width="26.54296875" customWidth="1"/>
    <col min="10793" max="10793" width="16.453125" customWidth="1"/>
    <col min="10794" max="10795" width="20.1796875" customWidth="1"/>
    <col min="10796" max="10796" width="37.1796875" customWidth="1"/>
    <col min="10797" max="10797" width="27" customWidth="1"/>
    <col min="10798" max="10798" width="12.1796875" customWidth="1"/>
    <col min="10799" max="10799" width="12.453125" bestFit="1" customWidth="1"/>
    <col min="10802" max="10802" width="34.81640625" customWidth="1"/>
    <col min="10807" max="10807" width="9.453125" customWidth="1"/>
    <col min="11013" max="11013" width="12" bestFit="1" customWidth="1"/>
    <col min="11014" max="11014" width="16.7265625" bestFit="1" customWidth="1"/>
    <col min="11015" max="11015" width="11.453125" customWidth="1"/>
    <col min="11016" max="11016" width="16.7265625" customWidth="1"/>
    <col min="11017" max="11017" width="11.453125" customWidth="1"/>
    <col min="11018" max="11018" width="10.1796875" customWidth="1"/>
    <col min="11019" max="11019" width="12.7265625" customWidth="1"/>
    <col min="11020" max="11020" width="11.54296875" customWidth="1"/>
    <col min="11021" max="11021" width="12" bestFit="1" customWidth="1"/>
    <col min="11022" max="11022" width="14" customWidth="1"/>
    <col min="11023" max="11023" width="11.54296875" customWidth="1"/>
    <col min="11024" max="11024" width="12.7265625" customWidth="1"/>
    <col min="11025" max="11025" width="12.54296875" customWidth="1"/>
    <col min="11026" max="11026" width="11.26953125" customWidth="1"/>
    <col min="11027" max="11027" width="34.54296875" customWidth="1"/>
    <col min="11028" max="11028" width="11" bestFit="1" customWidth="1"/>
    <col min="11030" max="11030" width="14.26953125" customWidth="1"/>
    <col min="11033" max="11033" width="39.453125" customWidth="1"/>
    <col min="11035" max="11035" width="22.26953125" customWidth="1"/>
    <col min="11039" max="11039" width="21.26953125" customWidth="1"/>
    <col min="11043" max="11043" width="20.26953125" customWidth="1"/>
    <col min="11047" max="11047" width="34.453125" customWidth="1"/>
    <col min="11048" max="11048" width="26.54296875" customWidth="1"/>
    <col min="11049" max="11049" width="16.453125" customWidth="1"/>
    <col min="11050" max="11051" width="20.1796875" customWidth="1"/>
    <col min="11052" max="11052" width="37.1796875" customWidth="1"/>
    <col min="11053" max="11053" width="27" customWidth="1"/>
    <col min="11054" max="11054" width="12.1796875" customWidth="1"/>
    <col min="11055" max="11055" width="12.453125" bestFit="1" customWidth="1"/>
    <col min="11058" max="11058" width="34.81640625" customWidth="1"/>
    <col min="11063" max="11063" width="9.453125" customWidth="1"/>
    <col min="11269" max="11269" width="12" bestFit="1" customWidth="1"/>
    <col min="11270" max="11270" width="16.7265625" bestFit="1" customWidth="1"/>
    <col min="11271" max="11271" width="11.453125" customWidth="1"/>
    <col min="11272" max="11272" width="16.7265625" customWidth="1"/>
    <col min="11273" max="11273" width="11.453125" customWidth="1"/>
    <col min="11274" max="11274" width="10.1796875" customWidth="1"/>
    <col min="11275" max="11275" width="12.7265625" customWidth="1"/>
    <col min="11276" max="11276" width="11.54296875" customWidth="1"/>
    <col min="11277" max="11277" width="12" bestFit="1" customWidth="1"/>
    <col min="11278" max="11278" width="14" customWidth="1"/>
    <col min="11279" max="11279" width="11.54296875" customWidth="1"/>
    <col min="11280" max="11280" width="12.7265625" customWidth="1"/>
    <col min="11281" max="11281" width="12.54296875" customWidth="1"/>
    <col min="11282" max="11282" width="11.26953125" customWidth="1"/>
    <col min="11283" max="11283" width="34.54296875" customWidth="1"/>
    <col min="11284" max="11284" width="11" bestFit="1" customWidth="1"/>
    <col min="11286" max="11286" width="14.26953125" customWidth="1"/>
    <col min="11289" max="11289" width="39.453125" customWidth="1"/>
    <col min="11291" max="11291" width="22.26953125" customWidth="1"/>
    <col min="11295" max="11295" width="21.26953125" customWidth="1"/>
    <col min="11299" max="11299" width="20.26953125" customWidth="1"/>
    <col min="11303" max="11303" width="34.453125" customWidth="1"/>
    <col min="11304" max="11304" width="26.54296875" customWidth="1"/>
    <col min="11305" max="11305" width="16.453125" customWidth="1"/>
    <col min="11306" max="11307" width="20.1796875" customWidth="1"/>
    <col min="11308" max="11308" width="37.1796875" customWidth="1"/>
    <col min="11309" max="11309" width="27" customWidth="1"/>
    <col min="11310" max="11310" width="12.1796875" customWidth="1"/>
    <col min="11311" max="11311" width="12.453125" bestFit="1" customWidth="1"/>
    <col min="11314" max="11314" width="34.81640625" customWidth="1"/>
    <col min="11319" max="11319" width="9.453125" customWidth="1"/>
    <col min="11525" max="11525" width="12" bestFit="1" customWidth="1"/>
    <col min="11526" max="11526" width="16.7265625" bestFit="1" customWidth="1"/>
    <col min="11527" max="11527" width="11.453125" customWidth="1"/>
    <col min="11528" max="11528" width="16.7265625" customWidth="1"/>
    <col min="11529" max="11529" width="11.453125" customWidth="1"/>
    <col min="11530" max="11530" width="10.1796875" customWidth="1"/>
    <col min="11531" max="11531" width="12.7265625" customWidth="1"/>
    <col min="11532" max="11532" width="11.54296875" customWidth="1"/>
    <col min="11533" max="11533" width="12" bestFit="1" customWidth="1"/>
    <col min="11534" max="11534" width="14" customWidth="1"/>
    <col min="11535" max="11535" width="11.54296875" customWidth="1"/>
    <col min="11536" max="11536" width="12.7265625" customWidth="1"/>
    <col min="11537" max="11537" width="12.54296875" customWidth="1"/>
    <col min="11538" max="11538" width="11.26953125" customWidth="1"/>
    <col min="11539" max="11539" width="34.54296875" customWidth="1"/>
    <col min="11540" max="11540" width="11" bestFit="1" customWidth="1"/>
    <col min="11542" max="11542" width="14.26953125" customWidth="1"/>
    <col min="11545" max="11545" width="39.453125" customWidth="1"/>
    <col min="11547" max="11547" width="22.26953125" customWidth="1"/>
    <col min="11551" max="11551" width="21.26953125" customWidth="1"/>
    <col min="11555" max="11555" width="20.26953125" customWidth="1"/>
    <col min="11559" max="11559" width="34.453125" customWidth="1"/>
    <col min="11560" max="11560" width="26.54296875" customWidth="1"/>
    <col min="11561" max="11561" width="16.453125" customWidth="1"/>
    <col min="11562" max="11563" width="20.1796875" customWidth="1"/>
    <col min="11564" max="11564" width="37.1796875" customWidth="1"/>
    <col min="11565" max="11565" width="27" customWidth="1"/>
    <col min="11566" max="11566" width="12.1796875" customWidth="1"/>
    <col min="11567" max="11567" width="12.453125" bestFit="1" customWidth="1"/>
    <col min="11570" max="11570" width="34.81640625" customWidth="1"/>
    <col min="11575" max="11575" width="9.453125" customWidth="1"/>
    <col min="11781" max="11781" width="12" bestFit="1" customWidth="1"/>
    <col min="11782" max="11782" width="16.7265625" bestFit="1" customWidth="1"/>
    <col min="11783" max="11783" width="11.453125" customWidth="1"/>
    <col min="11784" max="11784" width="16.7265625" customWidth="1"/>
    <col min="11785" max="11785" width="11.453125" customWidth="1"/>
    <col min="11786" max="11786" width="10.1796875" customWidth="1"/>
    <col min="11787" max="11787" width="12.7265625" customWidth="1"/>
    <col min="11788" max="11788" width="11.54296875" customWidth="1"/>
    <col min="11789" max="11789" width="12" bestFit="1" customWidth="1"/>
    <col min="11790" max="11790" width="14" customWidth="1"/>
    <col min="11791" max="11791" width="11.54296875" customWidth="1"/>
    <col min="11792" max="11792" width="12.7265625" customWidth="1"/>
    <col min="11793" max="11793" width="12.54296875" customWidth="1"/>
    <col min="11794" max="11794" width="11.26953125" customWidth="1"/>
    <col min="11795" max="11795" width="34.54296875" customWidth="1"/>
    <col min="11796" max="11796" width="11" bestFit="1" customWidth="1"/>
    <col min="11798" max="11798" width="14.26953125" customWidth="1"/>
    <col min="11801" max="11801" width="39.453125" customWidth="1"/>
    <col min="11803" max="11803" width="22.26953125" customWidth="1"/>
    <col min="11807" max="11807" width="21.26953125" customWidth="1"/>
    <col min="11811" max="11811" width="20.26953125" customWidth="1"/>
    <col min="11815" max="11815" width="34.453125" customWidth="1"/>
    <col min="11816" max="11816" width="26.54296875" customWidth="1"/>
    <col min="11817" max="11817" width="16.453125" customWidth="1"/>
    <col min="11818" max="11819" width="20.1796875" customWidth="1"/>
    <col min="11820" max="11820" width="37.1796875" customWidth="1"/>
    <col min="11821" max="11821" width="27" customWidth="1"/>
    <col min="11822" max="11822" width="12.1796875" customWidth="1"/>
    <col min="11823" max="11823" width="12.453125" bestFit="1" customWidth="1"/>
    <col min="11826" max="11826" width="34.81640625" customWidth="1"/>
    <col min="11831" max="11831" width="9.453125" customWidth="1"/>
    <col min="12037" max="12037" width="12" bestFit="1" customWidth="1"/>
    <col min="12038" max="12038" width="16.7265625" bestFit="1" customWidth="1"/>
    <col min="12039" max="12039" width="11.453125" customWidth="1"/>
    <col min="12040" max="12040" width="16.7265625" customWidth="1"/>
    <col min="12041" max="12041" width="11.453125" customWidth="1"/>
    <col min="12042" max="12042" width="10.1796875" customWidth="1"/>
    <col min="12043" max="12043" width="12.7265625" customWidth="1"/>
    <col min="12044" max="12044" width="11.54296875" customWidth="1"/>
    <col min="12045" max="12045" width="12" bestFit="1" customWidth="1"/>
    <col min="12046" max="12046" width="14" customWidth="1"/>
    <col min="12047" max="12047" width="11.54296875" customWidth="1"/>
    <col min="12048" max="12048" width="12.7265625" customWidth="1"/>
    <col min="12049" max="12049" width="12.54296875" customWidth="1"/>
    <col min="12050" max="12050" width="11.26953125" customWidth="1"/>
    <col min="12051" max="12051" width="34.54296875" customWidth="1"/>
    <col min="12052" max="12052" width="11" bestFit="1" customWidth="1"/>
    <col min="12054" max="12054" width="14.26953125" customWidth="1"/>
    <col min="12057" max="12057" width="39.453125" customWidth="1"/>
    <col min="12059" max="12059" width="22.26953125" customWidth="1"/>
    <col min="12063" max="12063" width="21.26953125" customWidth="1"/>
    <col min="12067" max="12067" width="20.26953125" customWidth="1"/>
    <col min="12071" max="12071" width="34.453125" customWidth="1"/>
    <col min="12072" max="12072" width="26.54296875" customWidth="1"/>
    <col min="12073" max="12073" width="16.453125" customWidth="1"/>
    <col min="12074" max="12075" width="20.1796875" customWidth="1"/>
    <col min="12076" max="12076" width="37.1796875" customWidth="1"/>
    <col min="12077" max="12077" width="27" customWidth="1"/>
    <col min="12078" max="12078" width="12.1796875" customWidth="1"/>
    <col min="12079" max="12079" width="12.453125" bestFit="1" customWidth="1"/>
    <col min="12082" max="12082" width="34.81640625" customWidth="1"/>
    <col min="12087" max="12087" width="9.453125" customWidth="1"/>
    <col min="12293" max="12293" width="12" bestFit="1" customWidth="1"/>
    <col min="12294" max="12294" width="16.7265625" bestFit="1" customWidth="1"/>
    <col min="12295" max="12295" width="11.453125" customWidth="1"/>
    <col min="12296" max="12296" width="16.7265625" customWidth="1"/>
    <col min="12297" max="12297" width="11.453125" customWidth="1"/>
    <col min="12298" max="12298" width="10.1796875" customWidth="1"/>
    <col min="12299" max="12299" width="12.7265625" customWidth="1"/>
    <col min="12300" max="12300" width="11.54296875" customWidth="1"/>
    <col min="12301" max="12301" width="12" bestFit="1" customWidth="1"/>
    <col min="12302" max="12302" width="14" customWidth="1"/>
    <col min="12303" max="12303" width="11.54296875" customWidth="1"/>
    <col min="12304" max="12304" width="12.7265625" customWidth="1"/>
    <col min="12305" max="12305" width="12.54296875" customWidth="1"/>
    <col min="12306" max="12306" width="11.26953125" customWidth="1"/>
    <col min="12307" max="12307" width="34.54296875" customWidth="1"/>
    <col min="12308" max="12308" width="11" bestFit="1" customWidth="1"/>
    <col min="12310" max="12310" width="14.26953125" customWidth="1"/>
    <col min="12313" max="12313" width="39.453125" customWidth="1"/>
    <col min="12315" max="12315" width="22.26953125" customWidth="1"/>
    <col min="12319" max="12319" width="21.26953125" customWidth="1"/>
    <col min="12323" max="12323" width="20.26953125" customWidth="1"/>
    <col min="12327" max="12327" width="34.453125" customWidth="1"/>
    <col min="12328" max="12328" width="26.54296875" customWidth="1"/>
    <col min="12329" max="12329" width="16.453125" customWidth="1"/>
    <col min="12330" max="12331" width="20.1796875" customWidth="1"/>
    <col min="12332" max="12332" width="37.1796875" customWidth="1"/>
    <col min="12333" max="12333" width="27" customWidth="1"/>
    <col min="12334" max="12334" width="12.1796875" customWidth="1"/>
    <col min="12335" max="12335" width="12.453125" bestFit="1" customWidth="1"/>
    <col min="12338" max="12338" width="34.81640625" customWidth="1"/>
    <col min="12343" max="12343" width="9.453125" customWidth="1"/>
    <col min="12549" max="12549" width="12" bestFit="1" customWidth="1"/>
    <col min="12550" max="12550" width="16.7265625" bestFit="1" customWidth="1"/>
    <col min="12551" max="12551" width="11.453125" customWidth="1"/>
    <col min="12552" max="12552" width="16.7265625" customWidth="1"/>
    <col min="12553" max="12553" width="11.453125" customWidth="1"/>
    <col min="12554" max="12554" width="10.1796875" customWidth="1"/>
    <col min="12555" max="12555" width="12.7265625" customWidth="1"/>
    <col min="12556" max="12556" width="11.54296875" customWidth="1"/>
    <col min="12557" max="12557" width="12" bestFit="1" customWidth="1"/>
    <col min="12558" max="12558" width="14" customWidth="1"/>
    <col min="12559" max="12559" width="11.54296875" customWidth="1"/>
    <col min="12560" max="12560" width="12.7265625" customWidth="1"/>
    <col min="12561" max="12561" width="12.54296875" customWidth="1"/>
    <col min="12562" max="12562" width="11.26953125" customWidth="1"/>
    <col min="12563" max="12563" width="34.54296875" customWidth="1"/>
    <col min="12564" max="12564" width="11" bestFit="1" customWidth="1"/>
    <col min="12566" max="12566" width="14.26953125" customWidth="1"/>
    <col min="12569" max="12569" width="39.453125" customWidth="1"/>
    <col min="12571" max="12571" width="22.26953125" customWidth="1"/>
    <col min="12575" max="12575" width="21.26953125" customWidth="1"/>
    <col min="12579" max="12579" width="20.26953125" customWidth="1"/>
    <col min="12583" max="12583" width="34.453125" customWidth="1"/>
    <col min="12584" max="12584" width="26.54296875" customWidth="1"/>
    <col min="12585" max="12585" width="16.453125" customWidth="1"/>
    <col min="12586" max="12587" width="20.1796875" customWidth="1"/>
    <col min="12588" max="12588" width="37.1796875" customWidth="1"/>
    <col min="12589" max="12589" width="27" customWidth="1"/>
    <col min="12590" max="12590" width="12.1796875" customWidth="1"/>
    <col min="12591" max="12591" width="12.453125" bestFit="1" customWidth="1"/>
    <col min="12594" max="12594" width="34.81640625" customWidth="1"/>
    <col min="12599" max="12599" width="9.453125" customWidth="1"/>
    <col min="12805" max="12805" width="12" bestFit="1" customWidth="1"/>
    <col min="12806" max="12806" width="16.7265625" bestFit="1" customWidth="1"/>
    <col min="12807" max="12807" width="11.453125" customWidth="1"/>
    <col min="12808" max="12808" width="16.7265625" customWidth="1"/>
    <col min="12809" max="12809" width="11.453125" customWidth="1"/>
    <col min="12810" max="12810" width="10.1796875" customWidth="1"/>
    <col min="12811" max="12811" width="12.7265625" customWidth="1"/>
    <col min="12812" max="12812" width="11.54296875" customWidth="1"/>
    <col min="12813" max="12813" width="12" bestFit="1" customWidth="1"/>
    <col min="12814" max="12814" width="14" customWidth="1"/>
    <col min="12815" max="12815" width="11.54296875" customWidth="1"/>
    <col min="12816" max="12816" width="12.7265625" customWidth="1"/>
    <col min="12817" max="12817" width="12.54296875" customWidth="1"/>
    <col min="12818" max="12818" width="11.26953125" customWidth="1"/>
    <col min="12819" max="12819" width="34.54296875" customWidth="1"/>
    <col min="12820" max="12820" width="11" bestFit="1" customWidth="1"/>
    <col min="12822" max="12822" width="14.26953125" customWidth="1"/>
    <col min="12825" max="12825" width="39.453125" customWidth="1"/>
    <col min="12827" max="12827" width="22.26953125" customWidth="1"/>
    <col min="12831" max="12831" width="21.26953125" customWidth="1"/>
    <col min="12835" max="12835" width="20.26953125" customWidth="1"/>
    <col min="12839" max="12839" width="34.453125" customWidth="1"/>
    <col min="12840" max="12840" width="26.54296875" customWidth="1"/>
    <col min="12841" max="12841" width="16.453125" customWidth="1"/>
    <col min="12842" max="12843" width="20.1796875" customWidth="1"/>
    <col min="12844" max="12844" width="37.1796875" customWidth="1"/>
    <col min="12845" max="12845" width="27" customWidth="1"/>
    <col min="12846" max="12846" width="12.1796875" customWidth="1"/>
    <col min="12847" max="12847" width="12.453125" bestFit="1" customWidth="1"/>
    <col min="12850" max="12850" width="34.81640625" customWidth="1"/>
    <col min="12855" max="12855" width="9.453125" customWidth="1"/>
    <col min="13061" max="13061" width="12" bestFit="1" customWidth="1"/>
    <col min="13062" max="13062" width="16.7265625" bestFit="1" customWidth="1"/>
    <col min="13063" max="13063" width="11.453125" customWidth="1"/>
    <col min="13064" max="13064" width="16.7265625" customWidth="1"/>
    <col min="13065" max="13065" width="11.453125" customWidth="1"/>
    <col min="13066" max="13066" width="10.1796875" customWidth="1"/>
    <col min="13067" max="13067" width="12.7265625" customWidth="1"/>
    <col min="13068" max="13068" width="11.54296875" customWidth="1"/>
    <col min="13069" max="13069" width="12" bestFit="1" customWidth="1"/>
    <col min="13070" max="13070" width="14" customWidth="1"/>
    <col min="13071" max="13071" width="11.54296875" customWidth="1"/>
    <col min="13072" max="13072" width="12.7265625" customWidth="1"/>
    <col min="13073" max="13073" width="12.54296875" customWidth="1"/>
    <col min="13074" max="13074" width="11.26953125" customWidth="1"/>
    <col min="13075" max="13075" width="34.54296875" customWidth="1"/>
    <col min="13076" max="13076" width="11" bestFit="1" customWidth="1"/>
    <col min="13078" max="13078" width="14.26953125" customWidth="1"/>
    <col min="13081" max="13081" width="39.453125" customWidth="1"/>
    <col min="13083" max="13083" width="22.26953125" customWidth="1"/>
    <col min="13087" max="13087" width="21.26953125" customWidth="1"/>
    <col min="13091" max="13091" width="20.26953125" customWidth="1"/>
    <col min="13095" max="13095" width="34.453125" customWidth="1"/>
    <col min="13096" max="13096" width="26.54296875" customWidth="1"/>
    <col min="13097" max="13097" width="16.453125" customWidth="1"/>
    <col min="13098" max="13099" width="20.1796875" customWidth="1"/>
    <col min="13100" max="13100" width="37.1796875" customWidth="1"/>
    <col min="13101" max="13101" width="27" customWidth="1"/>
    <col min="13102" max="13102" width="12.1796875" customWidth="1"/>
    <col min="13103" max="13103" width="12.453125" bestFit="1" customWidth="1"/>
    <col min="13106" max="13106" width="34.81640625" customWidth="1"/>
    <col min="13111" max="13111" width="9.453125" customWidth="1"/>
    <col min="13317" max="13317" width="12" bestFit="1" customWidth="1"/>
    <col min="13318" max="13318" width="16.7265625" bestFit="1" customWidth="1"/>
    <col min="13319" max="13319" width="11.453125" customWidth="1"/>
    <col min="13320" max="13320" width="16.7265625" customWidth="1"/>
    <col min="13321" max="13321" width="11.453125" customWidth="1"/>
    <col min="13322" max="13322" width="10.1796875" customWidth="1"/>
    <col min="13323" max="13323" width="12.7265625" customWidth="1"/>
    <col min="13324" max="13324" width="11.54296875" customWidth="1"/>
    <col min="13325" max="13325" width="12" bestFit="1" customWidth="1"/>
    <col min="13326" max="13326" width="14" customWidth="1"/>
    <col min="13327" max="13327" width="11.54296875" customWidth="1"/>
    <col min="13328" max="13328" width="12.7265625" customWidth="1"/>
    <col min="13329" max="13329" width="12.54296875" customWidth="1"/>
    <col min="13330" max="13330" width="11.26953125" customWidth="1"/>
    <col min="13331" max="13331" width="34.54296875" customWidth="1"/>
    <col min="13332" max="13332" width="11" bestFit="1" customWidth="1"/>
    <col min="13334" max="13334" width="14.26953125" customWidth="1"/>
    <col min="13337" max="13337" width="39.453125" customWidth="1"/>
    <col min="13339" max="13339" width="22.26953125" customWidth="1"/>
    <col min="13343" max="13343" width="21.26953125" customWidth="1"/>
    <col min="13347" max="13347" width="20.26953125" customWidth="1"/>
    <col min="13351" max="13351" width="34.453125" customWidth="1"/>
    <col min="13352" max="13352" width="26.54296875" customWidth="1"/>
    <col min="13353" max="13353" width="16.453125" customWidth="1"/>
    <col min="13354" max="13355" width="20.1796875" customWidth="1"/>
    <col min="13356" max="13356" width="37.1796875" customWidth="1"/>
    <col min="13357" max="13357" width="27" customWidth="1"/>
    <col min="13358" max="13358" width="12.1796875" customWidth="1"/>
    <col min="13359" max="13359" width="12.453125" bestFit="1" customWidth="1"/>
    <col min="13362" max="13362" width="34.81640625" customWidth="1"/>
    <col min="13367" max="13367" width="9.453125" customWidth="1"/>
    <col min="13573" max="13573" width="12" bestFit="1" customWidth="1"/>
    <col min="13574" max="13574" width="16.7265625" bestFit="1" customWidth="1"/>
    <col min="13575" max="13575" width="11.453125" customWidth="1"/>
    <col min="13576" max="13576" width="16.7265625" customWidth="1"/>
    <col min="13577" max="13577" width="11.453125" customWidth="1"/>
    <col min="13578" max="13578" width="10.1796875" customWidth="1"/>
    <col min="13579" max="13579" width="12.7265625" customWidth="1"/>
    <col min="13580" max="13580" width="11.54296875" customWidth="1"/>
    <col min="13581" max="13581" width="12" bestFit="1" customWidth="1"/>
    <col min="13582" max="13582" width="14" customWidth="1"/>
    <col min="13583" max="13583" width="11.54296875" customWidth="1"/>
    <col min="13584" max="13584" width="12.7265625" customWidth="1"/>
    <col min="13585" max="13585" width="12.54296875" customWidth="1"/>
    <col min="13586" max="13586" width="11.26953125" customWidth="1"/>
    <col min="13587" max="13587" width="34.54296875" customWidth="1"/>
    <col min="13588" max="13588" width="11" bestFit="1" customWidth="1"/>
    <col min="13590" max="13590" width="14.26953125" customWidth="1"/>
    <col min="13593" max="13593" width="39.453125" customWidth="1"/>
    <col min="13595" max="13595" width="22.26953125" customWidth="1"/>
    <col min="13599" max="13599" width="21.26953125" customWidth="1"/>
    <col min="13603" max="13603" width="20.26953125" customWidth="1"/>
    <col min="13607" max="13607" width="34.453125" customWidth="1"/>
    <col min="13608" max="13608" width="26.54296875" customWidth="1"/>
    <col min="13609" max="13609" width="16.453125" customWidth="1"/>
    <col min="13610" max="13611" width="20.1796875" customWidth="1"/>
    <col min="13612" max="13612" width="37.1796875" customWidth="1"/>
    <col min="13613" max="13613" width="27" customWidth="1"/>
    <col min="13614" max="13614" width="12.1796875" customWidth="1"/>
    <col min="13615" max="13615" width="12.453125" bestFit="1" customWidth="1"/>
    <col min="13618" max="13618" width="34.81640625" customWidth="1"/>
    <col min="13623" max="13623" width="9.453125" customWidth="1"/>
    <col min="13829" max="13829" width="12" bestFit="1" customWidth="1"/>
    <col min="13830" max="13830" width="16.7265625" bestFit="1" customWidth="1"/>
    <col min="13831" max="13831" width="11.453125" customWidth="1"/>
    <col min="13832" max="13832" width="16.7265625" customWidth="1"/>
    <col min="13833" max="13833" width="11.453125" customWidth="1"/>
    <col min="13834" max="13834" width="10.1796875" customWidth="1"/>
    <col min="13835" max="13835" width="12.7265625" customWidth="1"/>
    <col min="13836" max="13836" width="11.54296875" customWidth="1"/>
    <col min="13837" max="13837" width="12" bestFit="1" customWidth="1"/>
    <col min="13838" max="13838" width="14" customWidth="1"/>
    <col min="13839" max="13839" width="11.54296875" customWidth="1"/>
    <col min="13840" max="13840" width="12.7265625" customWidth="1"/>
    <col min="13841" max="13841" width="12.54296875" customWidth="1"/>
    <col min="13842" max="13842" width="11.26953125" customWidth="1"/>
    <col min="13843" max="13843" width="34.54296875" customWidth="1"/>
    <col min="13844" max="13844" width="11" bestFit="1" customWidth="1"/>
    <col min="13846" max="13846" width="14.26953125" customWidth="1"/>
    <col min="13849" max="13849" width="39.453125" customWidth="1"/>
    <col min="13851" max="13851" width="22.26953125" customWidth="1"/>
    <col min="13855" max="13855" width="21.26953125" customWidth="1"/>
    <col min="13859" max="13859" width="20.26953125" customWidth="1"/>
    <col min="13863" max="13863" width="34.453125" customWidth="1"/>
    <col min="13864" max="13864" width="26.54296875" customWidth="1"/>
    <col min="13865" max="13865" width="16.453125" customWidth="1"/>
    <col min="13866" max="13867" width="20.1796875" customWidth="1"/>
    <col min="13868" max="13868" width="37.1796875" customWidth="1"/>
    <col min="13869" max="13869" width="27" customWidth="1"/>
    <col min="13870" max="13870" width="12.1796875" customWidth="1"/>
    <col min="13871" max="13871" width="12.453125" bestFit="1" customWidth="1"/>
    <col min="13874" max="13874" width="34.81640625" customWidth="1"/>
    <col min="13879" max="13879" width="9.453125" customWidth="1"/>
    <col min="14085" max="14085" width="12" bestFit="1" customWidth="1"/>
    <col min="14086" max="14086" width="16.7265625" bestFit="1" customWidth="1"/>
    <col min="14087" max="14087" width="11.453125" customWidth="1"/>
    <col min="14088" max="14088" width="16.7265625" customWidth="1"/>
    <col min="14089" max="14089" width="11.453125" customWidth="1"/>
    <col min="14090" max="14090" width="10.1796875" customWidth="1"/>
    <col min="14091" max="14091" width="12.7265625" customWidth="1"/>
    <col min="14092" max="14092" width="11.54296875" customWidth="1"/>
    <col min="14093" max="14093" width="12" bestFit="1" customWidth="1"/>
    <col min="14094" max="14094" width="14" customWidth="1"/>
    <col min="14095" max="14095" width="11.54296875" customWidth="1"/>
    <col min="14096" max="14096" width="12.7265625" customWidth="1"/>
    <col min="14097" max="14097" width="12.54296875" customWidth="1"/>
    <col min="14098" max="14098" width="11.26953125" customWidth="1"/>
    <col min="14099" max="14099" width="34.54296875" customWidth="1"/>
    <col min="14100" max="14100" width="11" bestFit="1" customWidth="1"/>
    <col min="14102" max="14102" width="14.26953125" customWidth="1"/>
    <col min="14105" max="14105" width="39.453125" customWidth="1"/>
    <col min="14107" max="14107" width="22.26953125" customWidth="1"/>
    <col min="14111" max="14111" width="21.26953125" customWidth="1"/>
    <col min="14115" max="14115" width="20.26953125" customWidth="1"/>
    <col min="14119" max="14119" width="34.453125" customWidth="1"/>
    <col min="14120" max="14120" width="26.54296875" customWidth="1"/>
    <col min="14121" max="14121" width="16.453125" customWidth="1"/>
    <col min="14122" max="14123" width="20.1796875" customWidth="1"/>
    <col min="14124" max="14124" width="37.1796875" customWidth="1"/>
    <col min="14125" max="14125" width="27" customWidth="1"/>
    <col min="14126" max="14126" width="12.1796875" customWidth="1"/>
    <col min="14127" max="14127" width="12.453125" bestFit="1" customWidth="1"/>
    <col min="14130" max="14130" width="34.81640625" customWidth="1"/>
    <col min="14135" max="14135" width="9.453125" customWidth="1"/>
    <col min="14341" max="14341" width="12" bestFit="1" customWidth="1"/>
    <col min="14342" max="14342" width="16.7265625" bestFit="1" customWidth="1"/>
    <col min="14343" max="14343" width="11.453125" customWidth="1"/>
    <col min="14344" max="14344" width="16.7265625" customWidth="1"/>
    <col min="14345" max="14345" width="11.453125" customWidth="1"/>
    <col min="14346" max="14346" width="10.1796875" customWidth="1"/>
    <col min="14347" max="14347" width="12.7265625" customWidth="1"/>
    <col min="14348" max="14348" width="11.54296875" customWidth="1"/>
    <col min="14349" max="14349" width="12" bestFit="1" customWidth="1"/>
    <col min="14350" max="14350" width="14" customWidth="1"/>
    <col min="14351" max="14351" width="11.54296875" customWidth="1"/>
    <col min="14352" max="14352" width="12.7265625" customWidth="1"/>
    <col min="14353" max="14353" width="12.54296875" customWidth="1"/>
    <col min="14354" max="14354" width="11.26953125" customWidth="1"/>
    <col min="14355" max="14355" width="34.54296875" customWidth="1"/>
    <col min="14356" max="14356" width="11" bestFit="1" customWidth="1"/>
    <col min="14358" max="14358" width="14.26953125" customWidth="1"/>
    <col min="14361" max="14361" width="39.453125" customWidth="1"/>
    <col min="14363" max="14363" width="22.26953125" customWidth="1"/>
    <col min="14367" max="14367" width="21.26953125" customWidth="1"/>
    <col min="14371" max="14371" width="20.26953125" customWidth="1"/>
    <col min="14375" max="14375" width="34.453125" customWidth="1"/>
    <col min="14376" max="14376" width="26.54296875" customWidth="1"/>
    <col min="14377" max="14377" width="16.453125" customWidth="1"/>
    <col min="14378" max="14379" width="20.1796875" customWidth="1"/>
    <col min="14380" max="14380" width="37.1796875" customWidth="1"/>
    <col min="14381" max="14381" width="27" customWidth="1"/>
    <col min="14382" max="14382" width="12.1796875" customWidth="1"/>
    <col min="14383" max="14383" width="12.453125" bestFit="1" customWidth="1"/>
    <col min="14386" max="14386" width="34.81640625" customWidth="1"/>
    <col min="14391" max="14391" width="9.453125" customWidth="1"/>
    <col min="14597" max="14597" width="12" bestFit="1" customWidth="1"/>
    <col min="14598" max="14598" width="16.7265625" bestFit="1" customWidth="1"/>
    <col min="14599" max="14599" width="11.453125" customWidth="1"/>
    <col min="14600" max="14600" width="16.7265625" customWidth="1"/>
    <col min="14601" max="14601" width="11.453125" customWidth="1"/>
    <col min="14602" max="14602" width="10.1796875" customWidth="1"/>
    <col min="14603" max="14603" width="12.7265625" customWidth="1"/>
    <col min="14604" max="14604" width="11.54296875" customWidth="1"/>
    <col min="14605" max="14605" width="12" bestFit="1" customWidth="1"/>
    <col min="14606" max="14606" width="14" customWidth="1"/>
    <col min="14607" max="14607" width="11.54296875" customWidth="1"/>
    <col min="14608" max="14608" width="12.7265625" customWidth="1"/>
    <col min="14609" max="14609" width="12.54296875" customWidth="1"/>
    <col min="14610" max="14610" width="11.26953125" customWidth="1"/>
    <col min="14611" max="14611" width="34.54296875" customWidth="1"/>
    <col min="14612" max="14612" width="11" bestFit="1" customWidth="1"/>
    <col min="14614" max="14614" width="14.26953125" customWidth="1"/>
    <col min="14617" max="14617" width="39.453125" customWidth="1"/>
    <col min="14619" max="14619" width="22.26953125" customWidth="1"/>
    <col min="14623" max="14623" width="21.26953125" customWidth="1"/>
    <col min="14627" max="14627" width="20.26953125" customWidth="1"/>
    <col min="14631" max="14631" width="34.453125" customWidth="1"/>
    <col min="14632" max="14632" width="26.54296875" customWidth="1"/>
    <col min="14633" max="14633" width="16.453125" customWidth="1"/>
    <col min="14634" max="14635" width="20.1796875" customWidth="1"/>
    <col min="14636" max="14636" width="37.1796875" customWidth="1"/>
    <col min="14637" max="14637" width="27" customWidth="1"/>
    <col min="14638" max="14638" width="12.1796875" customWidth="1"/>
    <col min="14639" max="14639" width="12.453125" bestFit="1" customWidth="1"/>
    <col min="14642" max="14642" width="34.81640625" customWidth="1"/>
    <col min="14647" max="14647" width="9.453125" customWidth="1"/>
    <col min="14853" max="14853" width="12" bestFit="1" customWidth="1"/>
    <col min="14854" max="14854" width="16.7265625" bestFit="1" customWidth="1"/>
    <col min="14855" max="14855" width="11.453125" customWidth="1"/>
    <col min="14856" max="14856" width="16.7265625" customWidth="1"/>
    <col min="14857" max="14857" width="11.453125" customWidth="1"/>
    <col min="14858" max="14858" width="10.1796875" customWidth="1"/>
    <col min="14859" max="14859" width="12.7265625" customWidth="1"/>
    <col min="14860" max="14860" width="11.54296875" customWidth="1"/>
    <col min="14861" max="14861" width="12" bestFit="1" customWidth="1"/>
    <col min="14862" max="14862" width="14" customWidth="1"/>
    <col min="14863" max="14863" width="11.54296875" customWidth="1"/>
    <col min="14864" max="14864" width="12.7265625" customWidth="1"/>
    <col min="14865" max="14865" width="12.54296875" customWidth="1"/>
    <col min="14866" max="14866" width="11.26953125" customWidth="1"/>
    <col min="14867" max="14867" width="34.54296875" customWidth="1"/>
    <col min="14868" max="14868" width="11" bestFit="1" customWidth="1"/>
    <col min="14870" max="14870" width="14.26953125" customWidth="1"/>
    <col min="14873" max="14873" width="39.453125" customWidth="1"/>
    <col min="14875" max="14875" width="22.26953125" customWidth="1"/>
    <col min="14879" max="14879" width="21.26953125" customWidth="1"/>
    <col min="14883" max="14883" width="20.26953125" customWidth="1"/>
    <col min="14887" max="14887" width="34.453125" customWidth="1"/>
    <col min="14888" max="14888" width="26.54296875" customWidth="1"/>
    <col min="14889" max="14889" width="16.453125" customWidth="1"/>
    <col min="14890" max="14891" width="20.1796875" customWidth="1"/>
    <col min="14892" max="14892" width="37.1796875" customWidth="1"/>
    <col min="14893" max="14893" width="27" customWidth="1"/>
    <col min="14894" max="14894" width="12.1796875" customWidth="1"/>
    <col min="14895" max="14895" width="12.453125" bestFit="1" customWidth="1"/>
    <col min="14898" max="14898" width="34.81640625" customWidth="1"/>
    <col min="14903" max="14903" width="9.453125" customWidth="1"/>
    <col min="15109" max="15109" width="12" bestFit="1" customWidth="1"/>
    <col min="15110" max="15110" width="16.7265625" bestFit="1" customWidth="1"/>
    <col min="15111" max="15111" width="11.453125" customWidth="1"/>
    <col min="15112" max="15112" width="16.7265625" customWidth="1"/>
    <col min="15113" max="15113" width="11.453125" customWidth="1"/>
    <col min="15114" max="15114" width="10.1796875" customWidth="1"/>
    <col min="15115" max="15115" width="12.7265625" customWidth="1"/>
    <col min="15116" max="15116" width="11.54296875" customWidth="1"/>
    <col min="15117" max="15117" width="12" bestFit="1" customWidth="1"/>
    <col min="15118" max="15118" width="14" customWidth="1"/>
    <col min="15119" max="15119" width="11.54296875" customWidth="1"/>
    <col min="15120" max="15120" width="12.7265625" customWidth="1"/>
    <col min="15121" max="15121" width="12.54296875" customWidth="1"/>
    <col min="15122" max="15122" width="11.26953125" customWidth="1"/>
    <col min="15123" max="15123" width="34.54296875" customWidth="1"/>
    <col min="15124" max="15124" width="11" bestFit="1" customWidth="1"/>
    <col min="15126" max="15126" width="14.26953125" customWidth="1"/>
    <col min="15129" max="15129" width="39.453125" customWidth="1"/>
    <col min="15131" max="15131" width="22.26953125" customWidth="1"/>
    <col min="15135" max="15135" width="21.26953125" customWidth="1"/>
    <col min="15139" max="15139" width="20.26953125" customWidth="1"/>
    <col min="15143" max="15143" width="34.453125" customWidth="1"/>
    <col min="15144" max="15144" width="26.54296875" customWidth="1"/>
    <col min="15145" max="15145" width="16.453125" customWidth="1"/>
    <col min="15146" max="15147" width="20.1796875" customWidth="1"/>
    <col min="15148" max="15148" width="37.1796875" customWidth="1"/>
    <col min="15149" max="15149" width="27" customWidth="1"/>
    <col min="15150" max="15150" width="12.1796875" customWidth="1"/>
    <col min="15151" max="15151" width="12.453125" bestFit="1" customWidth="1"/>
    <col min="15154" max="15154" width="34.81640625" customWidth="1"/>
    <col min="15159" max="15159" width="9.453125" customWidth="1"/>
    <col min="15365" max="15365" width="12" bestFit="1" customWidth="1"/>
    <col min="15366" max="15366" width="16.7265625" bestFit="1" customWidth="1"/>
    <col min="15367" max="15367" width="11.453125" customWidth="1"/>
    <col min="15368" max="15368" width="16.7265625" customWidth="1"/>
    <col min="15369" max="15369" width="11.453125" customWidth="1"/>
    <col min="15370" max="15370" width="10.1796875" customWidth="1"/>
    <col min="15371" max="15371" width="12.7265625" customWidth="1"/>
    <col min="15372" max="15372" width="11.54296875" customWidth="1"/>
    <col min="15373" max="15373" width="12" bestFit="1" customWidth="1"/>
    <col min="15374" max="15374" width="14" customWidth="1"/>
    <col min="15375" max="15375" width="11.54296875" customWidth="1"/>
    <col min="15376" max="15376" width="12.7265625" customWidth="1"/>
    <col min="15377" max="15377" width="12.54296875" customWidth="1"/>
    <col min="15378" max="15378" width="11.26953125" customWidth="1"/>
    <col min="15379" max="15379" width="34.54296875" customWidth="1"/>
    <col min="15380" max="15380" width="11" bestFit="1" customWidth="1"/>
    <col min="15382" max="15382" width="14.26953125" customWidth="1"/>
    <col min="15385" max="15385" width="39.453125" customWidth="1"/>
    <col min="15387" max="15387" width="22.26953125" customWidth="1"/>
    <col min="15391" max="15391" width="21.26953125" customWidth="1"/>
    <col min="15395" max="15395" width="20.26953125" customWidth="1"/>
    <col min="15399" max="15399" width="34.453125" customWidth="1"/>
    <col min="15400" max="15400" width="26.54296875" customWidth="1"/>
    <col min="15401" max="15401" width="16.453125" customWidth="1"/>
    <col min="15402" max="15403" width="20.1796875" customWidth="1"/>
    <col min="15404" max="15404" width="37.1796875" customWidth="1"/>
    <col min="15405" max="15405" width="27" customWidth="1"/>
    <col min="15406" max="15406" width="12.1796875" customWidth="1"/>
    <col min="15407" max="15407" width="12.453125" bestFit="1" customWidth="1"/>
    <col min="15410" max="15410" width="34.81640625" customWidth="1"/>
    <col min="15415" max="15415" width="9.453125" customWidth="1"/>
    <col min="15621" max="15621" width="12" bestFit="1" customWidth="1"/>
    <col min="15622" max="15622" width="16.7265625" bestFit="1" customWidth="1"/>
    <col min="15623" max="15623" width="11.453125" customWidth="1"/>
    <col min="15624" max="15624" width="16.7265625" customWidth="1"/>
    <col min="15625" max="15625" width="11.453125" customWidth="1"/>
    <col min="15626" max="15626" width="10.1796875" customWidth="1"/>
    <col min="15627" max="15627" width="12.7265625" customWidth="1"/>
    <col min="15628" max="15628" width="11.54296875" customWidth="1"/>
    <col min="15629" max="15629" width="12" bestFit="1" customWidth="1"/>
    <col min="15630" max="15630" width="14" customWidth="1"/>
    <col min="15631" max="15631" width="11.54296875" customWidth="1"/>
    <col min="15632" max="15632" width="12.7265625" customWidth="1"/>
    <col min="15633" max="15633" width="12.54296875" customWidth="1"/>
    <col min="15634" max="15634" width="11.26953125" customWidth="1"/>
    <col min="15635" max="15635" width="34.54296875" customWidth="1"/>
    <col min="15636" max="15636" width="11" bestFit="1" customWidth="1"/>
    <col min="15638" max="15638" width="14.26953125" customWidth="1"/>
    <col min="15641" max="15641" width="39.453125" customWidth="1"/>
    <col min="15643" max="15643" width="22.26953125" customWidth="1"/>
    <col min="15647" max="15647" width="21.26953125" customWidth="1"/>
    <col min="15651" max="15651" width="20.26953125" customWidth="1"/>
    <col min="15655" max="15655" width="34.453125" customWidth="1"/>
    <col min="15656" max="15656" width="26.54296875" customWidth="1"/>
    <col min="15657" max="15657" width="16.453125" customWidth="1"/>
    <col min="15658" max="15659" width="20.1796875" customWidth="1"/>
    <col min="15660" max="15660" width="37.1796875" customWidth="1"/>
    <col min="15661" max="15661" width="27" customWidth="1"/>
    <col min="15662" max="15662" width="12.1796875" customWidth="1"/>
    <col min="15663" max="15663" width="12.453125" bestFit="1" customWidth="1"/>
    <col min="15666" max="15666" width="34.81640625" customWidth="1"/>
    <col min="15671" max="15671" width="9.453125" customWidth="1"/>
    <col min="15877" max="15877" width="12" bestFit="1" customWidth="1"/>
    <col min="15878" max="15878" width="16.7265625" bestFit="1" customWidth="1"/>
    <col min="15879" max="15879" width="11.453125" customWidth="1"/>
    <col min="15880" max="15880" width="16.7265625" customWidth="1"/>
    <col min="15881" max="15881" width="11.453125" customWidth="1"/>
    <col min="15882" max="15882" width="10.1796875" customWidth="1"/>
    <col min="15883" max="15883" width="12.7265625" customWidth="1"/>
    <col min="15884" max="15884" width="11.54296875" customWidth="1"/>
    <col min="15885" max="15885" width="12" bestFit="1" customWidth="1"/>
    <col min="15886" max="15886" width="14" customWidth="1"/>
    <col min="15887" max="15887" width="11.54296875" customWidth="1"/>
    <col min="15888" max="15888" width="12.7265625" customWidth="1"/>
    <col min="15889" max="15889" width="12.54296875" customWidth="1"/>
    <col min="15890" max="15890" width="11.26953125" customWidth="1"/>
    <col min="15891" max="15891" width="34.54296875" customWidth="1"/>
    <col min="15892" max="15892" width="11" bestFit="1" customWidth="1"/>
    <col min="15894" max="15894" width="14.26953125" customWidth="1"/>
    <col min="15897" max="15897" width="39.453125" customWidth="1"/>
    <col min="15899" max="15899" width="22.26953125" customWidth="1"/>
    <col min="15903" max="15903" width="21.26953125" customWidth="1"/>
    <col min="15907" max="15907" width="20.26953125" customWidth="1"/>
    <col min="15911" max="15911" width="34.453125" customWidth="1"/>
    <col min="15912" max="15912" width="26.54296875" customWidth="1"/>
    <col min="15913" max="15913" width="16.453125" customWidth="1"/>
    <col min="15914" max="15915" width="20.1796875" customWidth="1"/>
    <col min="15916" max="15916" width="37.1796875" customWidth="1"/>
    <col min="15917" max="15917" width="27" customWidth="1"/>
    <col min="15918" max="15918" width="12.1796875" customWidth="1"/>
    <col min="15919" max="15919" width="12.453125" bestFit="1" customWidth="1"/>
    <col min="15922" max="15922" width="34.81640625" customWidth="1"/>
    <col min="15927" max="15927" width="9.453125" customWidth="1"/>
    <col min="16133" max="16133" width="12" bestFit="1" customWidth="1"/>
    <col min="16134" max="16134" width="16.7265625" bestFit="1" customWidth="1"/>
    <col min="16135" max="16135" width="11.453125" customWidth="1"/>
    <col min="16136" max="16136" width="16.7265625" customWidth="1"/>
    <col min="16137" max="16137" width="11.453125" customWidth="1"/>
    <col min="16138" max="16138" width="10.1796875" customWidth="1"/>
    <col min="16139" max="16139" width="12.7265625" customWidth="1"/>
    <col min="16140" max="16140" width="11.54296875" customWidth="1"/>
    <col min="16141" max="16141" width="12" bestFit="1" customWidth="1"/>
    <col min="16142" max="16142" width="14" customWidth="1"/>
    <col min="16143" max="16143" width="11.54296875" customWidth="1"/>
    <col min="16144" max="16144" width="12.7265625" customWidth="1"/>
    <col min="16145" max="16145" width="12.54296875" customWidth="1"/>
    <col min="16146" max="16146" width="11.26953125" customWidth="1"/>
    <col min="16147" max="16147" width="34.54296875" customWidth="1"/>
    <col min="16148" max="16148" width="11" bestFit="1" customWidth="1"/>
    <col min="16150" max="16150" width="14.26953125" customWidth="1"/>
    <col min="16153" max="16153" width="39.453125" customWidth="1"/>
    <col min="16155" max="16155" width="22.26953125" customWidth="1"/>
    <col min="16159" max="16159" width="21.26953125" customWidth="1"/>
    <col min="16163" max="16163" width="20.26953125" customWidth="1"/>
    <col min="16167" max="16167" width="34.453125" customWidth="1"/>
    <col min="16168" max="16168" width="26.54296875" customWidth="1"/>
    <col min="16169" max="16169" width="16.453125" customWidth="1"/>
    <col min="16170" max="16171" width="20.1796875" customWidth="1"/>
    <col min="16172" max="16172" width="37.1796875" customWidth="1"/>
    <col min="16173" max="16173" width="27" customWidth="1"/>
    <col min="16174" max="16174" width="12.1796875" customWidth="1"/>
    <col min="16175" max="16175" width="12.453125" bestFit="1" customWidth="1"/>
    <col min="16178" max="16178" width="34.81640625" customWidth="1"/>
    <col min="16183" max="16183" width="9.453125" customWidth="1"/>
  </cols>
  <sheetData>
    <row r="1" spans="1:68" s="41" customFormat="1">
      <c r="BN1" s="170"/>
      <c r="BO1" s="170"/>
      <c r="BP1" s="170"/>
    </row>
    <row r="2" spans="1:68" s="41" customFormat="1">
      <c r="BN2" s="42"/>
      <c r="BO2" s="42"/>
      <c r="BP2" s="42"/>
    </row>
    <row r="3" spans="1:68" s="41" customFormat="1">
      <c r="BN3" s="42"/>
      <c r="BO3" s="42"/>
      <c r="BP3" s="42"/>
    </row>
    <row r="4" spans="1:68" s="41" customFormat="1">
      <c r="BN4" s="42"/>
      <c r="BO4" s="42"/>
      <c r="BP4" s="42"/>
    </row>
    <row r="5" spans="1:68" s="41" customFormat="1">
      <c r="BN5" s="42"/>
      <c r="BO5" s="42"/>
      <c r="BP5" s="42"/>
    </row>
    <row r="6" spans="1:68" s="41" customFormat="1">
      <c r="BN6" s="42"/>
      <c r="BO6" s="42"/>
      <c r="BP6" s="42"/>
    </row>
    <row r="7" spans="1:68" s="41" customFormat="1">
      <c r="BN7" s="42"/>
      <c r="BO7" s="42"/>
      <c r="BP7" s="42"/>
    </row>
    <row r="8" spans="1:68" s="41" customFormat="1">
      <c r="BN8" s="42"/>
      <c r="BO8" s="42"/>
      <c r="BP8" s="42"/>
    </row>
    <row r="9" spans="1:68" s="41" customFormat="1">
      <c r="BN9" s="42"/>
      <c r="BO9" s="42"/>
      <c r="BP9" s="42"/>
    </row>
    <row r="10" spans="1:68" s="41" customFormat="1">
      <c r="BN10" s="42"/>
      <c r="BO10" s="42"/>
      <c r="BP10" s="42"/>
    </row>
    <row r="11" spans="1:68" s="41" customFormat="1">
      <c r="BN11" s="42"/>
      <c r="BO11" s="42"/>
      <c r="BP11" s="42"/>
    </row>
    <row r="12" spans="1:68" s="41" customFormat="1">
      <c r="BN12" s="42"/>
      <c r="BO12" s="42"/>
      <c r="BP12" s="42"/>
    </row>
    <row r="13" spans="1:68" s="41" customFormat="1">
      <c r="BN13" s="42"/>
      <c r="BO13" s="42"/>
      <c r="BP13" s="42"/>
    </row>
    <row r="14" spans="1:68" s="41" customFormat="1">
      <c r="BN14" s="42"/>
      <c r="BO14" s="42"/>
      <c r="BP14" s="42"/>
    </row>
    <row r="15" spans="1:68" s="41" customFormat="1">
      <c r="BN15" s="42"/>
      <c r="BO15" s="42"/>
      <c r="BP15" s="42"/>
    </row>
    <row r="16" spans="1:68" ht="15.75" customHeight="1">
      <c r="A16" s="171" t="s">
        <v>146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172"/>
      <c r="N16" s="172"/>
      <c r="O16" s="173" t="s">
        <v>147</v>
      </c>
      <c r="P16" s="174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BN16" s="42"/>
      <c r="BO16" s="42"/>
      <c r="BP16" s="42"/>
    </row>
    <row r="17" spans="1:68" ht="15.5">
      <c r="A17" s="175" t="s">
        <v>148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2"/>
      <c r="M17" s="172"/>
      <c r="N17" s="172"/>
      <c r="O17" s="173"/>
      <c r="P17" s="174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BN17" s="42"/>
      <c r="BO17" s="42"/>
      <c r="BP17" s="42"/>
    </row>
    <row r="18" spans="1:68" s="41" customFormat="1" ht="15.75" customHeight="1" thickBot="1">
      <c r="O18" s="168" t="s">
        <v>149</v>
      </c>
      <c r="P18" s="169"/>
      <c r="BN18" s="42"/>
      <c r="BO18" s="42"/>
      <c r="BP18" s="42"/>
    </row>
    <row r="19" spans="1:68" ht="15.75" customHeight="1" thickBot="1">
      <c r="A19" s="163" t="s">
        <v>150</v>
      </c>
      <c r="B19" s="164"/>
      <c r="C19" s="164"/>
      <c r="D19" s="164"/>
      <c r="E19" s="165"/>
      <c r="F19" s="41"/>
      <c r="G19" s="41"/>
      <c r="H19" s="41"/>
      <c r="I19" s="41"/>
      <c r="J19" s="163" t="s">
        <v>151</v>
      </c>
      <c r="K19" s="166"/>
      <c r="L19" s="166"/>
      <c r="M19" s="166"/>
      <c r="N19" s="167"/>
      <c r="O19" s="168" t="s">
        <v>152</v>
      </c>
      <c r="P19" s="16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BN19" s="42"/>
      <c r="BO19" s="42"/>
      <c r="BP19" s="42"/>
    </row>
    <row r="20" spans="1:68" ht="15.75" customHeight="1">
      <c r="A20" s="43"/>
      <c r="B20" s="44"/>
      <c r="C20" s="44"/>
      <c r="D20" s="44"/>
      <c r="E20" s="45"/>
      <c r="F20" s="41"/>
      <c r="G20" s="41"/>
      <c r="H20" s="41"/>
      <c r="I20" s="41"/>
      <c r="J20" s="183" t="s">
        <v>153</v>
      </c>
      <c r="K20" s="184"/>
      <c r="L20" s="185"/>
      <c r="M20" s="101">
        <v>8.8999999999999996E-2</v>
      </c>
      <c r="N20" s="102" t="s">
        <v>8</v>
      </c>
      <c r="O20" s="168" t="s">
        <v>154</v>
      </c>
      <c r="P20" s="169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BN20" s="42"/>
      <c r="BO20" s="42"/>
      <c r="BP20" s="42"/>
    </row>
    <row r="21" spans="1:68" ht="15.5">
      <c r="A21" s="43"/>
      <c r="B21" s="44"/>
      <c r="C21" s="44"/>
      <c r="D21" s="44"/>
      <c r="E21" s="45"/>
      <c r="F21" s="41"/>
      <c r="G21" s="41"/>
      <c r="H21" s="41"/>
      <c r="I21" s="41"/>
      <c r="J21" s="46" t="s">
        <v>155</v>
      </c>
      <c r="K21" s="47"/>
      <c r="L21" s="47"/>
      <c r="M21" s="103">
        <v>1.87</v>
      </c>
      <c r="N21" s="104" t="s">
        <v>5</v>
      </c>
      <c r="O21" s="168"/>
      <c r="P21" s="16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BN21" s="42"/>
      <c r="BO21" s="42"/>
      <c r="BP21" s="42"/>
    </row>
    <row r="22" spans="1:68">
      <c r="A22" s="43"/>
      <c r="B22" s="44"/>
      <c r="C22" s="44"/>
      <c r="D22" s="44"/>
      <c r="E22" s="45"/>
      <c r="F22" s="41"/>
      <c r="G22" s="41"/>
      <c r="H22" s="41"/>
      <c r="I22" s="41"/>
      <c r="J22" s="46" t="s">
        <v>156</v>
      </c>
      <c r="K22" s="47"/>
      <c r="L22" s="47"/>
      <c r="M22" s="105">
        <f>+Dmax*(Vin-Vout)/(Lout*0.000001)</f>
        <v>516200</v>
      </c>
      <c r="N22" s="104" t="s">
        <v>157</v>
      </c>
      <c r="O22" s="41" t="s">
        <v>158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BN22" s="42"/>
      <c r="BO22" s="42"/>
      <c r="BP22" s="42"/>
    </row>
    <row r="23" spans="1:68" ht="16" thickBot="1">
      <c r="A23" s="43"/>
      <c r="B23" s="44"/>
      <c r="C23" s="44"/>
      <c r="D23" s="44"/>
      <c r="E23" s="45"/>
      <c r="F23" s="41"/>
      <c r="G23" s="41"/>
      <c r="H23" s="41"/>
      <c r="I23" s="41"/>
      <c r="J23" s="46" t="s">
        <v>159</v>
      </c>
      <c r="K23" s="47"/>
      <c r="L23" s="47"/>
      <c r="M23" s="105">
        <f>1+Se*C28/(Sn)</f>
        <v>2.811313444401395</v>
      </c>
      <c r="N23" s="104" t="s">
        <v>157</v>
      </c>
      <c r="O23" s="41" t="s">
        <v>160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BN23" s="42"/>
      <c r="BO23" s="42"/>
      <c r="BP23" s="42"/>
    </row>
    <row r="24" spans="1:68">
      <c r="A24" s="48"/>
      <c r="B24" s="49" t="s">
        <v>161</v>
      </c>
      <c r="C24" s="50">
        <f>SQRT(1/(Lout*0.000001*ncap*Cap*0.000001*(Rout+ESR*0.001/ncap)/(Rout+DCR*0.001)))</f>
        <v>183140.30870020794</v>
      </c>
      <c r="D24" s="51" t="s">
        <v>126</v>
      </c>
      <c r="E24" s="48"/>
      <c r="F24" s="41"/>
      <c r="G24" s="41"/>
      <c r="H24" s="41"/>
      <c r="I24" s="41"/>
      <c r="J24" s="46" t="s">
        <v>162</v>
      </c>
      <c r="K24" s="47"/>
      <c r="L24" s="47"/>
      <c r="M24" s="106">
        <v>10000000</v>
      </c>
      <c r="N24" s="104" t="s">
        <v>163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BN24" s="42"/>
      <c r="BO24" s="42"/>
      <c r="BP24" s="42"/>
    </row>
    <row r="25" spans="1:68">
      <c r="A25" s="52"/>
      <c r="B25" s="53" t="s">
        <v>164</v>
      </c>
      <c r="C25" s="54">
        <f>1/(2*PI()*Cap*0.000001*ESR*0.001)</f>
        <v>2122065.907891938</v>
      </c>
      <c r="D25" s="55" t="s">
        <v>126</v>
      </c>
      <c r="E25" s="52"/>
      <c r="F25" s="41"/>
      <c r="G25" s="41"/>
      <c r="H25" s="41"/>
      <c r="I25" s="41"/>
      <c r="J25" s="46" t="s">
        <v>165</v>
      </c>
      <c r="K25" s="47"/>
      <c r="L25" s="47"/>
      <c r="M25" s="106">
        <v>0.8</v>
      </c>
      <c r="N25" s="104" t="s">
        <v>5</v>
      </c>
      <c r="O25" s="41" t="s">
        <v>268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BN25" s="42"/>
      <c r="BO25" s="42"/>
      <c r="BP25" s="42"/>
    </row>
    <row r="26" spans="1:68" ht="15" thickBot="1">
      <c r="A26" s="52"/>
      <c r="B26" s="53" t="s">
        <v>166</v>
      </c>
      <c r="C26" s="54">
        <f>1/(2*PI()*Cap*0.000001*ncap*(ESR*0.001/ncap+Vout/Iout))</f>
        <v>13180.533589390921</v>
      </c>
      <c r="D26" s="55" t="s">
        <v>126</v>
      </c>
      <c r="E26" s="52"/>
      <c r="F26" s="41"/>
      <c r="G26" s="41"/>
      <c r="H26" s="41"/>
      <c r="I26" s="41"/>
      <c r="J26" s="56" t="s">
        <v>167</v>
      </c>
      <c r="K26" s="57"/>
      <c r="L26" s="57"/>
      <c r="M26" s="107">
        <v>1.4999999999999999E-4</v>
      </c>
      <c r="N26" s="108" t="s">
        <v>168</v>
      </c>
      <c r="O26" s="41" t="s">
        <v>269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BN26" s="42"/>
      <c r="BO26" s="42"/>
      <c r="BP26" s="42"/>
    </row>
    <row r="27" spans="1:68" ht="15" thickBot="1">
      <c r="A27" s="52"/>
      <c r="B27" s="53" t="s">
        <v>169</v>
      </c>
      <c r="C27" s="59">
        <f>1/(Gdo*(Cap*0.000001*ESR*0.001*Vout/(Iout*(Vout/Iout+DCR*0.001))+(Vout/Iout+ESR*0.001)*Cap*0.000001*ncap*DCR*0.001/(Vout/Iout+DCR*0.001)+Lout*0.000001/(Vout/Iout+DCR*0.001)))</f>
        <v>2.0274299587944169</v>
      </c>
      <c r="D27" s="55"/>
      <c r="E27" s="52"/>
      <c r="F27" s="41"/>
      <c r="G27" s="41"/>
      <c r="H27" s="41"/>
      <c r="I27" s="41"/>
      <c r="J27" s="186" t="s">
        <v>170</v>
      </c>
      <c r="K27" s="166"/>
      <c r="L27" s="167"/>
      <c r="M27" s="187" t="s">
        <v>171</v>
      </c>
      <c r="N27" s="188"/>
      <c r="O27" s="41" t="s">
        <v>270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BN27" s="42"/>
      <c r="BO27" s="42"/>
      <c r="BP27" s="42"/>
    </row>
    <row r="28" spans="1:68" ht="15" thickBot="1">
      <c r="A28" s="60"/>
      <c r="B28" s="61" t="s">
        <v>172</v>
      </c>
      <c r="C28" s="62">
        <f>+Fs*1000</f>
        <v>500000</v>
      </c>
      <c r="D28" s="63" t="s">
        <v>126</v>
      </c>
      <c r="E28" s="60"/>
      <c r="F28" s="41"/>
      <c r="G28" s="41"/>
      <c r="H28" s="41"/>
      <c r="I28" s="41"/>
      <c r="J28" s="64" t="s">
        <v>173</v>
      </c>
      <c r="K28" s="132">
        <v>0.1</v>
      </c>
      <c r="L28" s="65" t="s">
        <v>174</v>
      </c>
      <c r="M28" s="109">
        <f>+C28*K28</f>
        <v>50000</v>
      </c>
      <c r="N28" s="66" t="s">
        <v>126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BN28" s="42"/>
      <c r="BO28" s="42"/>
      <c r="BP28" s="42"/>
    </row>
    <row r="29" spans="1:68" ht="15.7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3" t="s">
        <v>254</v>
      </c>
      <c r="K29" s="67">
        <f>2*PI()*Fc*Vout*Cap*ncap*0.000001*Dmax/(EA_BW*VFB)</f>
        <v>8388.0523850847458</v>
      </c>
      <c r="L29" s="68" t="s">
        <v>163</v>
      </c>
      <c r="M29" s="109">
        <v>12000</v>
      </c>
      <c r="N29" s="68" t="s">
        <v>163</v>
      </c>
      <c r="O29" s="133"/>
      <c r="P29" s="134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BN29" s="42"/>
      <c r="BO29" s="42"/>
      <c r="BP29" s="42"/>
    </row>
    <row r="30" spans="1:68" ht="15.75" customHeight="1" thickBot="1">
      <c r="A30" s="163" t="s">
        <v>175</v>
      </c>
      <c r="B30" s="189"/>
      <c r="C30" s="189"/>
      <c r="D30" s="189"/>
      <c r="E30" s="189"/>
      <c r="F30" s="189"/>
      <c r="G30" s="190"/>
      <c r="H30" s="41"/>
      <c r="I30" s="41"/>
      <c r="J30" s="43" t="s">
        <v>244</v>
      </c>
      <c r="K30" s="69">
        <f>1/(2*PI()*K29*F0)</f>
        <v>1.4395475189772557E-9</v>
      </c>
      <c r="L30" s="68" t="s">
        <v>176</v>
      </c>
      <c r="M30" s="109">
        <v>4.8499999999999996E-9</v>
      </c>
      <c r="N30" s="68" t="s">
        <v>176</v>
      </c>
      <c r="O30" s="133"/>
      <c r="P30" s="134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BN30" s="42"/>
      <c r="BO30" s="42"/>
      <c r="BP30" s="42"/>
    </row>
    <row r="31" spans="1:68" ht="15.75" customHeight="1" thickBot="1">
      <c r="A31" s="178" t="s">
        <v>177</v>
      </c>
      <c r="B31" s="179"/>
      <c r="C31" s="70">
        <f>+_Rfb2*(Vout/VFB-1)</f>
        <v>9999.9999999999964</v>
      </c>
      <c r="D31" s="71" t="s">
        <v>8</v>
      </c>
      <c r="E31" s="72"/>
      <c r="F31" s="72"/>
      <c r="G31" s="51" t="s">
        <v>8</v>
      </c>
      <c r="H31" s="41"/>
      <c r="I31" s="41"/>
      <c r="J31" s="43" t="s">
        <v>245</v>
      </c>
      <c r="K31" s="69">
        <f>1/(2*PI()*K29*C28*0.5)</f>
        <v>7.5896017709616339E-11</v>
      </c>
      <c r="L31" s="80" t="s">
        <v>176</v>
      </c>
      <c r="M31" s="136">
        <v>1.2000000000000001E-11</v>
      </c>
      <c r="N31" s="80" t="s">
        <v>176</v>
      </c>
      <c r="O31" s="41" t="s">
        <v>271</v>
      </c>
      <c r="P31" s="134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BN31" s="42"/>
      <c r="BO31" s="42"/>
      <c r="BP31" s="42"/>
    </row>
    <row r="32" spans="1:68" ht="15" thickBot="1">
      <c r="A32" s="176" t="s">
        <v>178</v>
      </c>
      <c r="B32" s="177"/>
      <c r="C32" s="58">
        <v>20000</v>
      </c>
      <c r="D32" s="73" t="s">
        <v>8</v>
      </c>
      <c r="E32" s="60" t="str">
        <f>IF(_Rfb2&gt;30000, "Please lower R2", " ")</f>
        <v xml:space="preserve"> </v>
      </c>
      <c r="F32" s="74"/>
      <c r="G32" s="63"/>
      <c r="H32" s="41"/>
      <c r="I32" s="41"/>
      <c r="J32" s="75" t="s">
        <v>179</v>
      </c>
      <c r="K32" s="76">
        <f>1/(2*PI()*K29*K30)</f>
        <v>13180.533589390921</v>
      </c>
      <c r="L32" s="66" t="s">
        <v>126</v>
      </c>
      <c r="M32" s="115">
        <f>1/(2*PI()*M29*M30)</f>
        <v>2734.6210153246625</v>
      </c>
      <c r="N32" s="66" t="s">
        <v>126</v>
      </c>
      <c r="O32" s="41" t="s">
        <v>272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N32" s="42"/>
      <c r="BO32" s="42"/>
      <c r="BP32" s="42"/>
    </row>
    <row r="33" spans="1:68" ht="15" thickBot="1">
      <c r="A33" s="178" t="s">
        <v>265</v>
      </c>
      <c r="B33" s="179"/>
      <c r="C33" s="77">
        <v>4.6999999999999999E-11</v>
      </c>
      <c r="D33" s="51" t="s">
        <v>176</v>
      </c>
      <c r="E33" s="44"/>
      <c r="F33" s="41"/>
      <c r="G33" s="41"/>
      <c r="H33" s="41"/>
      <c r="I33" s="41"/>
      <c r="J33" s="78" t="s">
        <v>180</v>
      </c>
      <c r="K33" s="79">
        <f>1/(2*PI()*K29*K31)</f>
        <v>250000</v>
      </c>
      <c r="L33" s="68" t="s">
        <v>126</v>
      </c>
      <c r="M33" s="69">
        <f>1/(2*PI()*M29*M31)</f>
        <v>1105242.6603603843</v>
      </c>
      <c r="N33" s="68" t="s">
        <v>126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N33" s="42"/>
      <c r="BO33" s="42"/>
      <c r="BP33" s="42"/>
    </row>
    <row r="34" spans="1:68" ht="15" thickBot="1">
      <c r="A34" s="180" t="s">
        <v>181</v>
      </c>
      <c r="B34" s="181"/>
      <c r="C34" s="93">
        <v>1.0000000000000001E-18</v>
      </c>
      <c r="D34" s="94"/>
      <c r="E34" s="44"/>
      <c r="F34" s="41"/>
      <c r="G34" s="41"/>
      <c r="H34" s="41"/>
      <c r="I34" s="41"/>
      <c r="J34" s="41"/>
      <c r="K34" s="41"/>
      <c r="L34" s="65" t="s">
        <v>182</v>
      </c>
      <c r="M34" s="89">
        <f>LOOKUP(1,BH64:BH264,B64:B264)/1000</f>
        <v>50.118723362727266</v>
      </c>
      <c r="N34" s="66" t="s">
        <v>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BN34" s="42"/>
      <c r="BO34" s="42"/>
      <c r="BP34" s="42"/>
    </row>
    <row r="35" spans="1:68" ht="18">
      <c r="A35" s="41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92" t="s">
        <v>183</v>
      </c>
      <c r="M35" s="90">
        <f>LOOKUP(1,BH64:BH264,BF64:BF264)</f>
        <v>58.786290603975189</v>
      </c>
      <c r="N35" s="68" t="s">
        <v>184</v>
      </c>
      <c r="O35" s="3" t="str">
        <f>IF(M35&lt;45,"Desired Phase Margin should be &gt;45 degree, Recommend to inrease Cout or adjust C4", " ")</f>
        <v xml:space="preserve"> </v>
      </c>
      <c r="P35" s="13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N35" s="42"/>
      <c r="BO35" s="42"/>
      <c r="BP35" s="42"/>
    </row>
    <row r="36" spans="1:68" s="85" customFormat="1" ht="18.5" thickBot="1">
      <c r="A36" s="82"/>
      <c r="B36" s="82"/>
      <c r="C36" s="82"/>
      <c r="D36" s="82"/>
      <c r="E36" s="82"/>
      <c r="F36" s="82"/>
      <c r="G36" s="82"/>
      <c r="H36" s="82"/>
      <c r="I36" s="83"/>
      <c r="J36" s="84"/>
      <c r="K36" s="83"/>
      <c r="L36" s="81" t="s">
        <v>242</v>
      </c>
      <c r="M36" s="91">
        <f>LOOKUP(1,BI65:BI265,BE65:BE265)</f>
        <v>-13.143646584638507</v>
      </c>
      <c r="N36" s="80" t="s">
        <v>247</v>
      </c>
      <c r="O36" s="3" t="str">
        <f>IF(M36 &gt; -10,"Desired Gain margin should be &lt;-10dB, Recommend to increase Cout ", " ")</f>
        <v xml:space="preserve"> 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BN36" s="42"/>
      <c r="BO36" s="42"/>
      <c r="BP36" s="42"/>
    </row>
    <row r="37" spans="1:68" s="82" customFormat="1">
      <c r="BN37" s="42"/>
      <c r="BO37" s="42"/>
      <c r="BP37" s="42"/>
    </row>
    <row r="38" spans="1:68" s="82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BN38" s="42"/>
      <c r="BO38" s="42"/>
      <c r="BP38" s="42"/>
    </row>
    <row r="39" spans="1:68" s="82" customFormat="1">
      <c r="A39" s="86" t="s">
        <v>185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N39" s="42"/>
      <c r="BO39" s="42"/>
      <c r="BP39" s="42"/>
    </row>
    <row r="40" spans="1:68" s="82" customFormat="1">
      <c r="A40" s="154">
        <f>PI()*C28</f>
        <v>1570796.3267948965</v>
      </c>
      <c r="B40" s="86" t="s">
        <v>186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N40" s="42"/>
      <c r="BO40" s="42"/>
      <c r="BP40" s="42"/>
    </row>
    <row r="41" spans="1:68" s="82" customFormat="1">
      <c r="A41" s="86">
        <f>-2/PI()</f>
        <v>-0.63661977236758138</v>
      </c>
      <c r="B41" s="86" t="s">
        <v>187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N41" s="42"/>
      <c r="BO41" s="42"/>
      <c r="BP41" s="42"/>
    </row>
    <row r="42" spans="1:68" s="82" customForma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N42" s="42"/>
      <c r="BO42" s="42"/>
      <c r="BP42" s="42"/>
    </row>
    <row r="43" spans="1:68" s="82" customFormat="1">
      <c r="A43" s="154">
        <f>1/(EA_DC*Sn*(1/C28))</f>
        <v>0.344542447629548</v>
      </c>
      <c r="B43" s="86" t="s">
        <v>188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N43" s="42"/>
      <c r="BO43" s="42"/>
      <c r="BP43" s="42"/>
    </row>
    <row r="44" spans="1:68" s="82" customForma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N44" s="42"/>
      <c r="BO44" s="42"/>
      <c r="BP44" s="42"/>
    </row>
    <row r="45" spans="1:68" s="82" customForma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N45" s="42"/>
      <c r="BO45" s="42"/>
      <c r="BP45" s="42"/>
    </row>
    <row r="46" spans="1:68" s="82" customForma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N46" s="42"/>
      <c r="BO46" s="42"/>
      <c r="BP46" s="42"/>
    </row>
    <row r="47" spans="1:68" s="82" customForma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N47" s="42"/>
      <c r="BO47" s="42"/>
      <c r="BP47" s="42"/>
    </row>
    <row r="48" spans="1:68" s="82" customForma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N48" s="42"/>
      <c r="BO48" s="42"/>
      <c r="BP48" s="42"/>
    </row>
    <row r="49" spans="1:68" s="82" customForma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N49" s="42"/>
      <c r="BO49" s="42"/>
      <c r="BP49" s="42"/>
    </row>
    <row r="50" spans="1:68" s="82" customForma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N50" s="42"/>
      <c r="BO50" s="42"/>
      <c r="BP50" s="42"/>
    </row>
    <row r="51" spans="1:68" s="82" customForma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N51" s="42"/>
      <c r="BO51" s="42"/>
      <c r="BP51" s="42"/>
    </row>
    <row r="52" spans="1:68" s="82" customForma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N52" s="42"/>
      <c r="BO52" s="42"/>
      <c r="BP52" s="42"/>
    </row>
    <row r="53" spans="1:68" s="82" customForma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N53" s="42"/>
      <c r="BO53" s="42"/>
      <c r="BP53" s="42"/>
    </row>
    <row r="54" spans="1:68" s="82" customForma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N54" s="42"/>
      <c r="BO54" s="42"/>
      <c r="BP54" s="42"/>
    </row>
    <row r="55" spans="1:68" s="86" customFormat="1">
      <c r="B55" s="86" t="s">
        <v>189</v>
      </c>
      <c r="C55" s="86">
        <v>100</v>
      </c>
      <c r="Q55" s="154"/>
      <c r="BN55" s="42"/>
      <c r="BO55" s="42"/>
      <c r="BP55" s="42"/>
    </row>
    <row r="56" spans="1:68" s="86" customFormat="1">
      <c r="B56" s="86" t="s">
        <v>190</v>
      </c>
      <c r="C56" s="86">
        <v>1000000</v>
      </c>
      <c r="BN56" s="42"/>
      <c r="BO56" s="42"/>
      <c r="BP56" s="42"/>
    </row>
    <row r="57" spans="1:68" s="86" customFormat="1">
      <c r="B57" s="86" t="s">
        <v>191</v>
      </c>
      <c r="C57" s="86">
        <v>200</v>
      </c>
      <c r="BN57" s="42"/>
      <c r="BO57" s="42"/>
      <c r="BP57" s="42"/>
    </row>
    <row r="58" spans="1:68" s="86" customFormat="1">
      <c r="B58" s="86" t="s">
        <v>192</v>
      </c>
      <c r="C58" s="86">
        <f>LOG(Fstop/Fstart)/Fstep</f>
        <v>0.02</v>
      </c>
      <c r="BN58" s="42"/>
      <c r="BO58" s="42"/>
      <c r="BP58" s="42"/>
    </row>
    <row r="59" spans="1:68" s="86" customFormat="1">
      <c r="BN59" s="42"/>
      <c r="BO59" s="42"/>
      <c r="BP59" s="42"/>
    </row>
    <row r="60" spans="1:68" s="86" customFormat="1">
      <c r="F60" s="86" t="s">
        <v>193</v>
      </c>
      <c r="X60" s="155" t="s">
        <v>194</v>
      </c>
      <c r="AB60" s="155" t="s">
        <v>195</v>
      </c>
      <c r="AF60" s="155" t="s">
        <v>196</v>
      </c>
      <c r="AK60" s="86" t="s">
        <v>197</v>
      </c>
      <c r="AQ60" s="86" t="s">
        <v>198</v>
      </c>
      <c r="BN60" s="42"/>
      <c r="BO60" s="42"/>
      <c r="BP60" s="42"/>
    </row>
    <row r="61" spans="1:68" s="86" customFormat="1">
      <c r="J61" s="86" t="s">
        <v>199</v>
      </c>
      <c r="R61" s="86" t="s">
        <v>200</v>
      </c>
      <c r="X61" s="155" t="s">
        <v>201</v>
      </c>
      <c r="AB61" s="155" t="s">
        <v>202</v>
      </c>
      <c r="AF61" s="155" t="s">
        <v>203</v>
      </c>
      <c r="BN61" s="42"/>
      <c r="BO61" s="42"/>
      <c r="BP61" s="42"/>
    </row>
    <row r="62" spans="1:68" s="86" customFormat="1">
      <c r="A62" s="17"/>
      <c r="B62" s="17"/>
      <c r="C62" s="17"/>
      <c r="D62" s="17"/>
      <c r="E62" s="17"/>
      <c r="F62" s="17"/>
      <c r="G62" s="17"/>
      <c r="H62" s="17"/>
      <c r="AF62" s="155"/>
      <c r="AV62" s="182"/>
      <c r="AW62" s="182"/>
      <c r="AX62" s="17" t="s">
        <v>204</v>
      </c>
      <c r="AY62" s="17"/>
      <c r="AZ62" s="17" t="s">
        <v>205</v>
      </c>
      <c r="BD62" s="86" t="s">
        <v>206</v>
      </c>
      <c r="BH62" s="86" t="s">
        <v>207</v>
      </c>
      <c r="BN62" s="42"/>
      <c r="BO62" s="42"/>
      <c r="BP62" s="42"/>
    </row>
    <row r="63" spans="1:68" s="86" customFormat="1">
      <c r="A63" s="17" t="s">
        <v>192</v>
      </c>
      <c r="B63" s="17" t="s">
        <v>176</v>
      </c>
      <c r="C63" s="17" t="s">
        <v>208</v>
      </c>
      <c r="D63" s="17" t="s">
        <v>209</v>
      </c>
      <c r="E63" s="17" t="s">
        <v>210</v>
      </c>
      <c r="F63" s="17" t="s">
        <v>211</v>
      </c>
      <c r="G63" s="17" t="s">
        <v>212</v>
      </c>
      <c r="H63" s="17" t="s">
        <v>213</v>
      </c>
      <c r="J63" s="17" t="s">
        <v>214</v>
      </c>
      <c r="K63" s="17" t="s">
        <v>215</v>
      </c>
      <c r="N63" s="17" t="s">
        <v>216</v>
      </c>
      <c r="P63" s="156" t="s">
        <v>217</v>
      </c>
      <c r="R63" s="86" t="s">
        <v>214</v>
      </c>
      <c r="S63" s="86" t="s">
        <v>215</v>
      </c>
      <c r="T63" s="86" t="s">
        <v>218</v>
      </c>
      <c r="V63" s="156" t="s">
        <v>219</v>
      </c>
      <c r="X63" s="156" t="s">
        <v>220</v>
      </c>
      <c r="Y63" s="86" t="s">
        <v>214</v>
      </c>
      <c r="Z63" s="86" t="s">
        <v>221</v>
      </c>
      <c r="AB63" s="156" t="s">
        <v>222</v>
      </c>
      <c r="AC63" s="86" t="s">
        <v>214</v>
      </c>
      <c r="AD63" s="86" t="s">
        <v>221</v>
      </c>
      <c r="AF63" s="156" t="s">
        <v>223</v>
      </c>
      <c r="AG63" s="86" t="s">
        <v>224</v>
      </c>
      <c r="AH63" s="86" t="s">
        <v>225</v>
      </c>
      <c r="AJ63" s="86" t="s">
        <v>226</v>
      </c>
      <c r="AK63" s="86" t="s">
        <v>227</v>
      </c>
      <c r="AL63" s="157" t="s">
        <v>228</v>
      </c>
      <c r="AM63" s="157" t="s">
        <v>229</v>
      </c>
      <c r="AN63" s="157" t="s">
        <v>230</v>
      </c>
      <c r="AO63" s="86" t="s">
        <v>231</v>
      </c>
      <c r="AP63" s="156" t="s">
        <v>232</v>
      </c>
      <c r="AQ63" s="17" t="s">
        <v>233</v>
      </c>
      <c r="AR63" s="17"/>
      <c r="AS63" s="17"/>
      <c r="AT63" s="17" t="s">
        <v>234</v>
      </c>
      <c r="AU63" s="156" t="s">
        <v>235</v>
      </c>
      <c r="AV63" s="17"/>
      <c r="AW63" s="17" t="s">
        <v>236</v>
      </c>
      <c r="AX63" s="17" t="s">
        <v>237</v>
      </c>
      <c r="AY63" s="17" t="s">
        <v>221</v>
      </c>
      <c r="AZ63" s="17" t="s">
        <v>238</v>
      </c>
      <c r="BA63" s="17" t="s">
        <v>237</v>
      </c>
      <c r="BB63" s="17" t="s">
        <v>225</v>
      </c>
      <c r="BD63" s="17" t="s">
        <v>239</v>
      </c>
      <c r="BE63" s="17" t="s">
        <v>224</v>
      </c>
      <c r="BF63" s="17" t="s">
        <v>225</v>
      </c>
      <c r="BG63" s="17"/>
      <c r="BH63" s="17" t="s">
        <v>240</v>
      </c>
      <c r="BI63" s="158" t="s">
        <v>241</v>
      </c>
      <c r="BJ63" s="4"/>
      <c r="BK63" s="4"/>
      <c r="BL63" s="88"/>
      <c r="BM63" s="88"/>
      <c r="BN63" s="42"/>
      <c r="BO63" s="42"/>
      <c r="BP63" s="42"/>
    </row>
    <row r="64" spans="1:68" s="86" customFormat="1">
      <c r="A64" s="86">
        <v>0</v>
      </c>
      <c r="B64" s="86">
        <f>Fstart*10^(Step*A64)</f>
        <v>100</v>
      </c>
      <c r="C64" s="86" t="str">
        <f t="shared" ref="C64:C127" si="0">COMPLEX(0,2*PI()*B64,"j")</f>
        <v>628.318530717959j</v>
      </c>
      <c r="D64" s="86">
        <f t="shared" ref="D64:D127" si="1">(IMPRODUCT(C64,C64))/wn^2 + 1</f>
        <v>0.99999983999999997</v>
      </c>
      <c r="E64" s="86" t="str">
        <f t="shared" ref="E64:E127" si="2">IMDIV(C64,wn*Qn)</f>
        <v>-0.000628318530717959j</v>
      </c>
      <c r="F64" s="86" t="str">
        <f t="shared" ref="F64:F127" si="3">IMSUM(D64,E64)</f>
        <v>0.99999984-0.000628318530717959j</v>
      </c>
      <c r="G64" s="86">
        <f t="shared" ref="G64:G127" si="4">20*LOG(IMABS(F64),10)</f>
        <v>3.2478364858347952E-7</v>
      </c>
      <c r="H64" s="86">
        <f t="shared" ref="H64:H127" si="5">(IMARGUMENT(F64)*(180/PI()))</f>
        <v>-3.6000001022589684E-2</v>
      </c>
      <c r="J64" s="86">
        <f t="shared" ref="J64:J127" si="6">Vin/(Rout+DCR/1000)</f>
        <v>17.283950617283953</v>
      </c>
      <c r="K64" s="86" t="str">
        <f t="shared" ref="K64:K127" si="7">IMSUM(1,IMPRODUCT(C64,ncap*(Cap*10^-6)*(Rout+(ESR/(ncap*1000)))))</f>
        <v>1+0.00758694625841935j</v>
      </c>
      <c r="L64" s="86">
        <f t="shared" ref="L64:L127" si="8">(IMPRODUCT(C64,C64))/Gdo^2 + 1</f>
        <v>0.99998822958289946</v>
      </c>
      <c r="M64" s="86" t="str">
        <f t="shared" ref="M64:M127" si="9">IMDIV(C64,Q*Gdo)</f>
        <v>0.00169219367254473j</v>
      </c>
      <c r="N64" s="86" t="str">
        <f t="shared" ref="N64:N127" si="10">IMSUM(L64,M64)</f>
        <v>0.999988229582899+0.00169219367254473j</v>
      </c>
      <c r="O64" s="86" t="str">
        <f t="shared" ref="O64:O127" si="11">IMDIV(K64,N64)</f>
        <v>1.00002174579123+0.00589478517186449j</v>
      </c>
      <c r="P64" s="86" t="str">
        <f t="shared" ref="P64:P127" si="12">IMPRODUCT(J64,O64)</f>
        <v>17.2843264704657+0.101885175810004j</v>
      </c>
      <c r="R64" s="86">
        <f t="shared" ref="R64:R127" si="13">Vin/(1+((DCR*10^-3)/Rout))</f>
        <v>6.9135802469135808</v>
      </c>
      <c r="S64" s="86" t="str">
        <f t="shared" ref="S64:S127" si="14">IMSUM(1,IMPRODUCT(C64,ncap*(Cap*10^-6)*(ESR/(ncap*1000))))</f>
        <v>1+0.0000471238898038469j</v>
      </c>
      <c r="T64" s="86" t="str">
        <f t="shared" ref="T64:T127" si="15">IMSUM(L64,M64)</f>
        <v>0.999988229582899+0.00169219367254473j</v>
      </c>
      <c r="U64" s="86" t="str">
        <f t="shared" ref="U64:U127" si="16">IMDIV(S64,T64)</f>
        <v>1.0000089866877-0.00164510435352136j</v>
      </c>
      <c r="V64" s="86" t="str">
        <f t="shared" ref="V64:V127" si="17">IMPRODUCT(R64,U64)</f>
        <v>6.91364237710015-0.0113735609626168j</v>
      </c>
      <c r="X64" s="86" t="str">
        <f t="shared" ref="X64:X127" si="18">IMPRODUCT(Fm,Dmax,P64,F64)</f>
        <v>0.530013267363992+0.00279121886154365j</v>
      </c>
      <c r="Y64" s="86">
        <f t="shared" ref="Y64:Y127" si="19">20*LOG(IMABS(X64),10)</f>
        <v>-5.5141447328378455</v>
      </c>
      <c r="Z64" s="86">
        <f t="shared" ref="Z64:Z127" si="20">IF((IMARGUMENT(X64)*(180/PI()))&lt;0,(IMARGUMENT(X64)*(180/PI()))+180,(IMARGUMENT(X64)*(180/PI()))-180)</f>
        <v>-179.69826494566112</v>
      </c>
      <c r="AB64" s="86" t="str">
        <f t="shared" ref="AB64:AB127" si="21">IMPRODUCT(Fm,V64)</f>
        <v>2.38204326664145-0.00391867453232387j</v>
      </c>
      <c r="AC64" s="86">
        <f t="shared" ref="AC64:AC127" si="22">20*LOG(IMABS(AB64),10)</f>
        <v>7.5390046653590028</v>
      </c>
      <c r="AD64" s="86">
        <f t="shared" ref="AD64:AD127" si="23">IF((IMARGUMENT(AB64)*(180/PI()))&lt;0,(IMARGUMENT(AB64)*(180/PI()))+180,(IMARGUMENT(AB64)*(180/PI()))-180)</f>
        <v>179.90574339576949</v>
      </c>
      <c r="AF64" s="86" t="str">
        <f t="shared" ref="AF64:AF127" si="24">IMDIV(AB64,IMSUM(1,X64))</f>
        <v>1.55686766966449-0.00540141259758949j</v>
      </c>
      <c r="AG64" s="86">
        <f t="shared" ref="AG64:AG127" si="25">20*LOG(IMABS(AF64),10)</f>
        <v>3.8450862760530335</v>
      </c>
      <c r="AH64" s="86">
        <f t="shared" ref="AH64:AH127" si="26">IF((IMARGUMENT(AF64)*(180/PI()))&lt;0,(IMARGUMENT(AF64)*(180/PI()))+180,(IMARGUMENT(AF64)*(180/PI()))-180)</f>
        <v>179.80121823480556</v>
      </c>
      <c r="AJ64" s="86" t="str">
        <f t="shared" ref="AJ64:AJ127" si="27">IMDIV(_Rfb1,IMSUM(1,IMPRODUCT(C64,_Cfb1*_Rfb1)))</f>
        <v>9999.99912792183-2.95309683684126j</v>
      </c>
      <c r="AK64" s="86" t="str">
        <f t="shared" ref="AK64:AK127" si="28">IMDIV(_Rfb2,IMSUM(1,IMPRODUCT(C64,_Cfb2*_Rfb2)))</f>
        <v>20000-2.51327412287184E-07j</v>
      </c>
      <c r="AL64" s="86" t="str">
        <f>IMDIV(IMSUM(1,IMPRODUCT(C64,10000,0.000000000045)),IMPRODUCT(C64,0.000000000045))</f>
        <v>10000-35367765.1315322j</v>
      </c>
      <c r="AM64" s="86" t="str">
        <f>IMDIV(AL64,IMSUM(1,IMPRODUCT(C64,AL64,0.0000000001)))</f>
        <v>963.13908347349-10976203.1596625j</v>
      </c>
      <c r="AN64" s="86" t="str">
        <f>IMSUM(10000,AM64)</f>
        <v>10963.1390834735-10976203.1596625j</v>
      </c>
      <c r="AO64" s="86" t="str">
        <f>IMDIV(IMPRODUCT(AN64,AK64),IMSUM(AN64,AK64))</f>
        <v>19999.8971990213-36.4421844146976j</v>
      </c>
      <c r="AP64" s="86" t="str">
        <f>IMDIV(AK64,IMSUM(AJ64,AK64))</f>
        <v>0.666666679586344+0.0000656243745389228j</v>
      </c>
      <c r="AQ64" s="86" t="str">
        <f t="shared" ref="AQ64:AQ127" si="29">IMSUM(1,IMPRODUCT(C64,_res1*_Cap1))</f>
        <v>1+0.0365681384877852j</v>
      </c>
      <c r="AR64" s="86">
        <f t="shared" ref="AR64:AR95" si="30">(IMPRODUCT(C64,C64))*_res1*_Cap1*_cap2 + (1/Roerr)</f>
        <v>9.9724282731451163E-8</v>
      </c>
      <c r="AS64" s="86" t="str">
        <f t="shared" ref="AS64:AS127" si="31">IMPRODUCT(C64,(_Cap1+_cap2+(_Cap1*_res1/Roerr)))</f>
        <v>3.05854151019949E-06j</v>
      </c>
      <c r="AT64" s="86" t="str">
        <f t="shared" ref="AT64:AT127" si="32">IMSUM(AR64,AS64)</f>
        <v>9.97242827314512E-08+3.05854151019949E-06j</v>
      </c>
      <c r="AU64" s="86" t="str">
        <f t="shared" ref="AU64:AU127" si="33">IMPRODUCT(EA_BW,IMDIV(AQ64,AT64))</f>
        <v>3.38886298663735-48.9324887598537j</v>
      </c>
      <c r="AW64" s="86" t="str">
        <f>IMDIV(IMPRODUCT(AP64,AU64),IMPRODUCT(IMSUM(1,IMPRODUCT(C64,1/1500000)),IMSUM(1,IMPRODUCT(C64,1/35000000))))</f>
        <v>2.2482027322124-32.6224197433241j</v>
      </c>
      <c r="AX64" s="86">
        <f t="shared" ref="AX64:AX127" si="34">20*LOG(IMABS(AW64),10)</f>
        <v>30.290900975469853</v>
      </c>
      <c r="AY64" s="86">
        <f t="shared" ref="AY64:AY127" si="35">IF((IMARGUMENT(AW64)*(180/PI()))&lt;0,(IMARGUMENT(AW64)*(180/PI()))+180,(IMARGUMENT(AW64)*(180/PI()))-180)</f>
        <v>93.942355621540258</v>
      </c>
      <c r="AZ64" s="86" t="str">
        <f t="shared" ref="AZ64:AZ127" si="36">IMPRODUCT(AW64,Fm,V64)</f>
        <v>5.22747953488052-77.7168252659266j</v>
      </c>
      <c r="BA64" s="86">
        <f t="shared" ref="BA64:BA127" si="37">20*LOG(IMABS(AZ64),10)</f>
        <v>37.829905640828862</v>
      </c>
      <c r="BB64" s="86">
        <f t="shared" ref="BB64:BB127" si="38">IF((IMARGUMENT(AZ64)*(180/PI()))&lt;0,(IMARGUMENT(AZ64)*(180/PI()))+180,(IMARGUMENT(AZ64)*(180/PI()))-180)</f>
        <v>93.84809901730975</v>
      </c>
      <c r="BD64" s="86" t="str">
        <f t="shared" ref="BD64:BD127" si="39">IMDIV(AZ64,IMSUM(1,X64))</f>
        <v>3.32394699966742-50.8009340751657j</v>
      </c>
      <c r="BE64" s="86">
        <f t="shared" ref="BE64:BE127" si="40">20*LOG(IMABS(BD64),10)</f>
        <v>34.135987251522913</v>
      </c>
      <c r="BF64" s="86">
        <f t="shared" ref="BF64:BF127" si="41">IF((IMARGUMENT(BD64)*(180/PI()))&lt;0,(IMARGUMENT(BD64)*(180/PI()))+180,(IMARGUMENT(BD64)*(180/PI()))-180)</f>
        <v>93.743573856345833</v>
      </c>
      <c r="BH64" s="86">
        <f>1-BE64</f>
        <v>-33.135987251522913</v>
      </c>
      <c r="BI64" s="159">
        <f>+-1*BF64</f>
        <v>-93.743573856345833</v>
      </c>
      <c r="BJ64" s="88"/>
      <c r="BK64" s="88"/>
      <c r="BL64" s="88"/>
      <c r="BM64" s="88"/>
      <c r="BN64" s="42"/>
      <c r="BO64" s="42"/>
      <c r="BP64" s="42"/>
    </row>
    <row r="65" spans="1:68" s="86" customFormat="1">
      <c r="A65" s="86">
        <v>1</v>
      </c>
      <c r="B65" s="86">
        <f t="shared" ref="B65:B127" si="42">Fstart*10^(Step*A65)</f>
        <v>104.71285480508996</v>
      </c>
      <c r="C65" s="86" t="str">
        <f t="shared" si="0"/>
        <v>657.930270784171j</v>
      </c>
      <c r="D65" s="86">
        <f t="shared" si="1"/>
        <v>0.99999982456348857</v>
      </c>
      <c r="E65" s="86" t="str">
        <f t="shared" si="2"/>
        <v>-0.000657930270784171j</v>
      </c>
      <c r="F65" s="86" t="str">
        <f t="shared" si="3"/>
        <v>0.999999824563489-0.000657930270784171j</v>
      </c>
      <c r="G65" s="86">
        <f t="shared" si="4"/>
        <v>3.5611820318330749E-7</v>
      </c>
      <c r="H65" s="86">
        <f t="shared" si="5"/>
        <v>-3.7696628903922384E-2</v>
      </c>
      <c r="J65" s="86">
        <f t="shared" si="6"/>
        <v>17.283950617283953</v>
      </c>
      <c r="K65" s="86" t="str">
        <f t="shared" si="7"/>
        <v>1+0.00794450801971886j</v>
      </c>
      <c r="L65" s="86">
        <f t="shared" si="8"/>
        <v>0.99998709399428976</v>
      </c>
      <c r="M65" s="86" t="str">
        <f t="shared" si="9"/>
        <v>0.00177194430335268j</v>
      </c>
      <c r="N65" s="86" t="str">
        <f t="shared" si="10"/>
        <v>0.99998709399429+0.00177194430335268j</v>
      </c>
      <c r="O65" s="86" t="str">
        <f t="shared" si="11"/>
        <v>1.00002384381885+0.00617260113007263j</v>
      </c>
      <c r="P65" s="86" t="str">
        <f t="shared" si="12"/>
        <v>17.2843627326715+0.106686933112366j</v>
      </c>
      <c r="R65" s="86">
        <f t="shared" si="13"/>
        <v>6.9135802469135808</v>
      </c>
      <c r="S65" s="86" t="str">
        <f t="shared" si="14"/>
        <v>1+0.0000493447703088128j</v>
      </c>
      <c r="T65" s="86" t="str">
        <f t="shared" si="15"/>
        <v>0.99998709399429+0.00177194430335268j</v>
      </c>
      <c r="U65" s="86" t="str">
        <f t="shared" si="16"/>
        <v>1.00000985371212-0.00172263922566461j</v>
      </c>
      <c r="V65" s="86" t="str">
        <f t="shared" si="17"/>
        <v>6.91364837134305-0.0119096045231134j</v>
      </c>
      <c r="X65" s="86" t="str">
        <f t="shared" si="18"/>
        <v>0.530014560525914+0.00292276591644378j</v>
      </c>
      <c r="Y65" s="86">
        <f t="shared" si="19"/>
        <v>-5.5141119207632849</v>
      </c>
      <c r="Z65" s="86">
        <f t="shared" si="20"/>
        <v>-179.68404555925943</v>
      </c>
      <c r="AB65" s="86" t="str">
        <f t="shared" si="21"/>
        <v>2.38204533191257-0.00410336429269343j</v>
      </c>
      <c r="AC65" s="86">
        <f t="shared" si="22"/>
        <v>7.5390133301397224</v>
      </c>
      <c r="AD65" s="86">
        <f t="shared" si="23"/>
        <v>179.9013011129243</v>
      </c>
      <c r="AF65" s="86" t="str">
        <f t="shared" si="24"/>
        <v>1.55686675295957-0.00565597321617228j</v>
      </c>
      <c r="AG65" s="86">
        <f t="shared" si="25"/>
        <v>3.8450862050987737</v>
      </c>
      <c r="AH65" s="86">
        <f t="shared" si="26"/>
        <v>179.79184990106185</v>
      </c>
      <c r="AJ65" s="86" t="str">
        <f t="shared" si="27"/>
        <v>9999.99904378531-3.09227197699798j</v>
      </c>
      <c r="AK65" s="86" t="str">
        <f t="shared" si="28"/>
        <v>20000-2.63172108313668E-07j</v>
      </c>
      <c r="AL65" s="86" t="str">
        <f t="shared" ref="AL65:AL128" si="43">IMDIV(IMSUM(1,IMPRODUCT(C65,10000,0.000000000045)),IMPRODUCT(C65,0.000000000045))</f>
        <v>10000-33775953.4847608j</v>
      </c>
      <c r="AM65" s="86" t="str">
        <f t="shared" ref="AM65:AM128" si="44">IMDIV(AL65,IMSUM(1,IMPRODUCT(C65,AL65,0.0000000001)))</f>
        <v>963.139079940295-10482192.6574466j</v>
      </c>
      <c r="AN65" s="86" t="str">
        <f t="shared" ref="AN65:AN128" si="45">IMSUM(10000,AM65)</f>
        <v>10963.1390799403-10482192.6574466j</v>
      </c>
      <c r="AO65" s="86" t="str">
        <f t="shared" ref="AO65:AO128" si="46">IMDIV(IMPRODUCT(AN65,AK65),IMSUM(AN65,AK65))</f>
        <v>19999.8872810552-38.1596222944906j</v>
      </c>
      <c r="AP65" s="86" t="str">
        <f t="shared" ref="AP65:AP128" si="47">IMDIV(AK65,IMSUM(AJ65,AK65))</f>
        <v>0.666666680832811+0.0000687171557707293j</v>
      </c>
      <c r="AQ65" s="86" t="str">
        <f t="shared" si="29"/>
        <v>1+0.0382915417596387j</v>
      </c>
      <c r="AR65" s="86">
        <f t="shared" si="30"/>
        <v>9.9697682026736047E-8</v>
      </c>
      <c r="AS65" s="86" t="str">
        <f t="shared" si="31"/>
        <v>0.0000032026861307286j</v>
      </c>
      <c r="AT65" s="86" t="str">
        <f t="shared" si="32"/>
        <v>9.9697682026736E-08+0.0000032026861307286j</v>
      </c>
      <c r="AU65" s="86" t="str">
        <f t="shared" si="33"/>
        <v>3.24822949711924-46.7345699637433j</v>
      </c>
      <c r="AW65" s="86" t="str">
        <f t="shared" ref="AW65:AW128" si="48">IMDIV(IMPRODUCT(AP65,AU65),IMPRODUCT(IMSUM(1,IMPRODUCT(C65,1/1500000)),IMSUM(1,IMPRODUCT(C65,1/35000000))))</f>
        <v>2.15444601793613-31.1571431684759j</v>
      </c>
      <c r="AX65" s="86">
        <f t="shared" si="34"/>
        <v>29.89186851104828</v>
      </c>
      <c r="AY65" s="86">
        <f t="shared" si="35"/>
        <v>93.955577239871545</v>
      </c>
      <c r="AZ65" s="86" t="str">
        <f t="shared" si="36"/>
        <v>5.00413897114253-74.2265679170603j</v>
      </c>
      <c r="BA65" s="86">
        <f t="shared" si="37"/>
        <v>37.430881841188018</v>
      </c>
      <c r="BB65" s="86">
        <f t="shared" si="38"/>
        <v>93.856878352795846</v>
      </c>
      <c r="BD65" s="86" t="str">
        <f t="shared" si="39"/>
        <v>3.17796140911755-48.5197058051746j</v>
      </c>
      <c r="BE65" s="86">
        <f t="shared" si="40"/>
        <v>33.736954716147046</v>
      </c>
      <c r="BF65" s="86">
        <f t="shared" si="41"/>
        <v>93.747427140933411</v>
      </c>
      <c r="BH65" s="86">
        <f t="shared" ref="BH65:BH128" si="49">1-BE65</f>
        <v>-32.736954716147046</v>
      </c>
      <c r="BI65" s="159">
        <f t="shared" ref="BI65:BI128" si="50">+-1*BF65</f>
        <v>-93.747427140933411</v>
      </c>
      <c r="BJ65" s="88"/>
      <c r="BK65" s="88"/>
      <c r="BL65" s="88"/>
      <c r="BM65" s="88"/>
      <c r="BN65" s="42"/>
      <c r="BO65" s="42"/>
      <c r="BP65" s="42"/>
    </row>
    <row r="66" spans="1:68" s="86" customFormat="1">
      <c r="A66" s="86">
        <v>2</v>
      </c>
      <c r="B66" s="86">
        <f t="shared" si="42"/>
        <v>109.64781961431851</v>
      </c>
      <c r="C66" s="86" t="str">
        <f t="shared" si="0"/>
        <v>688.937569164964j</v>
      </c>
      <c r="D66" s="86">
        <f t="shared" si="1"/>
        <v>0.99999980763769047</v>
      </c>
      <c r="E66" s="86" t="str">
        <f t="shared" si="2"/>
        <v>-0.000688937569164964j</v>
      </c>
      <c r="F66" s="86" t="str">
        <f t="shared" si="3"/>
        <v>0.99999980763769-0.000688937569164964j</v>
      </c>
      <c r="G66" s="86">
        <f t="shared" si="4"/>
        <v>3.9047585085347486E-7</v>
      </c>
      <c r="H66" s="86">
        <f t="shared" si="5"/>
        <v>-3.947321640919034E-2</v>
      </c>
      <c r="J66" s="86">
        <f t="shared" si="6"/>
        <v>17.283950617283953</v>
      </c>
      <c r="K66" s="86" t="str">
        <f t="shared" si="7"/>
        <v>1+0.00831892114766694j</v>
      </c>
      <c r="L66" s="86">
        <f t="shared" si="8"/>
        <v>0.99998584884613939</v>
      </c>
      <c r="M66" s="86" t="str">
        <f t="shared" si="9"/>
        <v>0.00185545346559675j</v>
      </c>
      <c r="N66" s="86" t="str">
        <f t="shared" si="10"/>
        <v>0.999985848846139+0.00185545346559675j</v>
      </c>
      <c r="O66" s="86" t="str">
        <f t="shared" si="11"/>
        <v>1.00002614426705+0.00646351063873282j</v>
      </c>
      <c r="P66" s="86" t="str">
        <f t="shared" si="12"/>
        <v>17.2844024935046+0.111714998694148j</v>
      </c>
      <c r="R66" s="86">
        <f t="shared" si="13"/>
        <v>6.9135802469135808</v>
      </c>
      <c r="S66" s="86" t="str">
        <f t="shared" si="14"/>
        <v>1+0.0000516703176873723j</v>
      </c>
      <c r="T66" s="86" t="str">
        <f t="shared" si="15"/>
        <v>0.999985848846139+0.00185545346559675j</v>
      </c>
      <c r="U66" s="86" t="str">
        <f t="shared" si="16"/>
        <v>1.0000108043865-0.00180382872120353j</v>
      </c>
      <c r="V66" s="86" t="str">
        <f t="shared" si="17"/>
        <v>6.91365494390667-0.0124709146157281j</v>
      </c>
      <c r="X66" s="86" t="str">
        <f t="shared" si="18"/>
        <v>0.530015978453487+0.00306051273565958j</v>
      </c>
      <c r="Y66" s="86">
        <f t="shared" si="19"/>
        <v>-5.5140759431858841</v>
      </c>
      <c r="Z66" s="86">
        <f t="shared" si="20"/>
        <v>-179.66915617435524</v>
      </c>
      <c r="AB66" s="86" t="str">
        <f t="shared" si="21"/>
        <v>2.38204759643973-0.00429675944588206j</v>
      </c>
      <c r="AC66" s="86">
        <f t="shared" si="22"/>
        <v>7.5390228308898415</v>
      </c>
      <c r="AD66" s="86">
        <f t="shared" si="23"/>
        <v>179.89664945604241</v>
      </c>
      <c r="AF66" s="86" t="str">
        <f t="shared" si="24"/>
        <v>1.55686574781149-0.00592253089012217j</v>
      </c>
      <c r="AG66" s="86">
        <f t="shared" si="25"/>
        <v>3.8450861272957026</v>
      </c>
      <c r="AH66" s="86">
        <f t="shared" si="26"/>
        <v>179.78204004575525</v>
      </c>
      <c r="AJ66" s="86" t="str">
        <f t="shared" si="27"/>
        <v>9999.99895153145-3.23800623558052j</v>
      </c>
      <c r="AK66" s="86" t="str">
        <f t="shared" si="28"/>
        <v>20000-2.75575027665986E-07j</v>
      </c>
      <c r="AL66" s="86" t="str">
        <f t="shared" si="43"/>
        <v>10000-32255785.1637514j</v>
      </c>
      <c r="AM66" s="86" t="str">
        <f t="shared" si="44"/>
        <v>963.139076066234-10010416.2912292j</v>
      </c>
      <c r="AN66" s="86" t="str">
        <f t="shared" si="45"/>
        <v>10963.1390760662-10010416.2912292j</v>
      </c>
      <c r="AO66" s="86" t="str">
        <f t="shared" si="46"/>
        <v>19999.8764062393-39.9579961782679j</v>
      </c>
      <c r="AP66" s="86" t="str">
        <f t="shared" si="47"/>
        <v>0.666666682199534+0.0000719556952533603j</v>
      </c>
      <c r="AQ66" s="86" t="str">
        <f t="shared" si="29"/>
        <v>1+0.0400961665254009j</v>
      </c>
      <c r="AR66" s="86">
        <f t="shared" si="30"/>
        <v>9.9668514934013875E-8</v>
      </c>
      <c r="AS66" s="86" t="str">
        <f t="shared" si="31"/>
        <v>3.35362407793259E-06j</v>
      </c>
      <c r="AT66" s="86" t="str">
        <f t="shared" si="32"/>
        <v>9.96685149340139E-08+3.35362407793259E-06j</v>
      </c>
      <c r="AU66" s="86" t="str">
        <f t="shared" si="33"/>
        <v>3.11994718401502-44.6350085814553j</v>
      </c>
      <c r="AW66" s="86" t="str">
        <f t="shared" si="48"/>
        <v>2.0689235107051-29.7574398159744j</v>
      </c>
      <c r="AX66" s="86">
        <f t="shared" si="34"/>
        <v>29.49285406615256</v>
      </c>
      <c r="AY66" s="86">
        <f t="shared" si="35"/>
        <v>93.977161127530707</v>
      </c>
      <c r="AZ66" s="86" t="str">
        <f t="shared" si="36"/>
        <v>4.80041371527818-70.8925276564792j</v>
      </c>
      <c r="BA66" s="86">
        <f t="shared" si="37"/>
        <v>37.031876897042402</v>
      </c>
      <c r="BB66" s="86">
        <f t="shared" si="38"/>
        <v>93.873810583573118</v>
      </c>
      <c r="BD66" s="86" t="str">
        <f t="shared" si="39"/>
        <v>3.0447967921376-46.3405920554537j</v>
      </c>
      <c r="BE66" s="86">
        <f t="shared" si="40"/>
        <v>33.337940193448233</v>
      </c>
      <c r="BF66" s="86">
        <f t="shared" si="41"/>
        <v>93.759201173285959</v>
      </c>
      <c r="BH66" s="86">
        <f t="shared" si="49"/>
        <v>-32.337940193448233</v>
      </c>
      <c r="BI66" s="159">
        <f t="shared" si="50"/>
        <v>-93.759201173285959</v>
      </c>
      <c r="BJ66" s="88"/>
      <c r="BK66" s="88"/>
      <c r="BL66" s="88"/>
      <c r="BM66" s="88"/>
      <c r="BN66" s="42"/>
      <c r="BO66" s="42"/>
      <c r="BP66" s="42"/>
    </row>
    <row r="67" spans="1:68" s="86" customFormat="1">
      <c r="A67" s="86">
        <v>3</v>
      </c>
      <c r="B67" s="86">
        <f t="shared" si="42"/>
        <v>114.81536214968828</v>
      </c>
      <c r="C67" s="86" t="str">
        <f t="shared" si="0"/>
        <v>721.406196497425j</v>
      </c>
      <c r="D67" s="86">
        <f t="shared" si="1"/>
        <v>0.99999978907892184</v>
      </c>
      <c r="E67" s="86" t="str">
        <f t="shared" si="2"/>
        <v>-0.000721406196497425j</v>
      </c>
      <c r="F67" s="86" t="str">
        <f t="shared" si="3"/>
        <v>0.999999789078922-0.000721406196497425j</v>
      </c>
      <c r="G67" s="86">
        <f t="shared" si="4"/>
        <v>4.2814827552985264E-7</v>
      </c>
      <c r="H67" s="86">
        <f t="shared" si="5"/>
        <v>-4.1333531921639757E-2</v>
      </c>
      <c r="J67" s="86">
        <f t="shared" si="6"/>
        <v>17.283950617283953</v>
      </c>
      <c r="K67" s="86" t="str">
        <f t="shared" si="7"/>
        <v>1+0.00871097982270641j</v>
      </c>
      <c r="L67" s="86">
        <f t="shared" si="8"/>
        <v>0.99998448356834158</v>
      </c>
      <c r="M67" s="86" t="str">
        <f t="shared" si="9"/>
        <v>0.00194289829340634j</v>
      </c>
      <c r="N67" s="86" t="str">
        <f t="shared" si="10"/>
        <v>0.999984483568342+0.00194289829340634j</v>
      </c>
      <c r="O67" s="86" t="str">
        <f t="shared" si="11"/>
        <v>1.00002866666634+0.00676813085012275j</v>
      </c>
      <c r="P67" s="86" t="str">
        <f t="shared" si="12"/>
        <v>17.2844460905293+0.116980039384838j</v>
      </c>
      <c r="R67" s="86">
        <f t="shared" si="13"/>
        <v>6.9135802469135808</v>
      </c>
      <c r="S67" s="86" t="str">
        <f t="shared" si="14"/>
        <v>1+0.0000541054647373069j</v>
      </c>
      <c r="T67" s="86" t="str">
        <f t="shared" si="15"/>
        <v>0.999984483568342+0.00194289829340634j</v>
      </c>
      <c r="U67" s="86" t="str">
        <f t="shared" si="16"/>
        <v>1.00001184678145-0.00188884515389724j</v>
      </c>
      <c r="V67" s="86" t="str">
        <f t="shared" si="17"/>
        <v>6.9136621505878-0.0130586825454624j</v>
      </c>
      <c r="X67" s="86" t="str">
        <f t="shared" si="18"/>
        <v>0.530017533184623+0.00320475152620962j</v>
      </c>
      <c r="Y67" s="86">
        <f t="shared" si="19"/>
        <v>-5.5140364947334444</v>
      </c>
      <c r="Z67" s="86">
        <f t="shared" si="20"/>
        <v>-179.65356523571069</v>
      </c>
      <c r="AB67" s="86" t="str">
        <f t="shared" si="21"/>
        <v>2.38205007944729-0.00449927044703087j</v>
      </c>
      <c r="AC67" s="86">
        <f t="shared" si="22"/>
        <v>7.5390332482636246</v>
      </c>
      <c r="AD67" s="86">
        <f t="shared" si="23"/>
        <v>179.89177855530394</v>
      </c>
      <c r="AF67" s="86" t="str">
        <f t="shared" si="24"/>
        <v>1.55686464568723-0.00620165102072321j</v>
      </c>
      <c r="AG67" s="86">
        <f t="shared" si="25"/>
        <v>3.8450860419826371</v>
      </c>
      <c r="AH67" s="86">
        <f t="shared" si="26"/>
        <v>179.77176785978654</v>
      </c>
      <c r="AJ67" s="86" t="str">
        <f t="shared" si="27"/>
        <v>9999.99885037711-3.39060873374571j</v>
      </c>
      <c r="AK67" s="86" t="str">
        <f t="shared" si="28"/>
        <v>20000-2.8856247859897E-07j</v>
      </c>
      <c r="AL67" s="86" t="str">
        <f t="shared" si="43"/>
        <v>10000-30804035.6876829j</v>
      </c>
      <c r="AM67" s="86" t="str">
        <f t="shared" si="44"/>
        <v>963.139071818403-9559873.36008538j</v>
      </c>
      <c r="AN67" s="86" t="str">
        <f t="shared" si="45"/>
        <v>10963.1390718184-9559873.36008538j</v>
      </c>
      <c r="AO67" s="86" t="str">
        <f t="shared" si="46"/>
        <v>19999.8644822619-41.841119817979j</v>
      </c>
      <c r="AP67" s="86" t="str">
        <f t="shared" si="47"/>
        <v>0.666666683698118+0.000075346862355904j</v>
      </c>
      <c r="AQ67" s="86" t="str">
        <f t="shared" si="29"/>
        <v>1+0.0419858406361501j</v>
      </c>
      <c r="AR67" s="86">
        <f t="shared" si="30"/>
        <v>9.9636533852799131E-8</v>
      </c>
      <c r="AS67" s="86" t="str">
        <f t="shared" si="31"/>
        <v>0.0000035116755114341j</v>
      </c>
      <c r="AT67" s="86" t="str">
        <f t="shared" si="32"/>
        <v>9.96365338527991E-08+0.0000035116755114341j</v>
      </c>
      <c r="AU67" s="86" t="str">
        <f t="shared" si="33"/>
        <v>3.00293314988794-42.6294507172215j</v>
      </c>
      <c r="AW67" s="86" t="str">
        <f t="shared" si="48"/>
        <v>1.99091327074648-28.4204070983594j</v>
      </c>
      <c r="AX67" s="86">
        <f t="shared" si="34"/>
        <v>29.093865974332683</v>
      </c>
      <c r="AY67" s="86">
        <f t="shared" si="35"/>
        <v>94.00715165071469</v>
      </c>
      <c r="AZ67" s="86" t="str">
        <f t="shared" si="36"/>
        <v>4.61458401700407-67.7077906438129j</v>
      </c>
      <c r="BA67" s="86">
        <f t="shared" si="37"/>
        <v>36.632899222596293</v>
      </c>
      <c r="BB67" s="86">
        <f t="shared" si="38"/>
        <v>93.898930206018647</v>
      </c>
      <c r="BD67" s="86" t="str">
        <f t="shared" si="39"/>
        <v>2.9233290371638-44.2590739767916j</v>
      </c>
      <c r="BE67" s="86">
        <f t="shared" si="40"/>
        <v>32.93895201631527</v>
      </c>
      <c r="BF67" s="86">
        <f t="shared" si="41"/>
        <v>93.778919510501225</v>
      </c>
      <c r="BH67" s="86">
        <f t="shared" si="49"/>
        <v>-31.93895201631527</v>
      </c>
      <c r="BI67" s="159">
        <f t="shared" si="50"/>
        <v>-93.778919510501225</v>
      </c>
      <c r="BJ67" s="88"/>
      <c r="BK67" s="88"/>
      <c r="BL67" s="88"/>
      <c r="BM67" s="88"/>
      <c r="BN67" s="42"/>
      <c r="BO67" s="42"/>
      <c r="BP67" s="42"/>
    </row>
    <row r="68" spans="1:68" s="86" customFormat="1">
      <c r="A68" s="86">
        <v>4</v>
      </c>
      <c r="B68" s="86">
        <f t="shared" si="42"/>
        <v>120.2264434617413</v>
      </c>
      <c r="C68" s="86" t="str">
        <f t="shared" si="0"/>
        <v>755.40502309327j</v>
      </c>
      <c r="D68" s="86">
        <f t="shared" si="1"/>
        <v>0.9999997687296367</v>
      </c>
      <c r="E68" s="86" t="str">
        <f t="shared" si="2"/>
        <v>-0.00075540502309327j</v>
      </c>
      <c r="F68" s="86" t="str">
        <f t="shared" si="3"/>
        <v>0.999999768729637-0.00075540502309327j</v>
      </c>
      <c r="G68" s="86">
        <f t="shared" si="4"/>
        <v>4.6945526935514542E-7</v>
      </c>
      <c r="H68" s="86">
        <f t="shared" si="5"/>
        <v>-4.3281521423283821E-2</v>
      </c>
      <c r="J68" s="86">
        <f t="shared" si="6"/>
        <v>17.283950617283953</v>
      </c>
      <c r="K68" s="86" t="str">
        <f t="shared" si="7"/>
        <v>1+0.00912151565385123j</v>
      </c>
      <c r="L68" s="86">
        <f t="shared" si="8"/>
        <v>0.9999829865710046</v>
      </c>
      <c r="M68" s="86" t="str">
        <f t="shared" si="9"/>
        <v>0.00203446426898515j</v>
      </c>
      <c r="N68" s="86" t="str">
        <f t="shared" si="10"/>
        <v>0.999982986571005+0.00203446426898515j</v>
      </c>
      <c r="O68" s="86" t="str">
        <f t="shared" si="11"/>
        <v>1.00003143243179+0.00708710801271567j</v>
      </c>
      <c r="P68" s="86" t="str">
        <f t="shared" si="12"/>
        <v>17.2844938938828+0.122493224911135j</v>
      </c>
      <c r="R68" s="86">
        <f t="shared" si="13"/>
        <v>6.9135802469135808</v>
      </c>
      <c r="S68" s="86" t="str">
        <f t="shared" si="14"/>
        <v>1+0.0000566553767319952j</v>
      </c>
      <c r="T68" s="86" t="str">
        <f t="shared" si="15"/>
        <v>0.999982986571005+0.00203446426898515j</v>
      </c>
      <c r="U68" s="86" t="str">
        <f t="shared" si="16"/>
        <v>1.00001298974625-0.00197786896976104j</v>
      </c>
      <c r="V68" s="86" t="str">
        <f t="shared" si="17"/>
        <v>6.91367005256667-0.0136741558403232j</v>
      </c>
      <c r="X68" s="86" t="str">
        <f t="shared" si="18"/>
        <v>0.530019237918799+0.00335578826953509j</v>
      </c>
      <c r="Y68" s="86">
        <f t="shared" si="19"/>
        <v>-5.513993240577749</v>
      </c>
      <c r="Z68" s="86">
        <f t="shared" si="20"/>
        <v>-179.63723970401932</v>
      </c>
      <c r="AB68" s="86" t="str">
        <f t="shared" si="21"/>
        <v>2.38205280201443-0.00471132712249283j</v>
      </c>
      <c r="AC68" s="86">
        <f t="shared" si="22"/>
        <v>7.5390446706969687</v>
      </c>
      <c r="AD68" s="86">
        <f t="shared" si="23"/>
        <v>179.88667807539426</v>
      </c>
      <c r="AF68" s="86" t="str">
        <f t="shared" si="24"/>
        <v>1.55686343723039-0.00649392565542759j</v>
      </c>
      <c r="AG68" s="86">
        <f t="shared" si="25"/>
        <v>3.8450859484340096</v>
      </c>
      <c r="AH68" s="86">
        <f t="shared" si="26"/>
        <v>179.76101155323099</v>
      </c>
      <c r="AJ68" s="86" t="str">
        <f t="shared" si="27"/>
        <v>9999.99873946358-3.55040316099706j</v>
      </c>
      <c r="AK68" s="86" t="str">
        <f t="shared" si="28"/>
        <v>20000-3.02162009237308E-07j</v>
      </c>
      <c r="AL68" s="86" t="str">
        <f t="shared" si="43"/>
        <v>10000-29417625.7012769j</v>
      </c>
      <c r="AM68" s="86" t="str">
        <f t="shared" si="44"/>
        <v>963.13906716075-9129608.20205286j</v>
      </c>
      <c r="AN68" s="86" t="str">
        <f t="shared" si="45"/>
        <v>10963.1390671607-9129608.20205286j</v>
      </c>
      <c r="AO68" s="86" t="str">
        <f t="shared" si="46"/>
        <v>19999.8514079061-43.8129866066977j</v>
      </c>
      <c r="AP68" s="86" t="str">
        <f t="shared" si="47"/>
        <v>0.666666685341281+0.0000788978501900021j</v>
      </c>
      <c r="AQ68" s="86" t="str">
        <f t="shared" si="29"/>
        <v>1+0.0439645723440283j</v>
      </c>
      <c r="AR68" s="86">
        <f t="shared" si="30"/>
        <v>9.9601467294558083E-8</v>
      </c>
      <c r="AS68" s="86" t="str">
        <f t="shared" si="31"/>
        <v>3.67717567951388E-06j</v>
      </c>
      <c r="AT68" s="86" t="str">
        <f t="shared" si="32"/>
        <v>9.96014672945581E-08+3.67717567951388E-06j</v>
      </c>
      <c r="AU68" s="86" t="str">
        <f t="shared" si="33"/>
        <v>2.89619913027757-40.7137290587212j</v>
      </c>
      <c r="AW68" s="86" t="str">
        <f t="shared" si="48"/>
        <v>1.91975644762082-27.1432668204836j</v>
      </c>
      <c r="AX68" s="86">
        <f t="shared" si="34"/>
        <v>28.694912789491326</v>
      </c>
      <c r="AY68" s="86">
        <f t="shared" si="35"/>
        <v>94.045610446627322</v>
      </c>
      <c r="AZ68" s="86" t="str">
        <f t="shared" si="36"/>
        <v>4.44508041607603-64.6657393861784j</v>
      </c>
      <c r="BA68" s="86">
        <f t="shared" si="37"/>
        <v>36.233957460188279</v>
      </c>
      <c r="BB68" s="86">
        <f t="shared" si="38"/>
        <v>93.932288522021594</v>
      </c>
      <c r="BD68" s="86" t="str">
        <f t="shared" si="39"/>
        <v>2.8125322649105-42.2708264354471j</v>
      </c>
      <c r="BE68" s="86">
        <f t="shared" si="40"/>
        <v>32.539998737925345</v>
      </c>
      <c r="BF68" s="86">
        <f t="shared" si="41"/>
        <v>93.806621999858294</v>
      </c>
      <c r="BH68" s="86">
        <f t="shared" si="49"/>
        <v>-31.539998737925345</v>
      </c>
      <c r="BI68" s="159">
        <f t="shared" si="50"/>
        <v>-93.806621999858294</v>
      </c>
      <c r="BJ68" s="88"/>
      <c r="BK68" s="88"/>
      <c r="BL68" s="88"/>
      <c r="BM68" s="88"/>
      <c r="BN68" s="42"/>
      <c r="BO68" s="42"/>
      <c r="BP68" s="42"/>
    </row>
    <row r="69" spans="1:68" s="86" customFormat="1">
      <c r="A69" s="86">
        <v>5</v>
      </c>
      <c r="B69" s="86">
        <f t="shared" si="42"/>
        <v>125.89254117941672</v>
      </c>
      <c r="C69" s="86" t="str">
        <f t="shared" si="0"/>
        <v>791.006165022012j</v>
      </c>
      <c r="D69" s="86">
        <f t="shared" si="1"/>
        <v>0.99999974641708922</v>
      </c>
      <c r="E69" s="86" t="str">
        <f t="shared" si="2"/>
        <v>-0.000791006165022012j</v>
      </c>
      <c r="F69" s="86" t="str">
        <f t="shared" si="3"/>
        <v>0.999999746417089-0.000791006165022012j</v>
      </c>
      <c r="G69" s="86">
        <f t="shared" si="4"/>
        <v>5.1474748486742358E-7</v>
      </c>
      <c r="H69" s="86">
        <f t="shared" si="5"/>
        <v>-4.5321316864924355E-2</v>
      </c>
      <c r="J69" s="86">
        <f t="shared" si="6"/>
        <v>17.283950617283953</v>
      </c>
      <c r="K69" s="86" t="str">
        <f t="shared" si="7"/>
        <v>1+0.00955139944264079j</v>
      </c>
      <c r="L69" s="86">
        <f t="shared" si="8"/>
        <v>0.99998134514606485</v>
      </c>
      <c r="M69" s="86" t="str">
        <f t="shared" si="9"/>
        <v>0.00213034561604385j</v>
      </c>
      <c r="N69" s="86" t="str">
        <f t="shared" si="10"/>
        <v>0.999981345146065+0.00213034561604385j</v>
      </c>
      <c r="O69" s="86" t="str">
        <f t="shared" si="11"/>
        <v>1.00003446504487+0.00742111884402776j</v>
      </c>
      <c r="P69" s="86" t="str">
        <f t="shared" si="12"/>
        <v>17.2845463094175+0.128266251625171j</v>
      </c>
      <c r="R69" s="86">
        <f t="shared" si="13"/>
        <v>6.9135802469135808</v>
      </c>
      <c r="S69" s="86" t="str">
        <f t="shared" si="14"/>
        <v>1+0.0000593254623766509j</v>
      </c>
      <c r="T69" s="86" t="str">
        <f t="shared" si="15"/>
        <v>0.999981345146065+0.00213034561604385j</v>
      </c>
      <c r="U69" s="86" t="str">
        <f t="shared" si="16"/>
        <v>1.00001424298398-0.00207108913201093j</v>
      </c>
      <c r="V69" s="86" t="str">
        <f t="shared" si="17"/>
        <v>6.91367871692628-0.0143186409126682j</v>
      </c>
      <c r="X69" s="86" t="str">
        <f t="shared" si="18"/>
        <v>0.530021107129117+0.00351394337113177j</v>
      </c>
      <c r="Y69" s="86">
        <f t="shared" si="19"/>
        <v>-5.5139458135945034</v>
      </c>
      <c r="Z69" s="86">
        <f t="shared" si="20"/>
        <v>-179.62014498642085</v>
      </c>
      <c r="AB69" s="86" t="str">
        <f t="shared" si="21"/>
        <v>2.38205578725409-0.00493337958677929j</v>
      </c>
      <c r="AC69" s="86">
        <f t="shared" si="22"/>
        <v>7.5390571951581089</v>
      </c>
      <c r="AD69" s="86">
        <f t="shared" si="23"/>
        <v>179.8813371935147</v>
      </c>
      <c r="AF69" s="86" t="str">
        <f t="shared" si="24"/>
        <v>1.55686211218189-0.00679997474359616j</v>
      </c>
      <c r="AG69" s="86">
        <f t="shared" si="25"/>
        <v>3.8450858458544399</v>
      </c>
      <c r="AH69" s="86">
        <f t="shared" si="26"/>
        <v>179.74974830909539</v>
      </c>
      <c r="AJ69" s="86" t="str">
        <f t="shared" si="27"/>
        <v>9999.99861784931-3.71772846175729j</v>
      </c>
      <c r="AK69" s="86" t="str">
        <f t="shared" si="28"/>
        <v>20000-3.16402466008804E-07j</v>
      </c>
      <c r="AL69" s="86" t="str">
        <f t="shared" si="43"/>
        <v>10000-28093614.4430731j</v>
      </c>
      <c r="AM69" s="86" t="str">
        <f t="shared" si="44"/>
        <v>963.13906205374-8718708.16704475j</v>
      </c>
      <c r="AN69" s="86" t="str">
        <f t="shared" si="45"/>
        <v>10963.1390620537-8718708.16704475j</v>
      </c>
      <c r="AO69" s="86" t="str">
        <f t="shared" si="46"/>
        <v>19999.8370721904-45.8777780307057j</v>
      </c>
      <c r="AP69" s="86" t="str">
        <f t="shared" si="47"/>
        <v>0.666666687142975+0.0000826161908672475j</v>
      </c>
      <c r="AQ69" s="86" t="str">
        <f t="shared" si="29"/>
        <v>1+0.0460365588042811j</v>
      </c>
      <c r="AR69" s="86">
        <f t="shared" si="30"/>
        <v>9.9563017578032977E-8</v>
      </c>
      <c r="AS69" s="86" t="str">
        <f t="shared" si="31"/>
        <v>3.85047563021745E-06j</v>
      </c>
      <c r="AT69" s="86" t="str">
        <f t="shared" si="32"/>
        <v>9.9563017578033E-08+3.85047563021745E-06j</v>
      </c>
      <c r="AU69" s="86" t="str">
        <f t="shared" si="33"/>
        <v>2.79884327613273-38.8838556833679j</v>
      </c>
      <c r="AW69" s="86" t="str">
        <f t="shared" si="48"/>
        <v>1.85485180178191-25.923360383743j</v>
      </c>
      <c r="AX69" s="86">
        <f t="shared" si="34"/>
        <v>28.296003357271672</v>
      </c>
      <c r="AY69" s="86">
        <f t="shared" si="35"/>
        <v>94.092616516866201</v>
      </c>
      <c r="AZ69" s="86" t="str">
        <f t="shared" si="36"/>
        <v>4.2904706919954-61.7600413151839j</v>
      </c>
      <c r="BA69" s="86">
        <f t="shared" si="37"/>
        <v>35.835060552429788</v>
      </c>
      <c r="BB69" s="86">
        <f t="shared" si="38"/>
        <v>93.973953710380897</v>
      </c>
      <c r="BD69" s="86" t="str">
        <f t="shared" si="39"/>
        <v>2.71147029802798-40.3717105472917j</v>
      </c>
      <c r="BE69" s="86">
        <f t="shared" si="40"/>
        <v>32.141089203126107</v>
      </c>
      <c r="BF69" s="86">
        <f t="shared" si="41"/>
        <v>93.84236482596161</v>
      </c>
      <c r="BH69" s="86">
        <f t="shared" si="49"/>
        <v>-31.141089203126107</v>
      </c>
      <c r="BI69" s="159">
        <f t="shared" si="50"/>
        <v>-93.84236482596161</v>
      </c>
      <c r="BJ69" s="88"/>
      <c r="BK69" s="88"/>
      <c r="BL69" s="88"/>
      <c r="BM69" s="88"/>
      <c r="BN69" s="42"/>
      <c r="BO69" s="42"/>
      <c r="BP69" s="42"/>
    </row>
    <row r="70" spans="1:68" s="86" customFormat="1">
      <c r="A70" s="86">
        <v>6</v>
      </c>
      <c r="B70" s="86">
        <f t="shared" si="42"/>
        <v>131.82567385564073</v>
      </c>
      <c r="C70" s="86" t="str">
        <f t="shared" si="0"/>
        <v>828.28513707881j</v>
      </c>
      <c r="D70" s="86">
        <f t="shared" si="1"/>
        <v>0.99999972195186737</v>
      </c>
      <c r="E70" s="86" t="str">
        <f t="shared" si="2"/>
        <v>-0.00082828513707881j</v>
      </c>
      <c r="F70" s="86" t="str">
        <f t="shared" si="3"/>
        <v>0.999999721951867-0.00082828513707881j</v>
      </c>
      <c r="G70" s="86">
        <f t="shared" si="4"/>
        <v>5.6440941669817803E-7</v>
      </c>
      <c r="H70" s="86">
        <f t="shared" si="5"/>
        <v>-4.7457244930647867E-2</v>
      </c>
      <c r="J70" s="86">
        <f t="shared" si="6"/>
        <v>17.283950617283953</v>
      </c>
      <c r="K70" s="86" t="str">
        <f t="shared" si="7"/>
        <v>1+0.0100015430302266j</v>
      </c>
      <c r="L70" s="86">
        <f t="shared" si="8"/>
        <v>0.99997954535940792</v>
      </c>
      <c r="M70" s="86" t="str">
        <f t="shared" si="9"/>
        <v>0.0022307457117746j</v>
      </c>
      <c r="N70" s="86" t="str">
        <f t="shared" si="10"/>
        <v>0.999979545359408+0.0022307457117746j</v>
      </c>
      <c r="O70" s="86" t="str">
        <f t="shared" si="11"/>
        <v>1.0000377902529+0.0077708719684006j</v>
      </c>
      <c r="P70" s="86" t="str">
        <f t="shared" si="12"/>
        <v>17.2846037821489+0.134311367355072j</v>
      </c>
      <c r="R70" s="86">
        <f t="shared" si="13"/>
        <v>6.9135802469135808</v>
      </c>
      <c r="S70" s="86" t="str">
        <f t="shared" si="14"/>
        <v>1+0.0000621213852809107j</v>
      </c>
      <c r="T70" s="86" t="str">
        <f t="shared" si="15"/>
        <v>0.999979545359408+0.0022307457117746j</v>
      </c>
      <c r="U70" s="86" t="str">
        <f t="shared" si="16"/>
        <v>1.00001561713395-0.00216870352439942j</v>
      </c>
      <c r="V70" s="86" t="str">
        <f t="shared" si="17"/>
        <v>6.91368821722237-0.0149935058476997j</v>
      </c>
      <c r="X70" s="86" t="str">
        <f t="shared" si="18"/>
        <v>0.53002315668525+0.00367955234086712j</v>
      </c>
      <c r="Y70" s="86">
        <f t="shared" si="19"/>
        <v>-5.5138938112484137</v>
      </c>
      <c r="Z70" s="86">
        <f t="shared" si="20"/>
        <v>-179.60224486380889</v>
      </c>
      <c r="AB70" s="86" t="str">
        <f t="shared" si="21"/>
        <v>2.38205906050936-0.0051658992033144j</v>
      </c>
      <c r="AC70" s="86">
        <f t="shared" si="22"/>
        <v>7.5390709279714088</v>
      </c>
      <c r="AD70" s="86">
        <f t="shared" si="23"/>
        <v>179.87574457634955</v>
      </c>
      <c r="AF70" s="86" t="str">
        <f t="shared" si="24"/>
        <v>1.55686065929281-0.00712044745141094j</v>
      </c>
      <c r="AG70" s="86">
        <f t="shared" si="25"/>
        <v>3.8450857333716435</v>
      </c>
      <c r="AH70" s="86">
        <f t="shared" si="26"/>
        <v>179.73795423489287</v>
      </c>
      <c r="AJ70" s="86" t="str">
        <f t="shared" si="27"/>
        <v>9999.99848450193-3.89293955429608j</v>
      </c>
      <c r="AK70" s="86" t="str">
        <f t="shared" si="28"/>
        <v>20000-3.31314054831524E-07j</v>
      </c>
      <c r="AL70" s="86" t="str">
        <f t="shared" si="43"/>
        <v>10000-26829193.5076795j</v>
      </c>
      <c r="AM70" s="86" t="str">
        <f t="shared" si="44"/>
        <v>963.139056454012-8326301.68099654j</v>
      </c>
      <c r="AN70" s="86" t="str">
        <f t="shared" si="45"/>
        <v>10963.139056454-8326301.68099654j</v>
      </c>
      <c r="AO70" s="86" t="str">
        <f t="shared" si="46"/>
        <v>19999.8213534276-48.0398725178148j</v>
      </c>
      <c r="AP70" s="86" t="str">
        <f t="shared" si="47"/>
        <v>0.666666689118492+0.0000865097714756122j</v>
      </c>
      <c r="AQ70" s="86" t="str">
        <f t="shared" si="29"/>
        <v>1+0.0482061949779867j</v>
      </c>
      <c r="AR70" s="86">
        <f t="shared" si="30"/>
        <v>9.9520858302215316E-8</v>
      </c>
      <c r="AS70" s="86" t="str">
        <f t="shared" si="31"/>
        <v>4.03194295597497E-06j</v>
      </c>
      <c r="AT70" s="86" t="str">
        <f t="shared" si="32"/>
        <v>9.95208583022153E-08+4.03194295597497E-06j</v>
      </c>
      <c r="AU70" s="86" t="str">
        <f t="shared" si="33"/>
        <v>2.71004264101461-37.1360150342514j</v>
      </c>
      <c r="AW70" s="86" t="str">
        <f t="shared" si="48"/>
        <v>1.79565069598842-24.7581441034181j</v>
      </c>
      <c r="AX70" s="86">
        <f t="shared" si="34"/>
        <v>27.897146888767995</v>
      </c>
      <c r="AY70" s="86">
        <f t="shared" si="35"/>
        <v>94.148266346367976</v>
      </c>
      <c r="AZ70" s="86" t="str">
        <f t="shared" si="36"/>
        <v>4.14944793298977-58.9846376334433j</v>
      </c>
      <c r="BA70" s="86">
        <f t="shared" si="37"/>
        <v>35.436217816739408</v>
      </c>
      <c r="BB70" s="86">
        <f t="shared" si="38"/>
        <v>94.024010922717537</v>
      </c>
      <c r="BD70" s="86" t="str">
        <f t="shared" si="39"/>
        <v>2.61928886233329-38.5577663881359j</v>
      </c>
      <c r="BE70" s="86">
        <f t="shared" si="40"/>
        <v>31.742232622139671</v>
      </c>
      <c r="BF70" s="86">
        <f t="shared" si="41"/>
        <v>93.886220581260829</v>
      </c>
      <c r="BH70" s="86">
        <f t="shared" si="49"/>
        <v>-30.742232622139671</v>
      </c>
      <c r="BI70" s="159">
        <f t="shared" si="50"/>
        <v>-93.886220581260829</v>
      </c>
      <c r="BJ70" s="88"/>
      <c r="BK70" s="88"/>
      <c r="BL70" s="88"/>
      <c r="BM70" s="88"/>
      <c r="BN70" s="42"/>
      <c r="BO70" s="42"/>
      <c r="BP70" s="42"/>
    </row>
    <row r="71" spans="1:68" s="86" customFormat="1">
      <c r="A71" s="86">
        <v>7</v>
      </c>
      <c r="B71" s="86">
        <f t="shared" si="42"/>
        <v>138.03842646028849</v>
      </c>
      <c r="C71" s="86" t="str">
        <f t="shared" si="0"/>
        <v>867.321012961474j</v>
      </c>
      <c r="D71" s="86">
        <f t="shared" si="1"/>
        <v>0.99999969512628517</v>
      </c>
      <c r="E71" s="86" t="str">
        <f t="shared" si="2"/>
        <v>-0.000867321012961474j</v>
      </c>
      <c r="F71" s="86" t="str">
        <f t="shared" si="3"/>
        <v>0.999999695126285-0.000867321012961474j</v>
      </c>
      <c r="G71" s="86">
        <f t="shared" si="4"/>
        <v>6.1886265328156652E-7</v>
      </c>
      <c r="H71" s="86">
        <f t="shared" si="5"/>
        <v>-4.9693836215388143E-2</v>
      </c>
      <c r="J71" s="86">
        <f t="shared" si="6"/>
        <v>17.283950617283953</v>
      </c>
      <c r="K71" s="86" t="str">
        <f t="shared" si="7"/>
        <v>1+0.0104729012315098j</v>
      </c>
      <c r="L71" s="86">
        <f t="shared" si="8"/>
        <v>0.99997757193258086</v>
      </c>
      <c r="M71" s="86" t="str">
        <f t="shared" si="9"/>
        <v>0.0023358775182413j</v>
      </c>
      <c r="N71" s="86" t="str">
        <f t="shared" si="10"/>
        <v>0.999977571932581+0.0023358775182413j</v>
      </c>
      <c r="O71" s="86" t="str">
        <f t="shared" si="11"/>
        <v>1.00004143628772+0.00813710942281431j</v>
      </c>
      <c r="P71" s="86" t="str">
        <f t="shared" si="12"/>
        <v>17.2846668000347+0.140641397431358j</v>
      </c>
      <c r="R71" s="86">
        <f t="shared" si="13"/>
        <v>6.9135802469135808</v>
      </c>
      <c r="S71" s="86" t="str">
        <f t="shared" si="14"/>
        <v>1+0.0000650490759721106j</v>
      </c>
      <c r="T71" s="86" t="str">
        <f t="shared" si="15"/>
        <v>0.999977571932581+0.0023358775182413j</v>
      </c>
      <c r="U71" s="86" t="str">
        <f t="shared" si="16"/>
        <v>1.00001712386196-0.00227091937384619j</v>
      </c>
      <c r="V71" s="86" t="str">
        <f t="shared" si="17"/>
        <v>6.91369863410738-0.0157001833253564j</v>
      </c>
      <c r="X71" s="86" t="str">
        <f t="shared" si="18"/>
        <v>0.530025403988207+0.00385296650543856j</v>
      </c>
      <c r="Y71" s="86">
        <f t="shared" si="19"/>
        <v>-5.5138367921788483</v>
      </c>
      <c r="Z71" s="86">
        <f t="shared" si="20"/>
        <v>-179.58350141479031</v>
      </c>
      <c r="AB71" s="86" t="str">
        <f t="shared" si="21"/>
        <v>2.38206264956842-0.00540937959115091j</v>
      </c>
      <c r="AC71" s="86">
        <f t="shared" si="22"/>
        <v>7.5390859857192272</v>
      </c>
      <c r="AD71" s="86">
        <f t="shared" si="23"/>
        <v>179.86988835593897</v>
      </c>
      <c r="AF71" s="86" t="str">
        <f t="shared" si="24"/>
        <v>1.55685906622882-0.00745602353874826j</v>
      </c>
      <c r="AG71" s="86">
        <f t="shared" si="25"/>
        <v>3.8450856100286441</v>
      </c>
      <c r="AH71" s="86">
        <f t="shared" si="26"/>
        <v>179.72560431193236</v>
      </c>
      <c r="AJ71" s="86" t="str">
        <f t="shared" si="27"/>
        <v>9999.99833828944-4.07640808353778j</v>
      </c>
      <c r="AK71" s="86" t="str">
        <f t="shared" si="28"/>
        <v>20000-3.4692840518459E-07j</v>
      </c>
      <c r="AL71" s="86" t="str">
        <f t="shared" si="43"/>
        <v>10000-25621680.8887684j</v>
      </c>
      <c r="AM71" s="86" t="str">
        <f t="shared" si="44"/>
        <v>963.139050314031-7951556.39714043j</v>
      </c>
      <c r="AN71" s="86" t="str">
        <f t="shared" si="45"/>
        <v>10963.139050314-7951556.39714043j</v>
      </c>
      <c r="AO71" s="86" t="str">
        <f t="shared" si="46"/>
        <v>19999.804118191-50.30385470029j</v>
      </c>
      <c r="AP71" s="86" t="str">
        <f t="shared" si="47"/>
        <v>0.666666691284604+0.0000905868508088094j</v>
      </c>
      <c r="AQ71" s="86" t="str">
        <f t="shared" si="29"/>
        <v>1+0.0504780829543578j</v>
      </c>
      <c r="AR71" s="86">
        <f t="shared" si="30"/>
        <v>9.9474631575516067E-8</v>
      </c>
      <c r="AS71" s="86" t="str">
        <f t="shared" si="31"/>
        <v>4.22196257331412E-06j</v>
      </c>
      <c r="AT71" s="86" t="str">
        <f t="shared" si="32"/>
        <v>9.94746315755161E-08+4.22196257331412E-06j</v>
      </c>
      <c r="AU71" s="86" t="str">
        <f t="shared" si="33"/>
        <v>2.62904631411747-35.4665570777355j</v>
      </c>
      <c r="AW71" s="86" t="str">
        <f t="shared" si="48"/>
        <v>1.74165251726534-23.6451846471228j</v>
      </c>
      <c r="AX71" s="86">
        <f t="shared" si="34"/>
        <v>27.498353037137143</v>
      </c>
      <c r="AY71" s="86">
        <f t="shared" si="35"/>
        <v>94.212674047265992</v>
      </c>
      <c r="AZ71" s="86" t="str">
        <f t="shared" si="36"/>
        <v>4.02081963064544-56.3337324496416j</v>
      </c>
      <c r="BA71" s="86">
        <f t="shared" si="37"/>
        <v>35.037439022856361</v>
      </c>
      <c r="BB71" s="86">
        <f t="shared" si="38"/>
        <v>94.08256240320496</v>
      </c>
      <c r="BD71" s="86" t="str">
        <f t="shared" si="39"/>
        <v>2.5352084584178-36.8252058926927j</v>
      </c>
      <c r="BE71" s="86">
        <f t="shared" si="40"/>
        <v>31.34343864716579</v>
      </c>
      <c r="BF71" s="86">
        <f t="shared" si="41"/>
        <v>93.938278359198364</v>
      </c>
      <c r="BH71" s="86">
        <f t="shared" si="49"/>
        <v>-30.34343864716579</v>
      </c>
      <c r="BI71" s="159">
        <f t="shared" si="50"/>
        <v>-93.938278359198364</v>
      </c>
      <c r="BJ71" s="88"/>
      <c r="BK71" s="88"/>
      <c r="BL71" s="88"/>
      <c r="BM71" s="88"/>
      <c r="BN71" s="42"/>
      <c r="BO71" s="42"/>
      <c r="BP71" s="42"/>
    </row>
    <row r="72" spans="1:68" s="86" customFormat="1">
      <c r="A72" s="86">
        <v>8</v>
      </c>
      <c r="B72" s="86">
        <f t="shared" si="42"/>
        <v>144.54397707459273</v>
      </c>
      <c r="C72" s="86" t="str">
        <f t="shared" si="0"/>
        <v>908.196592996384j</v>
      </c>
      <c r="D72" s="86">
        <f t="shared" si="1"/>
        <v>0.99999966571261911</v>
      </c>
      <c r="E72" s="86" t="str">
        <f t="shared" si="2"/>
        <v>-0.000908196592996384j</v>
      </c>
      <c r="F72" s="86" t="str">
        <f t="shared" si="3"/>
        <v>0.999999665712619-0.000908196592996384j</v>
      </c>
      <c r="G72" s="86">
        <f t="shared" si="4"/>
        <v>6.7856944679112387E-7</v>
      </c>
      <c r="H72" s="86">
        <f t="shared" si="5"/>
        <v>-5.2035834835024025E-2</v>
      </c>
      <c r="J72" s="86">
        <f t="shared" si="6"/>
        <v>17.283950617283953</v>
      </c>
      <c r="K72" s="86" t="str">
        <f t="shared" si="7"/>
        <v>1+0.0109664738604313j</v>
      </c>
      <c r="L72" s="86">
        <f t="shared" si="8"/>
        <v>0.99997540811309327</v>
      </c>
      <c r="M72" s="86" t="str">
        <f t="shared" si="9"/>
        <v>0.00244596403410076j</v>
      </c>
      <c r="N72" s="86" t="str">
        <f t="shared" si="10"/>
        <v>0.999975408113093+0.00244596403410076j</v>
      </c>
      <c r="O72" s="86" t="str">
        <f t="shared" si="11"/>
        <v>1.00004543410551+0.00852060823397662j</v>
      </c>
      <c r="P72" s="86" t="str">
        <f t="shared" si="12"/>
        <v>17.2847358981199+0.147269771945275j</v>
      </c>
      <c r="R72" s="86">
        <f t="shared" si="13"/>
        <v>6.9135802469135808</v>
      </c>
      <c r="S72" s="86" t="str">
        <f t="shared" si="14"/>
        <v>1+0.0000681147444747288j</v>
      </c>
      <c r="T72" s="86" t="str">
        <f t="shared" si="15"/>
        <v>0.999975408113093+0.00244596403410076j</v>
      </c>
      <c r="U72" s="86" t="str">
        <f t="shared" si="16"/>
        <v>1.00001877595943-0.00237795369331581j</v>
      </c>
      <c r="V72" s="86" t="str">
        <f t="shared" si="17"/>
        <v>6.91371005601581-0.0164401736821834j</v>
      </c>
      <c r="X72" s="86" t="str">
        <f t="shared" si="18"/>
        <v>0.530027868118136+0.00403455375449928j</v>
      </c>
      <c r="Y72" s="86">
        <f t="shared" si="19"/>
        <v>-5.513774272455997</v>
      </c>
      <c r="Z72" s="86">
        <f t="shared" si="20"/>
        <v>-179.56387493615031</v>
      </c>
      <c r="AB72" s="86" t="str">
        <f t="shared" si="21"/>
        <v>2.38206658490071-0.00566433767991435j</v>
      </c>
      <c r="AC72" s="86">
        <f t="shared" si="22"/>
        <v>7.539102496232541</v>
      </c>
      <c r="AD72" s="86">
        <f t="shared" si="23"/>
        <v>179.86375610440459</v>
      </c>
      <c r="AF72" s="86" t="str">
        <f t="shared" si="24"/>
        <v>1.55685731946556-0.00780741480093187j</v>
      </c>
      <c r="AG72" s="86">
        <f t="shared" si="25"/>
        <v>3.8450854747761847</v>
      </c>
      <c r="AH72" s="86">
        <f t="shared" si="26"/>
        <v>179.71267234221489</v>
      </c>
      <c r="AJ72" s="86" t="str">
        <f t="shared" si="27"/>
        <v>9999.99817797062-4.26852320934539j</v>
      </c>
      <c r="AK72" s="86" t="str">
        <f t="shared" si="28"/>
        <v>20000-3.63278637198554E-07j</v>
      </c>
      <c r="AL72" s="86" t="str">
        <f t="shared" si="43"/>
        <v>10000-24468515.2901809j</v>
      </c>
      <c r="AM72" s="86" t="str">
        <f t="shared" si="44"/>
        <v>963.139043581681-7593677.43048637j</v>
      </c>
      <c r="AN72" s="86" t="str">
        <f t="shared" si="45"/>
        <v>10963.1390435817-7593677.43048637j</v>
      </c>
      <c r="AO72" s="86" t="str">
        <f t="shared" si="46"/>
        <v>19999.785220183-52.6745251115632j</v>
      </c>
      <c r="AP72" s="86" t="str">
        <f t="shared" si="47"/>
        <v>0.666666693659697+0.0000948560768840555j</v>
      </c>
      <c r="AQ72" s="86" t="str">
        <f t="shared" si="29"/>
        <v>1+0.0528570417123895j</v>
      </c>
      <c r="AR72" s="86">
        <f t="shared" si="30"/>
        <v>9.9423944977611281E-8</v>
      </c>
      <c r="AS72" s="86" t="str">
        <f t="shared" si="31"/>
        <v>4.42093753931966E-06j</v>
      </c>
      <c r="AT72" s="86" t="str">
        <f t="shared" si="32"/>
        <v>9.94239449776113E-08+4.42093753931966E-06j</v>
      </c>
      <c r="AU72" s="86" t="str">
        <f t="shared" si="33"/>
        <v>2.55516914483086-33.8719906516888j</v>
      </c>
      <c r="AW72" s="86" t="str">
        <f t="shared" si="48"/>
        <v>1.69240049323042-22.5821546003498j</v>
      </c>
      <c r="AX72" s="86">
        <f t="shared" si="34"/>
        <v>27.099631977709002</v>
      </c>
      <c r="AY72" s="86">
        <f t="shared" si="35"/>
        <v>94.285971526843454</v>
      </c>
      <c r="AZ72" s="86" t="str">
        <f t="shared" si="36"/>
        <v>3.90349771399725-53.8017822164383j</v>
      </c>
      <c r="BA72" s="86">
        <f t="shared" si="37"/>
        <v>34.638734473941525</v>
      </c>
      <c r="BB72" s="86">
        <f t="shared" si="38"/>
        <v>94.149727631248041</v>
      </c>
      <c r="BD72" s="86" t="str">
        <f t="shared" si="39"/>
        <v>2.4585178472892-35.1704059515173j</v>
      </c>
      <c r="BE72" s="86">
        <f t="shared" si="40"/>
        <v>30.944717452485161</v>
      </c>
      <c r="BF72" s="86">
        <f t="shared" si="41"/>
        <v>93.998643869058355</v>
      </c>
      <c r="BH72" s="86">
        <f t="shared" si="49"/>
        <v>-29.944717452485161</v>
      </c>
      <c r="BI72" s="159">
        <f t="shared" si="50"/>
        <v>-93.998643869058355</v>
      </c>
      <c r="BJ72" s="88"/>
      <c r="BK72" s="88"/>
      <c r="BL72" s="88"/>
      <c r="BM72" s="88"/>
      <c r="BN72" s="42"/>
      <c r="BO72" s="42"/>
      <c r="BP72" s="42"/>
    </row>
    <row r="73" spans="1:68" s="86" customFormat="1">
      <c r="A73" s="86">
        <v>9</v>
      </c>
      <c r="B73" s="86">
        <f t="shared" si="42"/>
        <v>151.35612484362082</v>
      </c>
      <c r="C73" s="86" t="str">
        <f t="shared" si="0"/>
        <v>950.998579769077j</v>
      </c>
      <c r="D73" s="86">
        <f t="shared" si="1"/>
        <v>0.9999996334611756</v>
      </c>
      <c r="E73" s="86" t="str">
        <f t="shared" si="2"/>
        <v>-0.000950998579769077j</v>
      </c>
      <c r="F73" s="86" t="str">
        <f t="shared" si="3"/>
        <v>0.999999633461176-0.000950998579769077j</v>
      </c>
      <c r="G73" s="86">
        <f t="shared" si="4"/>
        <v>7.4403665337749354E-7</v>
      </c>
      <c r="H73" s="86">
        <f t="shared" si="5"/>
        <v>-5.4488208489397581E-2</v>
      </c>
      <c r="J73" s="86">
        <f t="shared" si="6"/>
        <v>17.283950617283953</v>
      </c>
      <c r="K73" s="86" t="str">
        <f t="shared" si="7"/>
        <v>1+0.0114833078507116j</v>
      </c>
      <c r="L73" s="86">
        <f t="shared" si="8"/>
        <v>0.99997303553220473</v>
      </c>
      <c r="M73" s="86" t="str">
        <f t="shared" si="9"/>
        <v>0.00256123876761264j</v>
      </c>
      <c r="N73" s="86" t="str">
        <f t="shared" si="10"/>
        <v>0.999973035532205+0.00256123876761264j</v>
      </c>
      <c r="O73" s="86" t="str">
        <f t="shared" si="11"/>
        <v>1.00004981764971+0.0089221820700943j</v>
      </c>
      <c r="P73" s="86" t="str">
        <f t="shared" si="12"/>
        <v>17.2848116630814+0.154210554297926j</v>
      </c>
      <c r="R73" s="86">
        <f t="shared" si="13"/>
        <v>6.9135802469135808</v>
      </c>
      <c r="S73" s="86" t="str">
        <f t="shared" si="14"/>
        <v>1+0.0000713248934826808j</v>
      </c>
      <c r="T73" s="86" t="str">
        <f t="shared" si="15"/>
        <v>0.999973035532205+0.00256123876761264j</v>
      </c>
      <c r="U73" s="86" t="str">
        <f t="shared" si="16"/>
        <v>1.00002058745196-0.0024900337459448j</v>
      </c>
      <c r="V73" s="86" t="str">
        <f t="shared" si="17"/>
        <v>6.91372257991479-0.0172150481201122j</v>
      </c>
      <c r="X73" s="86" t="str">
        <f t="shared" si="18"/>
        <v>0.530030569996384+0.00422469932205202j</v>
      </c>
      <c r="Y73" s="86">
        <f t="shared" si="19"/>
        <v>-5.5137057214765086</v>
      </c>
      <c r="Z73" s="86">
        <f t="shared" si="20"/>
        <v>-179.54332385967132</v>
      </c>
      <c r="AB73" s="86" t="str">
        <f t="shared" si="21"/>
        <v>2.38207089991552-0.00593131481536391j</v>
      </c>
      <c r="AC73" s="86">
        <f t="shared" si="22"/>
        <v>7.539120599675825</v>
      </c>
      <c r="AD73" s="86">
        <f t="shared" si="23"/>
        <v>179.8573348074726</v>
      </c>
      <c r="AF73" s="86" t="str">
        <f t="shared" si="24"/>
        <v>1.55685540417373-0.00817536657842025j</v>
      </c>
      <c r="AG73" s="86">
        <f t="shared" si="25"/>
        <v>3.845085326463344</v>
      </c>
      <c r="AH73" s="86">
        <f t="shared" si="26"/>
        <v>179.69913089282267</v>
      </c>
      <c r="AJ73" s="86" t="str">
        <f t="shared" si="27"/>
        <v>9999.99800218455-4.46969243195242j</v>
      </c>
      <c r="AK73" s="86" t="str">
        <f t="shared" si="28"/>
        <v>20000-3.8039943190763E-07j</v>
      </c>
      <c r="AL73" s="86" t="str">
        <f t="shared" si="43"/>
        <v>10000-23367250.6930749j</v>
      </c>
      <c r="AM73" s="86" t="str">
        <f t="shared" si="44"/>
        <v>963.139036199803-7251905.67176445j</v>
      </c>
      <c r="AN73" s="86" t="str">
        <f t="shared" si="45"/>
        <v>10963.1390361998-7251905.67176445j</v>
      </c>
      <c r="AO73" s="86" t="str">
        <f t="shared" si="46"/>
        <v>19999.7644989932-55.156910336764j</v>
      </c>
      <c r="AP73" s="86" t="str">
        <f t="shared" si="47"/>
        <v>0.666666696263936+0.0000993265052853957j</v>
      </c>
      <c r="AQ73" s="86" t="str">
        <f t="shared" si="29"/>
        <v>1+0.0553481173425603j</v>
      </c>
      <c r="AR73" s="86">
        <f t="shared" si="30"/>
        <v>9.9368368228171993E-8</v>
      </c>
      <c r="AS73" s="86" t="str">
        <f t="shared" si="31"/>
        <v>4.62928990657151E-06j</v>
      </c>
      <c r="AT73" s="86" t="str">
        <f t="shared" si="32"/>
        <v>9.9368368228172E-08+4.62928990657151E-06j</v>
      </c>
      <c r="AU73" s="86" t="str">
        <f t="shared" si="33"/>
        <v>2.48778600891784-32.3489770107531j</v>
      </c>
      <c r="AW73" s="86" t="str">
        <f t="shared" si="48"/>
        <v>1.64747786950196-21.5668281633803j</v>
      </c>
      <c r="AX73" s="86">
        <f t="shared" si="34"/>
        <v>26.700994492214747</v>
      </c>
      <c r="AY73" s="86">
        <f t="shared" si="35"/>
        <v>94.368308678576213</v>
      </c>
      <c r="AZ73" s="86" t="str">
        <f t="shared" si="36"/>
        <v>3.79648944378956-51.3834854813619j</v>
      </c>
      <c r="BA73" s="86">
        <f t="shared" si="37"/>
        <v>34.240115091890544</v>
      </c>
      <c r="BB73" s="86">
        <f t="shared" si="38"/>
        <v>94.22564348604881</v>
      </c>
      <c r="BD73" s="86" t="str">
        <f t="shared" si="39"/>
        <v>2.38856809822131-33.5899017125578j</v>
      </c>
      <c r="BE73" s="86">
        <f t="shared" si="40"/>
        <v>30.546079818678081</v>
      </c>
      <c r="BF73" s="86">
        <f t="shared" si="41"/>
        <v>94.067439571398879</v>
      </c>
      <c r="BH73" s="86">
        <f t="shared" si="49"/>
        <v>-29.546079818678081</v>
      </c>
      <c r="BI73" s="159">
        <f t="shared" si="50"/>
        <v>-94.067439571398879</v>
      </c>
      <c r="BJ73" s="88"/>
      <c r="BK73" s="88"/>
      <c r="BL73" s="88"/>
      <c r="BM73" s="88"/>
      <c r="BN73" s="42"/>
      <c r="BO73" s="42"/>
      <c r="BP73" s="42"/>
    </row>
    <row r="74" spans="1:68" s="86" customFormat="1">
      <c r="A74" s="86">
        <v>10</v>
      </c>
      <c r="B74" s="86">
        <f t="shared" si="42"/>
        <v>158.48931924611136</v>
      </c>
      <c r="C74" s="86" t="str">
        <f t="shared" si="0"/>
        <v>995.817762032062j</v>
      </c>
      <c r="D74" s="86">
        <f t="shared" si="1"/>
        <v>0.99999959809817096</v>
      </c>
      <c r="E74" s="86" t="str">
        <f t="shared" si="2"/>
        <v>-0.000995817762032062j</v>
      </c>
      <c r="F74" s="86" t="str">
        <f t="shared" si="3"/>
        <v>0.999999598098171-0.000995817762032062j</v>
      </c>
      <c r="G74" s="86">
        <f t="shared" si="4"/>
        <v>8.1582001670587286E-7</v>
      </c>
      <c r="H74" s="86">
        <f t="shared" si="5"/>
        <v>-5.705615899960146E-2</v>
      </c>
      <c r="J74" s="86">
        <f t="shared" si="6"/>
        <v>17.283950617283953</v>
      </c>
      <c r="K74" s="86" t="str">
        <f t="shared" si="7"/>
        <v>1+0.0120244994765371j</v>
      </c>
      <c r="L74" s="86">
        <f t="shared" si="8"/>
        <v>0.99997043404899189</v>
      </c>
      <c r="M74" s="86" t="str">
        <f t="shared" si="9"/>
        <v>0.00268194623194191j</v>
      </c>
      <c r="N74" s="86" t="str">
        <f t="shared" si="10"/>
        <v>0.999970434048992+0.00268194623194191j</v>
      </c>
      <c r="O74" s="86" t="str">
        <f t="shared" si="11"/>
        <v>1.00005462413941+0.00934268297089732j</v>
      </c>
      <c r="P74" s="86" t="str">
        <f t="shared" si="12"/>
        <v>17.284894738212+0.161478471101929j</v>
      </c>
      <c r="R74" s="86">
        <f t="shared" si="13"/>
        <v>6.9135802469135808</v>
      </c>
      <c r="S74" s="86" t="str">
        <f t="shared" si="14"/>
        <v>1+0.0000746863321524046j</v>
      </c>
      <c r="T74" s="86" t="str">
        <f t="shared" si="15"/>
        <v>0.999970434048992+0.00268194623194191j</v>
      </c>
      <c r="U74" s="86" t="str">
        <f t="shared" si="16"/>
        <v>1.00002257371844-0.00260739753147628j</v>
      </c>
      <c r="V74" s="86" t="str">
        <f t="shared" si="17"/>
        <v>6.91373631212749-0.0180264520694656j</v>
      </c>
      <c r="X74" s="86" t="str">
        <f t="shared" si="18"/>
        <v>0.530033532563213+0.00442380660478778j</v>
      </c>
      <c r="Y74" s="86">
        <f t="shared" si="19"/>
        <v>-5.5136305574634878</v>
      </c>
      <c r="Z74" s="86">
        <f t="shared" si="20"/>
        <v>-179.5218046651492</v>
      </c>
      <c r="AB74" s="86" t="str">
        <f t="shared" si="21"/>
        <v>2.38207563124569-0.00621087791809041j</v>
      </c>
      <c r="AC74" s="86">
        <f t="shared" si="22"/>
        <v>7.5391404497371619</v>
      </c>
      <c r="AD74" s="86">
        <f t="shared" si="23"/>
        <v>179.85061083673605</v>
      </c>
      <c r="AF74" s="86" t="str">
        <f t="shared" si="24"/>
        <v>1.55685330409317-0.00856065933762946j</v>
      </c>
      <c r="AG74" s="86">
        <f t="shared" si="25"/>
        <v>3.8450851638276595</v>
      </c>
      <c r="AH74" s="86">
        <f t="shared" si="26"/>
        <v>179.68495123768301</v>
      </c>
      <c r="AJ74" s="86" t="str">
        <f t="shared" si="27"/>
        <v>9999.99780943897-4.68034245629288j</v>
      </c>
      <c r="AK74" s="86" t="str">
        <f t="shared" si="28"/>
        <v>20000-3.98327104812824E-07j</v>
      </c>
      <c r="AL74" s="86" t="str">
        <f t="shared" si="43"/>
        <v>10000-22315551.1675908j</v>
      </c>
      <c r="AM74" s="86" t="str">
        <f t="shared" si="44"/>
        <v>963.139028105732-6925516.17725227j</v>
      </c>
      <c r="AN74" s="86" t="str">
        <f t="shared" si="45"/>
        <v>10963.1390281057-6925516.17725227j</v>
      </c>
      <c r="AO74" s="86" t="str">
        <f t="shared" si="46"/>
        <v>19999.7417787371-57.7562736379936j</v>
      </c>
      <c r="AP74" s="86" t="str">
        <f t="shared" si="47"/>
        <v>0.666666699119425+0.000104007618371487j</v>
      </c>
      <c r="AQ74" s="86" t="str">
        <f t="shared" si="29"/>
        <v>1+0.057956593750266j</v>
      </c>
      <c r="AR74" s="86">
        <f t="shared" si="30"/>
        <v>9.9307429534199299E-8</v>
      </c>
      <c r="AS74" s="86" t="str">
        <f t="shared" si="31"/>
        <v>4.84746161837491E-06j</v>
      </c>
      <c r="AT74" s="86" t="str">
        <f t="shared" si="32"/>
        <v>9.93074295341993E-08+4.84746161837491E-06j</v>
      </c>
      <c r="AU74" s="86" t="str">
        <f t="shared" si="33"/>
        <v>2.42632657042083-30.8943235728573j</v>
      </c>
      <c r="AW74" s="86" t="str">
        <f t="shared" si="48"/>
        <v>1.60650441759495-20.5970769823636j</v>
      </c>
      <c r="AX74" s="86">
        <f t="shared" si="34"/>
        <v>26.302452057774634</v>
      </c>
      <c r="AY74" s="86">
        <f t="shared" si="35"/>
        <v>94.459853595041011</v>
      </c>
      <c r="AZ74" s="86" t="str">
        <f t="shared" si="36"/>
        <v>3.69888909403451-49.0737729573924j</v>
      </c>
      <c r="BA74" s="86">
        <f t="shared" si="37"/>
        <v>33.841592507511805</v>
      </c>
      <c r="BB74" s="86">
        <f t="shared" si="38"/>
        <v>94.310464431777078</v>
      </c>
      <c r="BD74" s="86" t="str">
        <f t="shared" si="39"/>
        <v>2.32476715117602-32.0803800916975j</v>
      </c>
      <c r="BE74" s="86">
        <f t="shared" si="40"/>
        <v>30.147537221602271</v>
      </c>
      <c r="BF74" s="86">
        <f t="shared" si="41"/>
        <v>94.14480483272402</v>
      </c>
      <c r="BH74" s="86">
        <f t="shared" si="49"/>
        <v>-29.147537221602271</v>
      </c>
      <c r="BI74" s="159">
        <f t="shared" si="50"/>
        <v>-94.14480483272402</v>
      </c>
      <c r="BJ74" s="88"/>
      <c r="BK74" s="88"/>
      <c r="BL74" s="88"/>
      <c r="BM74" s="88"/>
      <c r="BN74" s="42"/>
      <c r="BO74" s="42"/>
      <c r="BP74" s="42"/>
    </row>
    <row r="75" spans="1:68" s="86" customFormat="1">
      <c r="A75" s="86">
        <v>11</v>
      </c>
      <c r="B75" s="86">
        <f t="shared" si="42"/>
        <v>165.95869074375605</v>
      </c>
      <c r="C75" s="86" t="str">
        <f t="shared" si="0"/>
        <v>1042.74920727993j</v>
      </c>
      <c r="D75" s="86">
        <f t="shared" si="1"/>
        <v>0.99999955932340745</v>
      </c>
      <c r="E75" s="86" t="str">
        <f t="shared" si="2"/>
        <v>-0.00104274920727993j</v>
      </c>
      <c r="F75" s="86" t="str">
        <f t="shared" si="3"/>
        <v>0.999999559323407-0.00104274920727993j</v>
      </c>
      <c r="G75" s="86">
        <f t="shared" si="4"/>
        <v>8.9452892208421197E-7</v>
      </c>
      <c r="H75" s="86">
        <f t="shared" si="5"/>
        <v>-5.9745133341886962E-2</v>
      </c>
      <c r="J75" s="86">
        <f t="shared" si="6"/>
        <v>17.283950617283953</v>
      </c>
      <c r="K75" s="86" t="str">
        <f t="shared" si="7"/>
        <v>1+0.0125911966779052j</v>
      </c>
      <c r="L75" s="86">
        <f t="shared" si="8"/>
        <v>0.99996758157937138</v>
      </c>
      <c r="M75" s="86" t="str">
        <f t="shared" si="9"/>
        <v>0.00280834246380391j</v>
      </c>
      <c r="N75" s="86" t="str">
        <f t="shared" si="10"/>
        <v>0.999967581579371+0.00280834246380391j</v>
      </c>
      <c r="O75" s="86" t="str">
        <f t="shared" si="11"/>
        <v>1.00005989438551+0.00978300315966657j</v>
      </c>
      <c r="P75" s="86" t="str">
        <f t="shared" si="12"/>
        <v>17.2849858288854+0.16908894350041j</v>
      </c>
      <c r="R75" s="86">
        <f t="shared" si="13"/>
        <v>6.9135802469135808</v>
      </c>
      <c r="S75" s="86" t="str">
        <f t="shared" si="14"/>
        <v>1+0.0000782061905459947j</v>
      </c>
      <c r="T75" s="86" t="str">
        <f t="shared" si="15"/>
        <v>0.999967581579371+0.00280834246380391j</v>
      </c>
      <c r="U75" s="86" t="str">
        <f t="shared" si="16"/>
        <v>1.00002475162163-0.00273029429611691j</v>
      </c>
      <c r="V75" s="86" t="str">
        <f t="shared" si="17"/>
        <v>6.91375136923596-0.0188761087138947j</v>
      </c>
      <c r="X75" s="86" t="str">
        <f t="shared" si="18"/>
        <v>0.530036780972681+0.00463229801912901j</v>
      </c>
      <c r="Y75" s="86">
        <f t="shared" si="19"/>
        <v>-5.5135481425329393</v>
      </c>
      <c r="Z75" s="86">
        <f t="shared" si="20"/>
        <v>-179.49927178944489</v>
      </c>
      <c r="AB75" s="86" t="str">
        <f t="shared" si="21"/>
        <v>2.3820808190587-0.00650362069800672j</v>
      </c>
      <c r="AC75" s="86">
        <f t="shared" si="22"/>
        <v>7.5391622149332811</v>
      </c>
      <c r="AD75" s="86">
        <f t="shared" si="23"/>
        <v>179.84356992059463</v>
      </c>
      <c r="AF75" s="86" t="str">
        <f t="shared" si="24"/>
        <v>1.5568510013948-0.00896411032624174j</v>
      </c>
      <c r="AG75" s="86">
        <f t="shared" si="25"/>
        <v>3.8450849854843634</v>
      </c>
      <c r="AH75" s="86">
        <f t="shared" si="26"/>
        <v>179.67010329658208</v>
      </c>
      <c r="AJ75" s="86" t="str">
        <f t="shared" si="27"/>
        <v>9999.99759809764-4.90092009706223j</v>
      </c>
      <c r="AK75" s="86" t="str">
        <f t="shared" si="28"/>
        <v>20000-4.17099682911972E-07j</v>
      </c>
      <c r="AL75" s="86" t="str">
        <f t="shared" si="43"/>
        <v>10000-21311185.9180312j</v>
      </c>
      <c r="AM75" s="86" t="str">
        <f t="shared" si="44"/>
        <v>963.139019230762-6613816.63107217j</v>
      </c>
      <c r="AN75" s="86" t="str">
        <f t="shared" si="45"/>
        <v>10963.1390192308-6613816.63107217j</v>
      </c>
      <c r="AO75" s="86" t="str">
        <f t="shared" si="46"/>
        <v>19999.7168665638-60.4781260761695j</v>
      </c>
      <c r="AP75" s="86" t="str">
        <f t="shared" si="47"/>
        <v>0.66666670225041+0.000108909345388588j</v>
      </c>
      <c r="AQ75" s="86" t="str">
        <f t="shared" si="29"/>
        <v>1+0.0606880038636919j</v>
      </c>
      <c r="AR75" s="86">
        <f t="shared" si="30"/>
        <v>9.9240611584956798E-8</v>
      </c>
      <c r="AS75" s="86" t="str">
        <f t="shared" si="31"/>
        <v>5.07591544618139E-06j</v>
      </c>
      <c r="AT75" s="86" t="str">
        <f t="shared" si="32"/>
        <v>9.92406115849568E-08+5.07591544618139E-06j</v>
      </c>
      <c r="AU75" s="86" t="str">
        <f t="shared" si="33"/>
        <v>2.37027049714927-29.5049778693435j</v>
      </c>
      <c r="AW75" s="86" t="str">
        <f t="shared" si="48"/>
        <v>1.56913324520838-19.6708661161465j</v>
      </c>
      <c r="AX75" s="86">
        <f t="shared" si="34"/>
        <v>25.904016941318311</v>
      </c>
      <c r="AY75" s="86">
        <f t="shared" si="35"/>
        <v>94.560792801219407</v>
      </c>
      <c r="AZ75" s="86" t="str">
        <f t="shared" si="36"/>
        <v>3.60987035393752-46.8677979169957j</v>
      </c>
      <c r="BA75" s="86">
        <f t="shared" si="37"/>
        <v>33.443179156251581</v>
      </c>
      <c r="BB75" s="86">
        <f t="shared" si="38"/>
        <v>94.404362721814053</v>
      </c>
      <c r="BD75" s="86" t="str">
        <f t="shared" si="39"/>
        <v>2.26657485004667-30.6386734947523j</v>
      </c>
      <c r="BE75" s="86">
        <f t="shared" si="40"/>
        <v>29.749101926802663</v>
      </c>
      <c r="BF75" s="86">
        <f t="shared" si="41"/>
        <v>94.230896097801491</v>
      </c>
      <c r="BH75" s="86">
        <f t="shared" si="49"/>
        <v>-28.749101926802663</v>
      </c>
      <c r="BI75" s="159">
        <f t="shared" si="50"/>
        <v>-94.230896097801491</v>
      </c>
      <c r="BJ75" s="88"/>
      <c r="BK75" s="88"/>
      <c r="BL75" s="88"/>
      <c r="BM75" s="88"/>
      <c r="BN75" s="42"/>
      <c r="BO75" s="42"/>
      <c r="BP75" s="42"/>
    </row>
    <row r="76" spans="1:68" s="86" customFormat="1">
      <c r="A76" s="86">
        <v>12</v>
      </c>
      <c r="B76" s="86">
        <f t="shared" si="42"/>
        <v>173.78008287493756</v>
      </c>
      <c r="C76" s="86" t="str">
        <f t="shared" si="0"/>
        <v>1091.89246340026j</v>
      </c>
      <c r="D76" s="86">
        <f t="shared" si="1"/>
        <v>0.9999995168077247</v>
      </c>
      <c r="E76" s="86" t="str">
        <f t="shared" si="2"/>
        <v>-0.00109189246340026j</v>
      </c>
      <c r="F76" s="86" t="str">
        <f t="shared" si="3"/>
        <v>0.999999516807725-0.00109189246340026j</v>
      </c>
      <c r="G76" s="86">
        <f t="shared" si="4"/>
        <v>9.8083154596442236E-7</v>
      </c>
      <c r="H76" s="86">
        <f t="shared" si="5"/>
        <v>-6.2560835201601966E-2</v>
      </c>
      <c r="J76" s="86">
        <f t="shared" si="6"/>
        <v>17.283950617283953</v>
      </c>
      <c r="K76" s="86" t="str">
        <f t="shared" si="7"/>
        <v>1+0.0131846014955581j</v>
      </c>
      <c r="L76" s="86">
        <f t="shared" si="8"/>
        <v>0.99996445390862732</v>
      </c>
      <c r="M76" s="86" t="str">
        <f t="shared" si="9"/>
        <v>0.00294069556655268j</v>
      </c>
      <c r="N76" s="86" t="str">
        <f t="shared" si="10"/>
        <v>0.999964453908627+0.00294069556655268j</v>
      </c>
      <c r="O76" s="86" t="str">
        <f t="shared" si="11"/>
        <v>1.00006567313744+0.0102440769411963j</v>
      </c>
      <c r="P76" s="86" t="str">
        <f t="shared" si="12"/>
        <v>17.2850857085483+0.177058119971294j</v>
      </c>
      <c r="R76" s="86">
        <f t="shared" si="13"/>
        <v>6.9135802469135808</v>
      </c>
      <c r="S76" s="86" t="str">
        <f t="shared" si="14"/>
        <v>1+0.0000818919347550195j</v>
      </c>
      <c r="T76" s="86" t="str">
        <f t="shared" si="15"/>
        <v>0.999964453908627+0.00294069556655268j</v>
      </c>
      <c r="U76" s="86" t="str">
        <f t="shared" si="16"/>
        <v>1.00002713965137-0.00285898506699455j</v>
      </c>
      <c r="V76" s="86" t="str">
        <f t="shared" si="17"/>
        <v>6.9137678790712-0.0197658226853944j</v>
      </c>
      <c r="X76" s="86" t="str">
        <f t="shared" si="18"/>
        <v>0.530040342806303+0.00485061589882064j</v>
      </c>
      <c r="Y76" s="86">
        <f t="shared" si="19"/>
        <v>-5.5134577772856206</v>
      </c>
      <c r="Z76" s="86">
        <f t="shared" si="20"/>
        <v>-179.47567753140473</v>
      </c>
      <c r="AB76" s="86" t="str">
        <f t="shared" si="21"/>
        <v>2.38208650739774-0.00681016492743743j</v>
      </c>
      <c r="AC76" s="86">
        <f t="shared" si="22"/>
        <v>7.5391860800403219</v>
      </c>
      <c r="AD76" s="86">
        <f t="shared" si="23"/>
        <v>179.83619711380754</v>
      </c>
      <c r="AF76" s="86" t="str">
        <f t="shared" si="24"/>
        <v>1.55684847652928-0.00938657530650695j</v>
      </c>
      <c r="AG76" s="86">
        <f t="shared" si="25"/>
        <v>3.8450847899148362</v>
      </c>
      <c r="AH76" s="86">
        <f t="shared" si="26"/>
        <v>179.65455557129832</v>
      </c>
      <c r="AJ76" s="86" t="str">
        <f t="shared" si="27"/>
        <v>9999.9973663665-5.13189322642827j</v>
      </c>
      <c r="AK76" s="86" t="str">
        <f t="shared" si="28"/>
        <v>20000-4.36756985360104E-07j</v>
      </c>
      <c r="AL76" s="86" t="str">
        <f t="shared" si="43"/>
        <v>10000-20352024.5510442j</v>
      </c>
      <c r="AM76" s="86" t="str">
        <f t="shared" si="44"/>
        <v>963.139009499554-6316145.87669641j</v>
      </c>
      <c r="AN76" s="86" t="str">
        <f t="shared" si="45"/>
        <v>10963.1390094996-6316145.87669641j</v>
      </c>
      <c r="AO76" s="86" t="str">
        <f t="shared" si="46"/>
        <v>19999.68955102-63.3282381522321j</v>
      </c>
      <c r="AP76" s="86" t="str">
        <f t="shared" si="47"/>
        <v>0.666666705683464+0.000114042083531387j</v>
      </c>
      <c r="AQ76" s="86" t="str">
        <f t="shared" si="29"/>
        <v>1+0.0635481413698951j</v>
      </c>
      <c r="AR76" s="86">
        <f t="shared" si="30"/>
        <v>9.9167347160501406E-8</v>
      </c>
      <c r="AS76" s="86" t="str">
        <f t="shared" si="31"/>
        <v>5.31513597118905E-06j</v>
      </c>
      <c r="AT76" s="86" t="str">
        <f t="shared" si="32"/>
        <v>9.91673471605014E-08+5.31513597118905E-06j</v>
      </c>
      <c r="AU76" s="86" t="str">
        <f t="shared" si="33"/>
        <v>2.31914309106516-28.1780216995029j</v>
      </c>
      <c r="AW76" s="86" t="str">
        <f t="shared" si="48"/>
        <v>1.53504788311374-18.7862501393812j</v>
      </c>
      <c r="AX76" s="86">
        <f t="shared" si="34"/>
        <v>25.505702300136459</v>
      </c>
      <c r="AY76" s="86">
        <f t="shared" si="35"/>
        <v>94.671331506445696</v>
      </c>
      <c r="AZ76" s="86" t="str">
        <f t="shared" si="36"/>
        <v>3.52867938875742-44.7609269108744j</v>
      </c>
      <c r="BA76" s="86">
        <f t="shared" si="37"/>
        <v>33.044888380176786</v>
      </c>
      <c r="BB76" s="86">
        <f t="shared" si="38"/>
        <v>94.507528620253225</v>
      </c>
      <c r="BD76" s="86" t="str">
        <f t="shared" si="39"/>
        <v>2.21349840656494-29.2617537517475j</v>
      </c>
      <c r="BE76" s="86">
        <f t="shared" si="40"/>
        <v>29.350787090051288</v>
      </c>
      <c r="BF76" s="86">
        <f t="shared" si="41"/>
        <v>94.325887077744028</v>
      </c>
      <c r="BH76" s="86">
        <f t="shared" si="49"/>
        <v>-28.350787090051288</v>
      </c>
      <c r="BI76" s="159">
        <f t="shared" si="50"/>
        <v>-94.325887077744028</v>
      </c>
      <c r="BJ76" s="88"/>
      <c r="BK76" s="88"/>
      <c r="BL76" s="88"/>
      <c r="BM76" s="88"/>
      <c r="BN76" s="42"/>
      <c r="BO76" s="42"/>
      <c r="BP76" s="42"/>
    </row>
    <row r="77" spans="1:68" s="86" customFormat="1">
      <c r="A77" s="86">
        <v>13</v>
      </c>
      <c r="B77" s="86">
        <f t="shared" si="42"/>
        <v>181.97008586099835</v>
      </c>
      <c r="C77" s="86" t="str">
        <f t="shared" si="0"/>
        <v>1143.35176982803j</v>
      </c>
      <c r="D77" s="86">
        <f t="shared" si="1"/>
        <v>0.99999947019020563</v>
      </c>
      <c r="E77" s="86" t="str">
        <f t="shared" si="2"/>
        <v>-0.00114335176982803j</v>
      </c>
      <c r="F77" s="86" t="str">
        <f t="shared" si="3"/>
        <v>0.999999470190206-0.00114335176982803j</v>
      </c>
      <c r="G77" s="86">
        <f t="shared" si="4"/>
        <v>1.0754604991777432E-6</v>
      </c>
      <c r="H77" s="86">
        <f t="shared" si="5"/>
        <v>-6.5509237071668044E-2</v>
      </c>
      <c r="J77" s="86">
        <f t="shared" si="6"/>
        <v>17.283950617283953</v>
      </c>
      <c r="K77" s="86" t="str">
        <f t="shared" si="7"/>
        <v>1+0.0138059726206735j</v>
      </c>
      <c r="L77" s="86">
        <f t="shared" si="8"/>
        <v>0.99996102448585178</v>
      </c>
      <c r="M77" s="86" t="str">
        <f t="shared" si="9"/>
        <v>0.00307928627886401j</v>
      </c>
      <c r="N77" s="86" t="str">
        <f t="shared" si="10"/>
        <v>0.999961024485852+0.00307928627886401j</v>
      </c>
      <c r="O77" s="86" t="str">
        <f t="shared" si="11"/>
        <v>1.00007200946344+0.0107268826898248j</v>
      </c>
      <c r="P77" s="86" t="str">
        <f t="shared" si="12"/>
        <v>17.285195225294+0.18540291068833j</v>
      </c>
      <c r="R77" s="86">
        <f t="shared" si="13"/>
        <v>6.9135802469135808</v>
      </c>
      <c r="S77" s="86" t="str">
        <f t="shared" si="14"/>
        <v>1+0.0000857513827371023j</v>
      </c>
      <c r="T77" s="86" t="str">
        <f t="shared" si="15"/>
        <v>0.999961024485852+0.00307928627886401j</v>
      </c>
      <c r="U77" s="86" t="str">
        <f t="shared" si="16"/>
        <v>1.00002975808159-0.00299374321246016j</v>
      </c>
      <c r="V77" s="86" t="str">
        <f t="shared" si="17"/>
        <v>6.91378598179865-0.0206974839379962j</v>
      </c>
      <c r="X77" s="86" t="str">
        <f t="shared" si="18"/>
        <v>0.530044248307441+0.0050792234350047j</v>
      </c>
      <c r="Y77" s="86">
        <f t="shared" si="19"/>
        <v>-5.5133586948764846</v>
      </c>
      <c r="Z77" s="86">
        <f t="shared" si="20"/>
        <v>-179.45097195247754</v>
      </c>
      <c r="AB77" s="86" t="str">
        <f t="shared" si="21"/>
        <v>2.38209274455576-0.00713116177577047j</v>
      </c>
      <c r="AC77" s="86">
        <f t="shared" si="22"/>
        <v>7.5392122476629178</v>
      </c>
      <c r="AD77" s="86">
        <f t="shared" si="23"/>
        <v>179.8284767655916</v>
      </c>
      <c r="AF77" s="86" t="str">
        <f t="shared" si="24"/>
        <v>1.5568457080609-0.0098289503702105j</v>
      </c>
      <c r="AG77" s="86">
        <f t="shared" si="25"/>
        <v>3.8450845754529928</v>
      </c>
      <c r="AH77" s="86">
        <f t="shared" si="26"/>
        <v>179.63827507871889</v>
      </c>
      <c r="AJ77" s="86" t="str">
        <f t="shared" si="27"/>
        <v>9999.99711227836-5.37375176640136j</v>
      </c>
      <c r="AK77" s="86" t="str">
        <f t="shared" si="28"/>
        <v>20000-4.57340707931212E-07j</v>
      </c>
      <c r="AL77" s="86" t="str">
        <f t="shared" si="43"/>
        <v>9999.99999999998-19436032.5567735j</v>
      </c>
      <c r="AM77" s="86" t="str">
        <f t="shared" si="44"/>
        <v>963.138998829491-6031872.51454558j</v>
      </c>
      <c r="AN77" s="86" t="str">
        <f t="shared" si="45"/>
        <v>10963.1389988295-6031872.51454558j</v>
      </c>
      <c r="AO77" s="86" t="str">
        <f t="shared" si="46"/>
        <v>19999.6596002552-66.3126519914703j</v>
      </c>
      <c r="AP77" s="86" t="str">
        <f t="shared" si="47"/>
        <v>0.666666709447733+0.00011941671999637j</v>
      </c>
      <c r="AQ77" s="86" t="str">
        <f t="shared" si="29"/>
        <v>1+0.0665430730039913j</v>
      </c>
      <c r="AR77" s="86">
        <f t="shared" si="30"/>
        <v>9.9087014316533079E-8</v>
      </c>
      <c r="AS77" s="86" t="str">
        <f t="shared" si="31"/>
        <v>5.56563061220428E-06j</v>
      </c>
      <c r="AT77" s="86" t="str">
        <f t="shared" si="32"/>
        <v>9.90870143165331E-08+5.56563061220428E-06j</v>
      </c>
      <c r="AU77" s="86" t="str">
        <f t="shared" si="33"/>
        <v>2.27251129808043-26.9106654890188j</v>
      </c>
      <c r="AW77" s="86" t="str">
        <f t="shared" si="48"/>
        <v>1.50395962498746-17.9413693815813j</v>
      </c>
      <c r="AX77" s="86">
        <f t="shared" si="34"/>
        <v>25.107522289300576</v>
      </c>
      <c r="AY77" s="86">
        <f t="shared" si="35"/>
        <v>94.79169387292329</v>
      </c>
      <c r="AZ77" s="86" t="str">
        <f t="shared" si="36"/>
        <v>3.45462850324853-42.7487308106498j</v>
      </c>
      <c r="BA77" s="86">
        <f t="shared" si="37"/>
        <v>32.646734536963521</v>
      </c>
      <c r="BB77" s="86">
        <f t="shared" si="38"/>
        <v>94.620170638514907</v>
      </c>
      <c r="BD77" s="86" t="str">
        <f t="shared" si="39"/>
        <v>2.16508825803343-27.9467262629629j</v>
      </c>
      <c r="BE77" s="86">
        <f t="shared" si="40"/>
        <v>28.952606864753573</v>
      </c>
      <c r="BF77" s="86">
        <f t="shared" si="41"/>
        <v>94.429968951642181</v>
      </c>
      <c r="BH77" s="86">
        <f t="shared" si="49"/>
        <v>-27.952606864753573</v>
      </c>
      <c r="BI77" s="159">
        <f t="shared" si="50"/>
        <v>-94.429968951642181</v>
      </c>
      <c r="BJ77" s="88"/>
      <c r="BK77" s="88"/>
      <c r="BL77" s="88"/>
      <c r="BM77" s="88"/>
      <c r="BN77" s="42"/>
      <c r="BO77" s="42"/>
      <c r="BP77" s="42"/>
    </row>
    <row r="78" spans="1:68" s="86" customFormat="1">
      <c r="A78" s="86">
        <v>14</v>
      </c>
      <c r="B78" s="86">
        <f t="shared" si="42"/>
        <v>190.54607179632475</v>
      </c>
      <c r="C78" s="86" t="str">
        <f t="shared" si="0"/>
        <v>1197.23627865145j</v>
      </c>
      <c r="D78" s="86">
        <f t="shared" si="1"/>
        <v>0.99999941907511236</v>
      </c>
      <c r="E78" s="86" t="str">
        <f t="shared" si="2"/>
        <v>-0.00119723627865145j</v>
      </c>
      <c r="F78" s="86" t="str">
        <f t="shared" si="3"/>
        <v>0.999999419075112-0.00119723627865145j</v>
      </c>
      <c r="G78" s="86">
        <f t="shared" si="4"/>
        <v>1.1792190969811345E-6</v>
      </c>
      <c r="H78" s="86">
        <f t="shared" si="5"/>
        <v>-6.8596592921264452E-2</v>
      </c>
      <c r="J78" s="86">
        <f t="shared" si="6"/>
        <v>17.283950617283953</v>
      </c>
      <c r="K78" s="86" t="str">
        <f t="shared" si="7"/>
        <v>1+0.0144566280647163j</v>
      </c>
      <c r="L78" s="86">
        <f t="shared" si="8"/>
        <v>0.99995726419855302</v>
      </c>
      <c r="M78" s="86" t="str">
        <f t="shared" si="9"/>
        <v>0.00322440857021992j</v>
      </c>
      <c r="N78" s="86" t="str">
        <f t="shared" si="10"/>
        <v>0.999957264198553+0.00322440857021992j</v>
      </c>
      <c r="O78" s="86" t="str">
        <f t="shared" si="11"/>
        <v>1.00007895716745+0.0112324449318654j</v>
      </c>
      <c r="P78" s="86" t="str">
        <f t="shared" si="12"/>
        <v>17.285315309067+0.194141023513723j</v>
      </c>
      <c r="R78" s="86">
        <f t="shared" si="13"/>
        <v>6.9135802469135808</v>
      </c>
      <c r="S78" s="86" t="str">
        <f t="shared" si="14"/>
        <v>1+0.0000897927208988587j</v>
      </c>
      <c r="T78" s="86" t="str">
        <f t="shared" si="15"/>
        <v>0.999957264198553+0.00322440857021992j</v>
      </c>
      <c r="U78" s="86" t="str">
        <f t="shared" si="16"/>
        <v>1.00003262914246-0.00313485502954974j</v>
      </c>
      <c r="V78" s="86" t="str">
        <f t="shared" si="17"/>
        <v>6.91380583110837-0.0216730718092328j</v>
      </c>
      <c r="X78" s="86" t="str">
        <f t="shared" si="18"/>
        <v>0.530048530638215+0.00531860566080552j</v>
      </c>
      <c r="Y78" s="86">
        <f t="shared" si="19"/>
        <v>-5.5132500545150229</v>
      </c>
      <c r="Z78" s="86">
        <f t="shared" si="20"/>
        <v>-179.425102772852</v>
      </c>
      <c r="AB78" s="86" t="str">
        <f t="shared" si="21"/>
        <v>2.38209958348552-0.00746729320880403j</v>
      </c>
      <c r="AC78" s="86">
        <f t="shared" si="22"/>
        <v>7.5392409399543414</v>
      </c>
      <c r="AD78" s="86">
        <f t="shared" si="23"/>
        <v>179.82039248619313</v>
      </c>
      <c r="AF78" s="86" t="str">
        <f t="shared" si="24"/>
        <v>1.55684267248561-0.0102921738391534j</v>
      </c>
      <c r="AG78" s="86">
        <f t="shared" si="25"/>
        <v>3.8450843402713168</v>
      </c>
      <c r="AH78" s="86">
        <f t="shared" si="26"/>
        <v>179.62122728079578</v>
      </c>
      <c r="AJ78" s="86" t="str">
        <f t="shared" si="27"/>
        <v>9999.99683367627-5.62700872796812j</v>
      </c>
      <c r="AK78" s="86" t="str">
        <f t="shared" si="28"/>
        <v>20000-4.7889451146058E-07j</v>
      </c>
      <c r="AL78" s="86" t="str">
        <f t="shared" si="43"/>
        <v>10000-18561266.99339j</v>
      </c>
      <c r="AM78" s="86" t="str">
        <f t="shared" si="44"/>
        <v>963.138987130005-5760393.56270533j</v>
      </c>
      <c r="AN78" s="86" t="str">
        <f t="shared" si="45"/>
        <v>10963.13898713-5760393.56270533j</v>
      </c>
      <c r="AO78" s="86" t="str">
        <f t="shared" si="46"/>
        <v>19999.6267600548-69.4376940957552j</v>
      </c>
      <c r="AP78" s="86" t="str">
        <f t="shared" si="47"/>
        <v>0.666666713575173+0.000125044655074456j</v>
      </c>
      <c r="AQ78" s="86" t="str">
        <f t="shared" si="29"/>
        <v>1+0.0696791514175144j</v>
      </c>
      <c r="AR78" s="86">
        <f t="shared" si="30"/>
        <v>9.8998931104687647E-8</v>
      </c>
      <c r="AS78" s="86" t="str">
        <f t="shared" si="31"/>
        <v>0.0000058279307019451j</v>
      </c>
      <c r="AT78" s="86" t="str">
        <f t="shared" si="32"/>
        <v>9.89989311046876E-08+0.0000058279307019451j</v>
      </c>
      <c r="AU78" s="86" t="str">
        <f t="shared" si="33"/>
        <v>2.22998006473252-25.7002428507286j</v>
      </c>
      <c r="AW78" s="86" t="str">
        <f t="shared" si="48"/>
        <v>1.47560509849764-17.1344463010627j</v>
      </c>
      <c r="AX78" s="86">
        <f t="shared" si="34"/>
        <v>24.709492176719678</v>
      </c>
      <c r="AY78" s="86">
        <f t="shared" si="35"/>
        <v>94.922123298365193</v>
      </c>
      <c r="AZ78" s="86" t="str">
        <f t="shared" si="36"/>
        <v>3.38709035601979-40.8269761729473j</v>
      </c>
      <c r="BA78" s="86">
        <f t="shared" si="37"/>
        <v>32.248733116674003</v>
      </c>
      <c r="BB78" s="86">
        <f t="shared" si="38"/>
        <v>94.742515784558321</v>
      </c>
      <c r="BD78" s="86" t="str">
        <f t="shared" si="39"/>
        <v>2.12093428511028-26.6908243550993j</v>
      </c>
      <c r="BE78" s="86">
        <f t="shared" si="40"/>
        <v>28.554576516990991</v>
      </c>
      <c r="BF78" s="86">
        <f t="shared" si="41"/>
        <v>94.543350579160972</v>
      </c>
      <c r="BH78" s="86">
        <f t="shared" si="49"/>
        <v>-27.554576516990991</v>
      </c>
      <c r="BI78" s="159">
        <f t="shared" si="50"/>
        <v>-94.543350579160972</v>
      </c>
      <c r="BJ78" s="88"/>
      <c r="BK78" s="88"/>
      <c r="BL78" s="88"/>
      <c r="BM78" s="88"/>
      <c r="BN78" s="42"/>
      <c r="BO78" s="42"/>
      <c r="BP78" s="42"/>
    </row>
    <row r="79" spans="1:68" s="86" customFormat="1">
      <c r="A79" s="86">
        <v>15</v>
      </c>
      <c r="B79" s="86">
        <f t="shared" si="42"/>
        <v>199.52623149688799</v>
      </c>
      <c r="C79" s="86" t="str">
        <f t="shared" si="0"/>
        <v>1253.66028613816j</v>
      </c>
      <c r="D79" s="86">
        <f t="shared" si="1"/>
        <v>0.9999993630285271</v>
      </c>
      <c r="E79" s="86" t="str">
        <f t="shared" si="2"/>
        <v>-0.00125366028613816j</v>
      </c>
      <c r="F79" s="86" t="str">
        <f t="shared" si="3"/>
        <v>0.999999363028527-0.00125366028613816j</v>
      </c>
      <c r="G79" s="86">
        <f t="shared" si="4"/>
        <v>1.292988169124875E-6</v>
      </c>
      <c r="H79" s="86">
        <f t="shared" si="5"/>
        <v>-7.1829451461592642E-2</v>
      </c>
      <c r="J79" s="86">
        <f t="shared" si="6"/>
        <v>17.283950617283953</v>
      </c>
      <c r="K79" s="86" t="str">
        <f t="shared" si="7"/>
        <v>1+0.0151379479551183j</v>
      </c>
      <c r="L79" s="86">
        <f t="shared" si="8"/>
        <v>0.99995314112551859</v>
      </c>
      <c r="M79" s="86" t="str">
        <f t="shared" si="9"/>
        <v>0.00337637026445728j</v>
      </c>
      <c r="N79" s="86" t="str">
        <f t="shared" si="10"/>
        <v>0.999953141125519+0.00337637026445728j</v>
      </c>
      <c r="O79" s="86" t="str">
        <f t="shared" si="11"/>
        <v>1.0000865752464+0.0117618365269949j</v>
      </c>
      <c r="P79" s="86" t="str">
        <f t="shared" si="12"/>
        <v>17.2854469795674+0.203291001701146j</v>
      </c>
      <c r="R79" s="86">
        <f t="shared" si="13"/>
        <v>6.9135802469135808</v>
      </c>
      <c r="S79" s="86" t="str">
        <f t="shared" si="14"/>
        <v>1+0.000094024521460362j</v>
      </c>
      <c r="T79" s="86" t="str">
        <f t="shared" si="15"/>
        <v>0.999953141125519+0.00337637026445728j</v>
      </c>
      <c r="U79" s="86" t="str">
        <f t="shared" si="16"/>
        <v>1.00003577720919-0.00328262035999758j</v>
      </c>
      <c r="V79" s="86" t="str">
        <f t="shared" si="17"/>
        <v>6.91382759552033-0.0226946592789956j</v>
      </c>
      <c r="X79" s="86" t="str">
        <f t="shared" si="18"/>
        <v>0.530053226161338+0.00556927048255549j</v>
      </c>
      <c r="Y79" s="86">
        <f t="shared" si="19"/>
        <v>-5.5131309343380668</v>
      </c>
      <c r="Z79" s="86">
        <f t="shared" si="20"/>
        <v>-179.39801526293328</v>
      </c>
      <c r="AB79" s="86" t="str">
        <f t="shared" si="21"/>
        <v>2.38210708224929-0.00781927345610378j</v>
      </c>
      <c r="AC79" s="86">
        <f t="shared" si="22"/>
        <v>7.5392724005028793</v>
      </c>
      <c r="AD79" s="86">
        <f t="shared" si="23"/>
        <v>179.8119271118579</v>
      </c>
      <c r="AF79" s="86" t="str">
        <f t="shared" si="24"/>
        <v>1.55683934403136-0.0107772282551691j</v>
      </c>
      <c r="AG79" s="86">
        <f t="shared" si="25"/>
        <v>3.845084082364838</v>
      </c>
      <c r="AH79" s="86">
        <f t="shared" si="26"/>
        <v>179.60337601119156</v>
      </c>
      <c r="AJ79" s="86" t="str">
        <f t="shared" si="27"/>
        <v>9999.99652819518-5.89220129919135j</v>
      </c>
      <c r="AK79" s="86" t="str">
        <f t="shared" si="28"/>
        <v>20000-5.01464114455264E-07j</v>
      </c>
      <c r="AL79" s="86" t="str">
        <f t="shared" si="43"/>
        <v>10000-17725872.3658518j</v>
      </c>
      <c r="AM79" s="86" t="str">
        <f t="shared" si="44"/>
        <v>963.138974301772-5501133.17792095j</v>
      </c>
      <c r="AN79" s="86" t="str">
        <f t="shared" si="45"/>
        <v>10963.1389743018-5501133.17792095j</v>
      </c>
      <c r="AO79" s="86" t="str">
        <f t="shared" si="46"/>
        <v>19999.5907516839-72.7099886895061j</v>
      </c>
      <c r="AP79" s="86" t="str">
        <f t="shared" si="47"/>
        <v>0.666666718100821+0.000130937826331906j</v>
      </c>
      <c r="AQ79" s="86" t="str">
        <f t="shared" si="29"/>
        <v>1+0.0729630286532409j</v>
      </c>
      <c r="AR79" s="86">
        <f t="shared" si="30"/>
        <v>9.8902349783452857E-8</v>
      </c>
      <c r="AS79" s="86" t="str">
        <f t="shared" si="31"/>
        <v>6.10259261406906E-06j</v>
      </c>
      <c r="AT79" s="86" t="str">
        <f t="shared" si="32"/>
        <v>9.89023497834529E-08+6.10259261406906E-06j</v>
      </c>
      <c r="AU79" s="86" t="str">
        <f t="shared" si="33"/>
        <v>2.19118901192379-24.5442053452146j</v>
      </c>
      <c r="AW79" s="86" t="str">
        <f t="shared" si="48"/>
        <v>1.44974404776867-16.3637819921128j</v>
      </c>
      <c r="AX79" s="86">
        <f t="shared" si="34"/>
        <v>24.311628466642489</v>
      </c>
      <c r="AY79" s="86">
        <f t="shared" si="35"/>
        <v>95.062882709888797</v>
      </c>
      <c r="AZ79" s="86" t="str">
        <f t="shared" si="36"/>
        <v>3.3254926774661-38.9916169209461j</v>
      </c>
      <c r="BA79" s="86">
        <f t="shared" si="37"/>
        <v>31.850900867145363</v>
      </c>
      <c r="BB79" s="86">
        <f t="shared" si="38"/>
        <v>94.874809821746695</v>
      </c>
      <c r="BD79" s="86" t="str">
        <f t="shared" si="39"/>
        <v>2.08066235869471-25.4914038449874j</v>
      </c>
      <c r="BE79" s="86">
        <f t="shared" si="40"/>
        <v>28.156712549007313</v>
      </c>
      <c r="BF79" s="86">
        <f t="shared" si="41"/>
        <v>94.666258721080354</v>
      </c>
      <c r="BH79" s="86">
        <f t="shared" si="49"/>
        <v>-27.156712549007313</v>
      </c>
      <c r="BI79" s="159">
        <f t="shared" si="50"/>
        <v>-94.666258721080354</v>
      </c>
      <c r="BJ79" s="88"/>
      <c r="BK79" s="88"/>
      <c r="BL79" s="88"/>
      <c r="BM79" s="88"/>
      <c r="BN79" s="42"/>
      <c r="BO79" s="42"/>
      <c r="BP79" s="42"/>
    </row>
    <row r="80" spans="1:68" s="86" customFormat="1">
      <c r="A80" s="86">
        <v>16</v>
      </c>
      <c r="B80" s="86">
        <f t="shared" si="42"/>
        <v>208.92961308540396</v>
      </c>
      <c r="C80" s="86" t="str">
        <f t="shared" si="0"/>
        <v>1312.74347517293j</v>
      </c>
      <c r="D80" s="86">
        <f t="shared" si="1"/>
        <v>0.99999930157466843</v>
      </c>
      <c r="E80" s="86" t="str">
        <f t="shared" si="2"/>
        <v>-0.00131274347517293j</v>
      </c>
      <c r="F80" s="86" t="str">
        <f t="shared" si="3"/>
        <v>0.999999301574668-0.00131274347517293j</v>
      </c>
      <c r="G80" s="86">
        <f t="shared" si="4"/>
        <v>1.4177335005877068E-6</v>
      </c>
      <c r="H80" s="86">
        <f t="shared" si="5"/>
        <v>-7.5214670036867132E-2</v>
      </c>
      <c r="J80" s="86">
        <f t="shared" si="6"/>
        <v>17.283950617283953</v>
      </c>
      <c r="K80" s="86" t="str">
        <f t="shared" si="7"/>
        <v>1+0.0158513774627131j</v>
      </c>
      <c r="L80" s="86">
        <f t="shared" si="8"/>
        <v>0.99994862026583531</v>
      </c>
      <c r="M80" s="86" t="str">
        <f t="shared" si="9"/>
        <v>0.00353549369270339j</v>
      </c>
      <c r="N80" s="86" t="str">
        <f t="shared" si="10"/>
        <v>0.999948620265835+0.00353549369270339j</v>
      </c>
      <c r="O80" s="86" t="str">
        <f t="shared" si="11"/>
        <v>1.00009492839164+0.0123161809533831j</v>
      </c>
      <c r="P80" s="86" t="str">
        <f t="shared" si="12"/>
        <v>17.2855913549172+0.212872263391807j</v>
      </c>
      <c r="R80" s="86">
        <f t="shared" si="13"/>
        <v>6.9135802469135808</v>
      </c>
      <c r="S80" s="86" t="str">
        <f t="shared" si="14"/>
        <v>1+0.0000984557606379697j</v>
      </c>
      <c r="T80" s="86" t="str">
        <f t="shared" si="15"/>
        <v>0.999948620265835+0.00353549369270339j</v>
      </c>
      <c r="U80" s="86" t="str">
        <f t="shared" si="16"/>
        <v>1.00003922900905-0.00343735323627502j</v>
      </c>
      <c r="V80" s="86" t="str">
        <f t="shared" si="17"/>
        <v>6.91385145981566-0.0237644174359754j</v>
      </c>
      <c r="X80" s="86" t="str">
        <f t="shared" si="18"/>
        <v>0.53005837474912+0.00583174975989422j</v>
      </c>
      <c r="Y80" s="86">
        <f t="shared" si="19"/>
        <v>-5.5130003235975336</v>
      </c>
      <c r="Z80" s="86">
        <f t="shared" si="20"/>
        <v>-179.36965212997413</v>
      </c>
      <c r="AB80" s="86" t="str">
        <f t="shared" si="21"/>
        <v>2.38211530451201-0.00818785054988127j</v>
      </c>
      <c r="AC80" s="86">
        <f t="shared" si="22"/>
        <v>7.5393068964005021</v>
      </c>
      <c r="AD80" s="86">
        <f t="shared" si="23"/>
        <v>179.80306266812025</v>
      </c>
      <c r="AF80" s="86" t="str">
        <f t="shared" si="24"/>
        <v>1.55683569443926-0.0112851424638968j</v>
      </c>
      <c r="AG80" s="86">
        <f t="shared" si="25"/>
        <v>3.8450837995340321</v>
      </c>
      <c r="AH80" s="86">
        <f t="shared" si="26"/>
        <v>179.58468339845729</v>
      </c>
      <c r="AJ80" s="86" t="str">
        <f t="shared" si="27"/>
        <v>9999.99619324184-6.16989198458321j</v>
      </c>
      <c r="AK80" s="86" t="str">
        <f t="shared" si="28"/>
        <v>20000-5.25097390069172E-07j</v>
      </c>
      <c r="AL80" s="86" t="str">
        <f t="shared" si="43"/>
        <v>10000-16928076.6901507j</v>
      </c>
      <c r="AM80" s="86" t="str">
        <f t="shared" si="44"/>
        <v>963.138960235892-5253541.43415674j</v>
      </c>
      <c r="AN80" s="86" t="str">
        <f t="shared" si="45"/>
        <v>10963.1389602359-5253541.43415674j</v>
      </c>
      <c r="AO80" s="86" t="str">
        <f t="shared" si="46"/>
        <v>19999.5512695223-76.1364716862936j</v>
      </c>
      <c r="AP80" s="86" t="str">
        <f t="shared" si="47"/>
        <v>0.666666723063095+0.000137108733930757j</v>
      </c>
      <c r="AQ80" s="86" t="str">
        <f t="shared" si="29"/>
        <v>1+0.0764016702550645j</v>
      </c>
      <c r="AR80" s="86">
        <f t="shared" si="30"/>
        <v>9.8796450470564202E-8</v>
      </c>
      <c r="AS80" s="86" t="str">
        <f t="shared" si="31"/>
        <v>6.39019894331629E-06j</v>
      </c>
      <c r="AT80" s="86" t="str">
        <f t="shared" si="32"/>
        <v>9.87964504705642E-08+6.39019894331629E-06j</v>
      </c>
      <c r="AU80" s="86" t="str">
        <f t="shared" si="33"/>
        <v>2.15580939841575-23.4401174380044j</v>
      </c>
      <c r="AW80" s="86" t="str">
        <f t="shared" si="48"/>
        <v>1.42615730901753-15.6277528232419j</v>
      </c>
      <c r="AX80" s="86">
        <f t="shared" si="34"/>
        <v>23.913949032452962</v>
      </c>
      <c r="AY80" s="86">
        <f t="shared" si="35"/>
        <v>95.21425486581073</v>
      </c>
      <c r="AZ80" s="86" t="str">
        <f t="shared" si="36"/>
        <v>3.26931344790513-37.2387863382822j</v>
      </c>
      <c r="BA80" s="86">
        <f t="shared" si="37"/>
        <v>31.453255928853476</v>
      </c>
      <c r="BB80" s="86">
        <f t="shared" si="38"/>
        <v>95.017317533930964</v>
      </c>
      <c r="BD80" s="86" t="str">
        <f t="shared" si="39"/>
        <v>2.04393118756308-24.3459378075052j</v>
      </c>
      <c r="BE80" s="86">
        <f t="shared" si="40"/>
        <v>27.759032831987028</v>
      </c>
      <c r="BF80" s="86">
        <f t="shared" si="41"/>
        <v>94.798938264267989</v>
      </c>
      <c r="BH80" s="86">
        <f t="shared" si="49"/>
        <v>-26.759032831987028</v>
      </c>
      <c r="BI80" s="159">
        <f t="shared" si="50"/>
        <v>-94.798938264267989</v>
      </c>
      <c r="BJ80" s="88"/>
      <c r="BK80" s="88"/>
      <c r="BL80" s="88"/>
      <c r="BM80" s="88"/>
      <c r="BN80" s="42"/>
      <c r="BO80" s="42"/>
      <c r="BP80" s="42"/>
    </row>
    <row r="81" spans="1:68" s="86" customFormat="1">
      <c r="A81" s="86">
        <v>17</v>
      </c>
      <c r="B81" s="86">
        <f t="shared" si="42"/>
        <v>218.77616239495526</v>
      </c>
      <c r="C81" s="86" t="str">
        <f t="shared" si="0"/>
        <v>1374.61116912112j</v>
      </c>
      <c r="D81" s="86">
        <f t="shared" si="1"/>
        <v>0.99999923419185233</v>
      </c>
      <c r="E81" s="86" t="str">
        <f t="shared" si="2"/>
        <v>-0.00137461116912112j</v>
      </c>
      <c r="F81" s="86" t="str">
        <f t="shared" si="3"/>
        <v>0.999999234191852-0.00137461116912112j</v>
      </c>
      <c r="G81" s="86">
        <f t="shared" si="4"/>
        <v>1.5545140727006114E-6</v>
      </c>
      <c r="H81" s="86">
        <f t="shared" si="5"/>
        <v>-7.8759429170003142E-2</v>
      </c>
      <c r="J81" s="86">
        <f t="shared" si="6"/>
        <v>17.283950617283953</v>
      </c>
      <c r="K81" s="86" t="str">
        <f t="shared" si="7"/>
        <v>1+0.0165984298671375j</v>
      </c>
      <c r="L81" s="86">
        <f t="shared" si="8"/>
        <v>0.99994366324176487</v>
      </c>
      <c r="M81" s="86" t="str">
        <f t="shared" si="9"/>
        <v>0.00370211637708361j</v>
      </c>
      <c r="N81" s="86" t="str">
        <f t="shared" si="10"/>
        <v>0.999943663241765+0.00370211637708361j</v>
      </c>
      <c r="O81" s="86" t="str">
        <f t="shared" si="11"/>
        <v>1.00010408753877+0.0128966547015899j</v>
      </c>
      <c r="P81" s="86" t="str">
        <f t="shared" si="12"/>
        <v>17.2857496611639+0.222905142990443j</v>
      </c>
      <c r="R81" s="86">
        <f t="shared" si="13"/>
        <v>6.9135802469135808</v>
      </c>
      <c r="S81" s="86" t="str">
        <f t="shared" si="14"/>
        <v>1+0.000103095837684084j</v>
      </c>
      <c r="T81" s="86" t="str">
        <f t="shared" si="15"/>
        <v>0.999943663241765+0.00370211637708361j</v>
      </c>
      <c r="U81" s="86" t="str">
        <f t="shared" si="16"/>
        <v>1.00004301384838-0.00359938255921707j</v>
      </c>
      <c r="V81" s="86" t="str">
        <f t="shared" si="17"/>
        <v>6.91387762660608-0.0248846201624884j</v>
      </c>
      <c r="X81" s="86" t="str">
        <f t="shared" si="18"/>
        <v>0.530064020122337+0.00610660043708416j</v>
      </c>
      <c r="Y81" s="86">
        <f t="shared" si="19"/>
        <v>-5.5128571140962324</v>
      </c>
      <c r="Z81" s="86">
        <f t="shared" si="20"/>
        <v>-179.33995339967166</v>
      </c>
      <c r="AB81" s="86" t="str">
        <f t="shared" si="21"/>
        <v>2.38212432008203-0.00857380793911535j</v>
      </c>
      <c r="AC81" s="86">
        <f t="shared" si="22"/>
        <v>7.5393447205110391</v>
      </c>
      <c r="AD81" s="86">
        <f t="shared" si="23"/>
        <v>179.79378033132744</v>
      </c>
      <c r="AF81" s="86" t="str">
        <f t="shared" si="24"/>
        <v>1.5568316927236-0.0118169937967184j</v>
      </c>
      <c r="AG81" s="86">
        <f t="shared" si="25"/>
        <v>3.8450834893659858</v>
      </c>
      <c r="AH81" s="86">
        <f t="shared" si="26"/>
        <v>179.56510978557759</v>
      </c>
      <c r="AJ81" s="86" t="str">
        <f t="shared" si="27"/>
        <v>9999.99582597283-6.46066979816701j</v>
      </c>
      <c r="AK81" s="86" t="str">
        <f t="shared" si="28"/>
        <v>20000-5.49844467648448E-07j</v>
      </c>
      <c r="AL81" s="86" t="str">
        <f t="shared" si="43"/>
        <v>10000-16166187.7346962j</v>
      </c>
      <c r="AM81" s="86" t="str">
        <f t="shared" si="44"/>
        <v>963.13894481297-5017093.15612895j</v>
      </c>
      <c r="AN81" s="86" t="str">
        <f t="shared" si="45"/>
        <v>10963.138944813-5017093.15612895j</v>
      </c>
      <c r="AO81" s="86" t="str">
        <f t="shared" si="46"/>
        <v>19999.5079784714-79.7244053040947j</v>
      </c>
      <c r="AP81" s="86" t="str">
        <f t="shared" si="47"/>
        <v>0.66666672850412+0.000143570467142499j</v>
      </c>
      <c r="AQ81" s="86" t="str">
        <f t="shared" si="29"/>
        <v>1+0.0800023700428492j</v>
      </c>
      <c r="AR81" s="86">
        <f t="shared" si="30"/>
        <v>9.8680334182995263E-8</v>
      </c>
      <c r="AS81" s="86" t="str">
        <f t="shared" si="31"/>
        <v>6.69135974127117E-06j</v>
      </c>
      <c r="AT81" s="86" t="str">
        <f t="shared" si="32"/>
        <v>9.86803341829953E-08+6.69135974127117E-06j</v>
      </c>
      <c r="AU81" s="86" t="str">
        <f t="shared" si="33"/>
        <v>2.12354134907283-22.3856516495653j</v>
      </c>
      <c r="AW81" s="86" t="str">
        <f t="shared" si="48"/>
        <v>1.4046449626914-14.9248072039706j</v>
      </c>
      <c r="AX81" s="86">
        <f t="shared" si="34"/>
        <v>23.516473259644364</v>
      </c>
      <c r="AY81" s="86">
        <f t="shared" si="35"/>
        <v>95.376542661433589</v>
      </c>
      <c r="AZ81" s="86" t="str">
        <f t="shared" si="36"/>
        <v>3.21807649621273-35.5647893692466j</v>
      </c>
      <c r="BA81" s="86">
        <f t="shared" si="37"/>
        <v>31.055817980155403</v>
      </c>
      <c r="BB81" s="86">
        <f t="shared" si="38"/>
        <v>95.170322992761029</v>
      </c>
      <c r="BD81" s="86" t="str">
        <f t="shared" si="39"/>
        <v>2.010429440796-23.2520115437417j</v>
      </c>
      <c r="BE81" s="86">
        <f t="shared" si="40"/>
        <v>27.361556749010369</v>
      </c>
      <c r="BF81" s="86">
        <f t="shared" si="41"/>
        <v>94.941652447011194</v>
      </c>
      <c r="BH81" s="86">
        <f t="shared" si="49"/>
        <v>-26.361556749010369</v>
      </c>
      <c r="BI81" s="159">
        <f t="shared" si="50"/>
        <v>-94.941652447011194</v>
      </c>
      <c r="BJ81" s="88"/>
      <c r="BK81" s="88"/>
      <c r="BL81" s="88"/>
      <c r="BM81" s="88"/>
      <c r="BN81" s="42"/>
      <c r="BO81" s="42"/>
      <c r="BP81" s="42"/>
    </row>
    <row r="82" spans="1:68" s="86" customFormat="1">
      <c r="A82" s="86">
        <v>18</v>
      </c>
      <c r="B82" s="86">
        <f t="shared" si="42"/>
        <v>229.08676527677733</v>
      </c>
      <c r="C82" s="86" t="str">
        <f t="shared" si="0"/>
        <v>1439.39459765635j</v>
      </c>
      <c r="D82" s="86">
        <f t="shared" si="1"/>
        <v>0.99999916030806357</v>
      </c>
      <c r="E82" s="86" t="str">
        <f t="shared" si="2"/>
        <v>-0.00143939459765635j</v>
      </c>
      <c r="F82" s="86" t="str">
        <f t="shared" si="3"/>
        <v>0.999999160308064-0.00143939459765635j</v>
      </c>
      <c r="G82" s="86">
        <f t="shared" si="4"/>
        <v>1.7044910294410561E-6</v>
      </c>
      <c r="H82" s="86">
        <f t="shared" si="5"/>
        <v>-8.2471247793860045E-2</v>
      </c>
      <c r="J82" s="86">
        <f t="shared" si="6"/>
        <v>17.283950617283953</v>
      </c>
      <c r="K82" s="86" t="str">
        <f t="shared" si="7"/>
        <v>1+0.0173806897667004j</v>
      </c>
      <c r="L82" s="86">
        <f t="shared" si="8"/>
        <v>0.99993822797295373</v>
      </c>
      <c r="M82" s="86" t="str">
        <f t="shared" si="9"/>
        <v>0.00387659174665102j</v>
      </c>
      <c r="N82" s="86" t="str">
        <f t="shared" si="10"/>
        <v>0.999938227972954+0.00387659174665102j</v>
      </c>
      <c r="O82" s="86" t="str">
        <f t="shared" si="11"/>
        <v>1.00011413047075+0.0135044897825165j</v>
      </c>
      <c r="P82" s="86" t="str">
        <f t="shared" si="12"/>
        <v>17.2859232427043+0.233410934512631j</v>
      </c>
      <c r="R82" s="86">
        <f t="shared" si="13"/>
        <v>6.9135802469135808</v>
      </c>
      <c r="S82" s="86" t="str">
        <f t="shared" si="14"/>
        <v>1+0.000107954594824226j</v>
      </c>
      <c r="T82" s="86" t="str">
        <f t="shared" si="15"/>
        <v>0.999938227972954+0.00387659174665102j</v>
      </c>
      <c r="U82" s="86" t="str">
        <f t="shared" si="16"/>
        <v>1.00004716386144-0.00376905280889485j</v>
      </c>
      <c r="V82" s="86" t="str">
        <f t="shared" si="17"/>
        <v>6.9139063180544-0.0260576490491496j</v>
      </c>
      <c r="X82" s="86" t="str">
        <f t="shared" si="18"/>
        <v>0.530070210221885+0.00639440572800398j</v>
      </c>
      <c r="Y82" s="86">
        <f t="shared" si="19"/>
        <v>-5.5127000907990844</v>
      </c>
      <c r="Z82" s="86">
        <f t="shared" si="20"/>
        <v>-179.30885629253828</v>
      </c>
      <c r="AB82" s="86" t="str">
        <f t="shared" si="21"/>
        <v>2.38213420550386-0.00897796618286577j</v>
      </c>
      <c r="AC82" s="86">
        <f t="shared" si="22"/>
        <v>7.5393861939566289</v>
      </c>
      <c r="AD82" s="86">
        <f t="shared" si="23"/>
        <v>179.78406038831093</v>
      </c>
      <c r="AF82" s="86" t="str">
        <f t="shared" si="24"/>
        <v>1.55682730490855-0.0123739103554865j</v>
      </c>
      <c r="AG82" s="86">
        <f t="shared" si="25"/>
        <v>3.8450831492128379</v>
      </c>
      <c r="AH82" s="86">
        <f t="shared" si="26"/>
        <v>179.54461364570997</v>
      </c>
      <c r="AJ82" s="86" t="str">
        <f t="shared" si="27"/>
        <v>9999.9954232704-6.76515151275651j</v>
      </c>
      <c r="AK82" s="86" t="str">
        <f t="shared" si="28"/>
        <v>20000-5.7575783906254E-07j</v>
      </c>
      <c r="AL82" s="86" t="str">
        <f t="shared" si="43"/>
        <v>9999.99999999999-15438589.4308655j</v>
      </c>
      <c r="AM82" s="86" t="str">
        <f t="shared" si="44"/>
        <v>963.138927902064-4791286.8053387j</v>
      </c>
      <c r="AN82" s="86" t="str">
        <f t="shared" si="45"/>
        <v>10963.1389279021-4791286.8053387j</v>
      </c>
      <c r="AO82" s="86" t="str">
        <f t="shared" si="46"/>
        <v>19999.460511113-83.4813933583632j</v>
      </c>
      <c r="AP82" s="86" t="str">
        <f t="shared" si="47"/>
        <v>0.666666734470084+0.000150336732111202j</v>
      </c>
      <c r="AQ82" s="86" t="str">
        <f t="shared" si="29"/>
        <v>1+0.0837727655835996j</v>
      </c>
      <c r="AR82" s="86">
        <f t="shared" si="30"/>
        <v>9.855301520545881E-8</v>
      </c>
      <c r="AS82" s="86" t="str">
        <f t="shared" si="31"/>
        <v>7.00671381036353E-06j</v>
      </c>
      <c r="AT82" s="86" t="str">
        <f t="shared" si="32"/>
        <v>9.85530152054588E-08+7.00671381036353E-06j</v>
      </c>
      <c r="AU82" s="86" t="str">
        <f t="shared" si="33"/>
        <v>2.09411132496877-21.3785838938064j</v>
      </c>
      <c r="AW82" s="86" t="str">
        <f t="shared" si="48"/>
        <v>1.38502464684819-14.2534624773002j</v>
      </c>
      <c r="AX82" s="86">
        <f t="shared" si="34"/>
        <v>23.119222199901834</v>
      </c>
      <c r="AY82" s="86">
        <f t="shared" si="35"/>
        <v>95.550069434281582</v>
      </c>
      <c r="AZ82" s="86" t="str">
        <f t="shared" si="36"/>
        <v>3.17134748261303-33.9660952184844j</v>
      </c>
      <c r="BA82" s="86">
        <f t="shared" si="37"/>
        <v>30.658608393858454</v>
      </c>
      <c r="BB82" s="86">
        <f t="shared" si="38"/>
        <v>95.334129822592516</v>
      </c>
      <c r="BD82" s="86" t="str">
        <f t="shared" si="39"/>
        <v>1.97987312123518-22.2073177449706j</v>
      </c>
      <c r="BE82" s="86">
        <f t="shared" si="40"/>
        <v>26.964305349114646</v>
      </c>
      <c r="BF82" s="86">
        <f t="shared" si="41"/>
        <v>95.094683079991569</v>
      </c>
      <c r="BH82" s="86">
        <f t="shared" si="49"/>
        <v>-25.964305349114646</v>
      </c>
      <c r="BI82" s="159">
        <f t="shared" si="50"/>
        <v>-95.094683079991569</v>
      </c>
      <c r="BJ82" s="88"/>
      <c r="BK82" s="88"/>
      <c r="BL82" s="88"/>
      <c r="BM82" s="88"/>
      <c r="BN82" s="42"/>
      <c r="BO82" s="42"/>
      <c r="BP82" s="42"/>
    </row>
    <row r="83" spans="1:68" s="86" customFormat="1">
      <c r="A83" s="86">
        <v>19</v>
      </c>
      <c r="B83" s="86">
        <f t="shared" si="42"/>
        <v>239.88329190194909</v>
      </c>
      <c r="C83" s="86" t="str">
        <f t="shared" si="0"/>
        <v>1507.2311751162j</v>
      </c>
      <c r="D83" s="86">
        <f t="shared" si="1"/>
        <v>0.99999907929610021</v>
      </c>
      <c r="E83" s="86" t="str">
        <f t="shared" si="2"/>
        <v>-0.0015072311751162j</v>
      </c>
      <c r="F83" s="86" t="str">
        <f t="shared" si="3"/>
        <v>0.9999990792961-0.0015072311751162j</v>
      </c>
      <c r="G83" s="86">
        <f t="shared" si="4"/>
        <v>1.8689375328326048E-6</v>
      </c>
      <c r="H83" s="86">
        <f t="shared" si="5"/>
        <v>-8.6357999200353391E-2</v>
      </c>
      <c r="J83" s="86">
        <f t="shared" si="6"/>
        <v>17.283950617283953</v>
      </c>
      <c r="K83" s="86" t="str">
        <f t="shared" si="7"/>
        <v>1+0.0181998164395281j</v>
      </c>
      <c r="L83" s="86">
        <f t="shared" si="8"/>
        <v>0.99993226831921223</v>
      </c>
      <c r="M83" s="86" t="str">
        <f t="shared" si="9"/>
        <v>0.00405928988705678j</v>
      </c>
      <c r="N83" s="86" t="str">
        <f t="shared" si="10"/>
        <v>0.999932268319212+0.00405928988705678j</v>
      </c>
      <c r="O83" s="86" t="str">
        <f t="shared" si="11"/>
        <v>1.00012514247921+0.0141409763549675j</v>
      </c>
      <c r="P83" s="86" t="str">
        <f t="shared" si="12"/>
        <v>17.2861135737147+0.244411936999438j</v>
      </c>
      <c r="R83" s="86">
        <f t="shared" si="13"/>
        <v>6.9135802469135808</v>
      </c>
      <c r="S83" s="86" t="str">
        <f t="shared" si="14"/>
        <v>1+0.000113042338133715j</v>
      </c>
      <c r="T83" s="86" t="str">
        <f t="shared" si="15"/>
        <v>0.999932268319212+0.00405928988705678j</v>
      </c>
      <c r="U83" s="86" t="str">
        <f t="shared" si="16"/>
        <v>1.00005171428345-0.00394672479049457j</v>
      </c>
      <c r="V83" s="86" t="str">
        <f t="shared" si="17"/>
        <v>6.91393777776212-0.0272859985515674j</v>
      </c>
      <c r="X83" s="86" t="str">
        <f t="shared" si="18"/>
        <v>0.530076997616319+0.00669577635740167j</v>
      </c>
      <c r="Y83" s="86">
        <f t="shared" si="19"/>
        <v>-5.5125279215418708</v>
      </c>
      <c r="Z83" s="86">
        <f t="shared" si="20"/>
        <v>-179.27629509485268</v>
      </c>
      <c r="AB83" s="86" t="str">
        <f t="shared" si="21"/>
        <v>2.38214504470856-0.00940118472697333j</v>
      </c>
      <c r="AC83" s="86">
        <f t="shared" si="22"/>
        <v>7.5394316688456193</v>
      </c>
      <c r="AD83" s="86">
        <f t="shared" si="23"/>
        <v>179.77388219411137</v>
      </c>
      <c r="AF83" s="86" t="str">
        <f t="shared" si="24"/>
        <v>1.5568224937397-0.0129570734048759j</v>
      </c>
      <c r="AG83" s="86">
        <f t="shared" si="25"/>
        <v>3.8450827761695603</v>
      </c>
      <c r="AH83" s="86">
        <f t="shared" si="26"/>
        <v>179.52315149393658</v>
      </c>
      <c r="AJ83" s="86" t="str">
        <f t="shared" si="27"/>
        <v>9999.99498171601-7.08398296810052j</v>
      </c>
      <c r="AK83" s="86" t="str">
        <f t="shared" si="28"/>
        <v>20000-6.0289247004648E-07j</v>
      </c>
      <c r="AL83" s="86" t="str">
        <f t="shared" si="43"/>
        <v>10000-14743738.4451055j</v>
      </c>
      <c r="AM83" s="86" t="str">
        <f t="shared" si="44"/>
        <v>963.138909359631-4575643.41624159j</v>
      </c>
      <c r="AN83" s="86" t="str">
        <f t="shared" si="45"/>
        <v>10963.1389093596-4575643.41624159j</v>
      </c>
      <c r="AO83" s="86" t="str">
        <f t="shared" si="46"/>
        <v>19999.4084645923-87.4153972632145j</v>
      </c>
      <c r="AP83" s="86" t="str">
        <f t="shared" si="47"/>
        <v>0.666666741011634+0.00015742188092497j</v>
      </c>
      <c r="AQ83" s="86" t="str">
        <f t="shared" si="29"/>
        <v>1+0.0877208543917628j</v>
      </c>
      <c r="AR83" s="86">
        <f t="shared" si="30"/>
        <v>9.8413412722634864E-8</v>
      </c>
      <c r="AS83" s="86" t="str">
        <f t="shared" si="31"/>
        <v>7.33693005885414E-06j</v>
      </c>
      <c r="AT83" s="86" t="str">
        <f t="shared" si="32"/>
        <v>9.84134127226349E-08+7.33693005885414E-06j</v>
      </c>
      <c r="AU83" s="86" t="str">
        <f t="shared" si="33"/>
        <v>2.06726981441385-20.416789000431j</v>
      </c>
      <c r="AW83" s="86" t="str">
        <f t="shared" si="48"/>
        <v>1.36713001781903-13.6123019347575j</v>
      </c>
      <c r="AX83" s="86">
        <f t="shared" si="34"/>
        <v>22.722218737257116</v>
      </c>
      <c r="AY83" s="86">
        <f t="shared" si="35"/>
        <v>95.735179263527627</v>
      </c>
      <c r="AZ83" s="86" t="str">
        <f t="shared" si="36"/>
        <v>3.12873023237193-32.4393302428026j</v>
      </c>
      <c r="BA83" s="86">
        <f t="shared" si="37"/>
        <v>30.261650406102728</v>
      </c>
      <c r="BB83" s="86">
        <f t="shared" si="38"/>
        <v>95.509061457638992</v>
      </c>
      <c r="BD83" s="86" t="str">
        <f t="shared" si="39"/>
        <v>1.95200316822943-21.2096518476018j</v>
      </c>
      <c r="BE83" s="86">
        <f t="shared" si="40"/>
        <v>26.567301513426674</v>
      </c>
      <c r="BF83" s="86">
        <f t="shared" si="41"/>
        <v>95.258330757464194</v>
      </c>
      <c r="BH83" s="86">
        <f t="shared" si="49"/>
        <v>-25.567301513426674</v>
      </c>
      <c r="BI83" s="159">
        <f t="shared" si="50"/>
        <v>-95.258330757464194</v>
      </c>
      <c r="BJ83" s="88"/>
      <c r="BK83" s="88"/>
      <c r="BL83" s="88"/>
      <c r="BM83" s="88"/>
      <c r="BN83" s="42"/>
      <c r="BO83" s="42"/>
      <c r="BP83" s="42"/>
    </row>
    <row r="84" spans="1:68" s="86" customFormat="1">
      <c r="A84" s="86">
        <v>20</v>
      </c>
      <c r="B84" s="86">
        <f t="shared" si="42"/>
        <v>251.18864315095806</v>
      </c>
      <c r="C84" s="86" t="str">
        <f t="shared" si="0"/>
        <v>1578.26479197648j</v>
      </c>
      <c r="D84" s="86">
        <f t="shared" si="1"/>
        <v>0.99999899046824881</v>
      </c>
      <c r="E84" s="86" t="str">
        <f t="shared" si="2"/>
        <v>-0.00157826479197648j</v>
      </c>
      <c r="F84" s="86" t="str">
        <f t="shared" si="3"/>
        <v>0.999998990468249-0.00157826479197648j</v>
      </c>
      <c r="G84" s="86">
        <f t="shared" si="4"/>
        <v>2.0492496058103641E-6</v>
      </c>
      <c r="H84" s="86">
        <f t="shared" si="5"/>
        <v>-9.0427927741279626E-2</v>
      </c>
      <c r="J84" s="86">
        <f t="shared" si="6"/>
        <v>17.283950617283953</v>
      </c>
      <c r="K84" s="86" t="str">
        <f t="shared" si="7"/>
        <v>1+0.019057547363116j</v>
      </c>
      <c r="L84" s="86">
        <f t="shared" si="8"/>
        <v>0.99992573368882809</v>
      </c>
      <c r="M84" s="86" t="str">
        <f t="shared" si="9"/>
        <v>0.00425059832555147j</v>
      </c>
      <c r="N84" s="86" t="str">
        <f t="shared" si="10"/>
        <v>0.999925733688828+0.00425059832555147j</v>
      </c>
      <c r="O84" s="86" t="str">
        <f t="shared" si="11"/>
        <v>1.00013721708975+0.0148074654786715j</v>
      </c>
      <c r="P84" s="86" t="str">
        <f t="shared" si="12"/>
        <v>17.286322270687+0.255931502100495j</v>
      </c>
      <c r="R84" s="86">
        <f t="shared" si="13"/>
        <v>6.9135802469135808</v>
      </c>
      <c r="S84" s="86" t="str">
        <f t="shared" si="14"/>
        <v>1+0.000118369859398236j</v>
      </c>
      <c r="T84" s="86" t="str">
        <f t="shared" si="15"/>
        <v>0.999925733688828+0.00425059832555147j</v>
      </c>
      <c r="U84" s="86" t="str">
        <f t="shared" si="16"/>
        <v>1.00005670374983-0.00413277641707672j</v>
      </c>
      <c r="V84" s="86" t="str">
        <f t="shared" si="17"/>
        <v>6.91397227283833-0.0285722814020119j</v>
      </c>
      <c r="X84" s="86" t="str">
        <f t="shared" si="18"/>
        <v>0.530084439948819+0.00701135186112082j</v>
      </c>
      <c r="Y84" s="86">
        <f t="shared" si="19"/>
        <v>-5.5123391457498858</v>
      </c>
      <c r="Z84" s="86">
        <f t="shared" si="20"/>
        <v>-179.24220102399582</v>
      </c>
      <c r="AB84" s="86" t="str">
        <f t="shared" si="21"/>
        <v>2.38215692972655-0.00984436376860939j</v>
      </c>
      <c r="AC84" s="86">
        <f t="shared" si="22"/>
        <v>7.5394815312624788</v>
      </c>
      <c r="AD84" s="86">
        <f t="shared" si="23"/>
        <v>179.76322412765899</v>
      </c>
      <c r="AF84" s="86" t="str">
        <f t="shared" si="24"/>
        <v>1.55681721836751-0.013567719877427j</v>
      </c>
      <c r="AG84" s="86">
        <f t="shared" si="25"/>
        <v>3.845082367048211</v>
      </c>
      <c r="AH84" s="86">
        <f t="shared" si="26"/>
        <v>179.50067779483848</v>
      </c>
      <c r="AJ84" s="86" t="str">
        <f t="shared" si="27"/>
        <v>9999.99449756129-7.41784044066597j</v>
      </c>
      <c r="AK84" s="86" t="str">
        <f t="shared" si="28"/>
        <v>20000-6.31305916790592E-07j</v>
      </c>
      <c r="AL84" s="86" t="str">
        <f t="shared" si="43"/>
        <v>10000-14080160.9053149j</v>
      </c>
      <c r="AM84" s="86" t="str">
        <f t="shared" si="44"/>
        <v>963.138889028259-4369705.58029752j</v>
      </c>
      <c r="AN84" s="86" t="str">
        <f t="shared" si="45"/>
        <v>10963.1388890283-4369705.58029752j</v>
      </c>
      <c r="AO84" s="86" t="str">
        <f t="shared" si="46"/>
        <v>19999.3513972013-91.5347527722427j</v>
      </c>
      <c r="AP84" s="86" t="str">
        <f t="shared" si="47"/>
        <v>0.6666667481843+0.000164840942057357j</v>
      </c>
      <c r="AQ84" s="86" t="str">
        <f t="shared" si="29"/>
        <v>1+0.0918550108930311j</v>
      </c>
      <c r="AR84" s="86">
        <f t="shared" si="30"/>
        <v>9.8260341644090948E-8</v>
      </c>
      <c r="AS84" s="86" t="str">
        <f t="shared" si="31"/>
        <v>7.68270891967895E-06j</v>
      </c>
      <c r="AT84" s="86" t="str">
        <f t="shared" si="32"/>
        <v>9.82603416440909E-08+7.68270891967895E-06j</v>
      </c>
      <c r="AU84" s="86" t="str">
        <f t="shared" si="33"/>
        <v>2.04278922574666-19.4982364162029j</v>
      </c>
      <c r="AW84" s="86" t="str">
        <f t="shared" si="48"/>
        <v>1.35080934538118-12.9999719507269j</v>
      </c>
      <c r="AX84" s="86">
        <f t="shared" si="34"/>
        <v>22.325487767320851</v>
      </c>
      <c r="AY84" s="86">
        <f t="shared" si="35"/>
        <v>95.932237257531199</v>
      </c>
      <c r="AZ84" s="86" t="str">
        <f t="shared" si="36"/>
        <v>3.08986338997448-30.9812711272528j</v>
      </c>
      <c r="BA84" s="86">
        <f t="shared" si="37"/>
        <v>29.864969298583318</v>
      </c>
      <c r="BB84" s="86">
        <f t="shared" si="38"/>
        <v>95.695461385190171</v>
      </c>
      <c r="BD84" s="86" t="str">
        <f t="shared" si="39"/>
        <v>1.92658326977929-20.2569075739923j</v>
      </c>
      <c r="BE84" s="86">
        <f t="shared" si="40"/>
        <v>26.17057013436909</v>
      </c>
      <c r="BF84" s="86">
        <f t="shared" si="41"/>
        <v>95.432915052369651</v>
      </c>
      <c r="BH84" s="86">
        <f t="shared" si="49"/>
        <v>-25.17057013436909</v>
      </c>
      <c r="BI84" s="159">
        <f t="shared" si="50"/>
        <v>-95.432915052369651</v>
      </c>
      <c r="BJ84" s="88"/>
      <c r="BK84" s="88"/>
      <c r="BL84" s="88"/>
      <c r="BM84" s="88"/>
      <c r="BN84" s="42"/>
      <c r="BO84" s="42"/>
      <c r="BP84" s="42"/>
    </row>
    <row r="85" spans="1:68" s="86" customFormat="1">
      <c r="A85" s="86">
        <v>21</v>
      </c>
      <c r="B85" s="86">
        <f t="shared" si="42"/>
        <v>263.02679918953822</v>
      </c>
      <c r="C85" s="86" t="str">
        <f t="shared" si="0"/>
        <v>1652.64612006218j</v>
      </c>
      <c r="D85" s="86">
        <f t="shared" si="1"/>
        <v>0.99999889307044654</v>
      </c>
      <c r="E85" s="86" t="str">
        <f t="shared" si="2"/>
        <v>-0.00165264612006218j</v>
      </c>
      <c r="F85" s="86" t="str">
        <f t="shared" si="3"/>
        <v>0.999998893070447-0.00165264612006218j</v>
      </c>
      <c r="G85" s="86">
        <f t="shared" si="4"/>
        <v>2.2469579316927063E-6</v>
      </c>
      <c r="H85" s="86">
        <f t="shared" si="5"/>
        <v>-9.4689666316281576E-2</v>
      </c>
      <c r="J85" s="86">
        <f t="shared" si="6"/>
        <v>17.283950617283953</v>
      </c>
      <c r="K85" s="86" t="str">
        <f t="shared" si="7"/>
        <v>1+0.0199557018997508j</v>
      </c>
      <c r="L85" s="86">
        <f t="shared" si="8"/>
        <v>0.99991856860909201</v>
      </c>
      <c r="M85" s="86" t="str">
        <f t="shared" si="9"/>
        <v>0.00445092285298228j</v>
      </c>
      <c r="N85" s="86" t="str">
        <f t="shared" si="10"/>
        <v>0.999918568609092+0.00445092285298228j</v>
      </c>
      <c r="O85" s="86" t="str">
        <f t="shared" si="11"/>
        <v>1.00015045685739+0.015505371998912j</v>
      </c>
      <c r="P85" s="86" t="str">
        <f t="shared" si="12"/>
        <v>17.2865511061771+0.267994083931812j</v>
      </c>
      <c r="R85" s="86">
        <f t="shared" si="13"/>
        <v>6.9135802469135808</v>
      </c>
      <c r="S85" s="86" t="str">
        <f t="shared" si="14"/>
        <v>1+0.000123948459004663j</v>
      </c>
      <c r="T85" s="86" t="str">
        <f t="shared" si="15"/>
        <v>0.999918568609092+0.00445092285298228j</v>
      </c>
      <c r="U85" s="86" t="str">
        <f t="shared" si="16"/>
        <v>1.00006217462442-0.00432760353120916j</v>
      </c>
      <c r="V85" s="86" t="str">
        <f t="shared" si="17"/>
        <v>6.91401009616883-0.0299192342898411j</v>
      </c>
      <c r="X85" s="86" t="str">
        <f t="shared" si="18"/>
        <v>0.530092600427356+0.00734180194814845j</v>
      </c>
      <c r="Y85" s="86">
        <f t="shared" si="19"/>
        <v>-5.5121321620724473</v>
      </c>
      <c r="Z85" s="86">
        <f t="shared" si="20"/>
        <v>-179.20650208797608</v>
      </c>
      <c r="AB85" s="86" t="str">
        <f t="shared" si="21"/>
        <v>2.38216996146942-0.0103084462134238j</v>
      </c>
      <c r="AC85" s="86">
        <f t="shared" si="22"/>
        <v>7.5395362045468772</v>
      </c>
      <c r="AD85" s="86">
        <f t="shared" si="23"/>
        <v>179.75206354530502</v>
      </c>
      <c r="AF85" s="86" t="str">
        <f t="shared" si="24"/>
        <v>1.55681143400033-0.014207144996581j</v>
      </c>
      <c r="AG85" s="86">
        <f t="shared" si="25"/>
        <v>3.8450819183503877</v>
      </c>
      <c r="AH85" s="86">
        <f t="shared" si="26"/>
        <v>179.47714486569274</v>
      </c>
      <c r="AJ85" s="86" t="str">
        <f t="shared" si="27"/>
        <v>9999.99396669625-7.7674320779617j</v>
      </c>
      <c r="AK85" s="86" t="str">
        <f t="shared" si="28"/>
        <v>20000-6.61058448024872E-07j</v>
      </c>
      <c r="AL85" s="86" t="str">
        <f t="shared" si="43"/>
        <v>10000-13446449.2745647j</v>
      </c>
      <c r="AM85" s="86" t="str">
        <f t="shared" si="44"/>
        <v>963.138866735346-4173036.47574591j</v>
      </c>
      <c r="AN85" s="86" t="str">
        <f t="shared" si="45"/>
        <v>10963.1388667353-4173036.47574591j</v>
      </c>
      <c r="AO85" s="86" t="str">
        <f t="shared" si="46"/>
        <v>19999.2888246334-95.8481874916824j</v>
      </c>
      <c r="AP85" s="86" t="str">
        <f t="shared" si="47"/>
        <v>0.666666756048974+0.000172609652243306j</v>
      </c>
      <c r="AQ85" s="86" t="str">
        <f t="shared" si="29"/>
        <v>1+0.0961840041876189j</v>
      </c>
      <c r="AR85" s="86">
        <f t="shared" si="30"/>
        <v>9.8092502544007437E-8</v>
      </c>
      <c r="AS85" s="86" t="str">
        <f t="shared" si="31"/>
        <v>8.04478383616108E-06j</v>
      </c>
      <c r="AT85" s="86" t="str">
        <f t="shared" si="32"/>
        <v>9.80925025440074E-08+8.04478383616108E-06j</v>
      </c>
      <c r="AU85" s="86" t="str">
        <f t="shared" si="33"/>
        <v>2.0204619643729-18.620986079982j</v>
      </c>
      <c r="AW85" s="86" t="str">
        <f t="shared" si="48"/>
        <v>1.3359242307632-12.4151792326368j</v>
      </c>
      <c r="AX85" s="86">
        <f t="shared" si="34"/>
        <v>21.929056390625526</v>
      </c>
      <c r="AY85" s="86">
        <f t="shared" si="35"/>
        <v>96.14162982249114</v>
      </c>
      <c r="AZ85" s="86" t="str">
        <f t="shared" si="36"/>
        <v>3.05441736597358-29.5888383373243j</v>
      </c>
      <c r="BA85" s="86">
        <f t="shared" si="37"/>
        <v>29.468592595172382</v>
      </c>
      <c r="BB85" s="86">
        <f t="shared" si="38"/>
        <v>95.893693367796175</v>
      </c>
      <c r="BD85" s="86" t="str">
        <f t="shared" si="39"/>
        <v>1.90339786589363-19.3470726537832j</v>
      </c>
      <c r="BE85" s="86">
        <f t="shared" si="40"/>
        <v>25.774138308975868</v>
      </c>
      <c r="BF85" s="86">
        <f t="shared" si="41"/>
        <v>95.618774688183919</v>
      </c>
      <c r="BH85" s="86">
        <f t="shared" si="49"/>
        <v>-24.774138308975868</v>
      </c>
      <c r="BI85" s="159">
        <f t="shared" si="50"/>
        <v>-95.618774688183919</v>
      </c>
      <c r="BJ85" s="88"/>
      <c r="BK85" s="88"/>
      <c r="BL85" s="88"/>
      <c r="BM85" s="88"/>
      <c r="BN85" s="42"/>
      <c r="BO85" s="42"/>
      <c r="BP85" s="42"/>
    </row>
    <row r="86" spans="1:68" s="86" customFormat="1">
      <c r="A86" s="86">
        <v>22</v>
      </c>
      <c r="B86" s="86">
        <f t="shared" si="42"/>
        <v>275.4228703338166</v>
      </c>
      <c r="C86" s="86" t="str">
        <f t="shared" si="0"/>
        <v>1730.53293214266j</v>
      </c>
      <c r="D86" s="86">
        <f t="shared" si="1"/>
        <v>0.9999987862758799</v>
      </c>
      <c r="E86" s="86" t="str">
        <f t="shared" si="2"/>
        <v>-0.00173053293214266j</v>
      </c>
      <c r="F86" s="86" t="str">
        <f t="shared" si="3"/>
        <v>0.99999878627588-0.00173053293214266j</v>
      </c>
      <c r="G86" s="86">
        <f t="shared" si="4"/>
        <v>2.4637408764122766E-6</v>
      </c>
      <c r="H86" s="86">
        <f t="shared" si="5"/>
        <v>-9.9152254685068164E-2</v>
      </c>
      <c r="J86" s="86">
        <f t="shared" si="6"/>
        <v>17.283950617283953</v>
      </c>
      <c r="K86" s="86" t="str">
        <f t="shared" si="7"/>
        <v>1+0.0208961851556226j</v>
      </c>
      <c r="L86" s="86">
        <f t="shared" si="8"/>
        <v>0.99991071225538775</v>
      </c>
      <c r="M86" s="86" t="str">
        <f t="shared" si="9"/>
        <v>0.00466068838452989j</v>
      </c>
      <c r="N86" s="86" t="str">
        <f t="shared" si="10"/>
        <v>0.999910712255388+0.00466068838452989j</v>
      </c>
      <c r="O86" s="86" t="str">
        <f t="shared" si="11"/>
        <v>1.000164974239+0.0162361775692496j</v>
      </c>
      <c r="P86" s="86" t="str">
        <f t="shared" si="12"/>
        <v>17.286802023884+0.280625291320364j</v>
      </c>
      <c r="R86" s="86">
        <f t="shared" si="13"/>
        <v>6.9135802469135808</v>
      </c>
      <c r="S86" s="86" t="str">
        <f t="shared" si="14"/>
        <v>1+0.000129789969910699j</v>
      </c>
      <c r="T86" s="86" t="str">
        <f t="shared" si="15"/>
        <v>0.999910712255388+0.00466068838452989j</v>
      </c>
      <c r="U86" s="86" t="str">
        <f t="shared" si="16"/>
        <v>1.00006817335938-0.00453162076760118j</v>
      </c>
      <c r="V86" s="86" t="str">
        <f t="shared" si="17"/>
        <v>6.91405156890436-0.0313297238253909j</v>
      </c>
      <c r="X86" s="86" t="str">
        <f t="shared" si="18"/>
        <v>0.530101548362302+0.0076878279274799j</v>
      </c>
      <c r="Y86" s="86">
        <f t="shared" si="19"/>
        <v>-5.5119052148284915</v>
      </c>
      <c r="Z86" s="86">
        <f t="shared" si="20"/>
        <v>-179.16912293894879</v>
      </c>
      <c r="AB86" s="86" t="str">
        <f t="shared" si="21"/>
        <v>2.38218425058722-0.0107944197303579j</v>
      </c>
      <c r="AC86" s="86">
        <f t="shared" si="22"/>
        <v>7.5395961528893451</v>
      </c>
      <c r="AD86" s="86">
        <f t="shared" si="23"/>
        <v>179.74037673209415</v>
      </c>
      <c r="AF86" s="86" t="str">
        <f t="shared" si="24"/>
        <v>1.5568050915238-0.0148767050232588j</v>
      </c>
      <c r="AG86" s="86">
        <f t="shared" si="25"/>
        <v>3.8450814262363258</v>
      </c>
      <c r="AH86" s="86">
        <f t="shared" si="26"/>
        <v>179.45250277508245</v>
      </c>
      <c r="AJ86" s="86" t="str">
        <f t="shared" si="27"/>
        <v>9999.99338461437-8.13349940044343j</v>
      </c>
      <c r="AK86" s="86" t="str">
        <f t="shared" si="28"/>
        <v>20000-6.92213172857064E-07j</v>
      </c>
      <c r="AL86" s="86" t="str">
        <f t="shared" si="43"/>
        <v>10000-12841259.3655226j</v>
      </c>
      <c r="AM86" s="86" t="str">
        <f t="shared" si="44"/>
        <v>963.13884229166-3985218.9410481j</v>
      </c>
      <c r="AN86" s="86" t="str">
        <f t="shared" si="45"/>
        <v>10963.1388422917-3985218.9410481j</v>
      </c>
      <c r="AO86" s="86" t="str">
        <f t="shared" si="46"/>
        <v>19999.2202158769-100.364839199848j</v>
      </c>
      <c r="AP86" s="86" t="str">
        <f t="shared" si="47"/>
        <v>0.666666764672413+0.000180744489857182j</v>
      </c>
      <c r="AQ86" s="86" t="str">
        <f t="shared" si="29"/>
        <v>1+0.100717016650703j</v>
      </c>
      <c r="AR86" s="86">
        <f t="shared" si="30"/>
        <v>9.7908470630305582E-8</v>
      </c>
      <c r="AS86" s="86" t="str">
        <f t="shared" si="31"/>
        <v>8.42392281774268E-06j</v>
      </c>
      <c r="AT86" s="86" t="str">
        <f t="shared" si="32"/>
        <v>9.79084706303056E-08+8.42392281774268E-06j</v>
      </c>
      <c r="AU86" s="86" t="str">
        <f t="shared" si="33"/>
        <v>2.00009867803453-17.7831844662444j</v>
      </c>
      <c r="AW86" s="86" t="str">
        <f t="shared" si="48"/>
        <v>1.3223484368043-11.8566881834808j</v>
      </c>
      <c r="AX86" s="86">
        <f t="shared" si="34"/>
        <v>21.532954121143696</v>
      </c>
      <c r="AY86" s="86">
        <f t="shared" si="35"/>
        <v>96.363764904168249</v>
      </c>
      <c r="AZ86" s="86" t="str">
        <f t="shared" si="36"/>
        <v>3.02209155107937-28.2590898388683j</v>
      </c>
      <c r="BA86" s="86">
        <f t="shared" si="37"/>
        <v>29.072550274033073</v>
      </c>
      <c r="BB86" s="86">
        <f t="shared" si="38"/>
        <v>96.104141636262369</v>
      </c>
      <c r="BD86" s="86" t="str">
        <f t="shared" si="39"/>
        <v>1.88225032652707-18.4782247202853j</v>
      </c>
      <c r="BE86" s="86">
        <f t="shared" si="40"/>
        <v>25.37803554738003</v>
      </c>
      <c r="BF86" s="86">
        <f t="shared" si="41"/>
        <v>95.816267679250714</v>
      </c>
      <c r="BH86" s="86">
        <f t="shared" si="49"/>
        <v>-24.37803554738003</v>
      </c>
      <c r="BI86" s="159">
        <f t="shared" si="50"/>
        <v>-95.816267679250714</v>
      </c>
      <c r="BJ86" s="88"/>
      <c r="BK86" s="88"/>
      <c r="BL86" s="88"/>
      <c r="BM86" s="88"/>
      <c r="BN86" s="42"/>
      <c r="BO86" s="42"/>
      <c r="BP86" s="42"/>
    </row>
    <row r="87" spans="1:68" s="86" customFormat="1">
      <c r="A87" s="86">
        <v>23</v>
      </c>
      <c r="B87" s="86">
        <f t="shared" si="42"/>
        <v>288.40315031266061</v>
      </c>
      <c r="C87" s="86" t="str">
        <f t="shared" si="0"/>
        <v>1812.09043658881j</v>
      </c>
      <c r="D87" s="86">
        <f t="shared" si="1"/>
        <v>0.9999986691779662</v>
      </c>
      <c r="E87" s="86" t="str">
        <f t="shared" si="2"/>
        <v>-0.00181209043658881j</v>
      </c>
      <c r="F87" s="86" t="str">
        <f t="shared" si="3"/>
        <v>0.999998669177966-0.00181209043658881j</v>
      </c>
      <c r="G87" s="86">
        <f t="shared" si="4"/>
        <v>2.7014387508626072E-6</v>
      </c>
      <c r="H87" s="86">
        <f t="shared" si="5"/>
        <v>-0.10382515864273448</v>
      </c>
      <c r="J87" s="86">
        <f t="shared" si="6"/>
        <v>17.283950617283953</v>
      </c>
      <c r="K87" s="86" t="str">
        <f t="shared" si="7"/>
        <v>1+0.0218809920218099j</v>
      </c>
      <c r="L87" s="86">
        <f t="shared" si="8"/>
        <v>0.99990209793484985</v>
      </c>
      <c r="M87" s="86" t="str">
        <f t="shared" si="9"/>
        <v>0.00488033986101048j</v>
      </c>
      <c r="N87" s="86" t="str">
        <f t="shared" si="10"/>
        <v>0.99990209793485+0.00488033986101048j</v>
      </c>
      <c r="O87" s="86" t="str">
        <f t="shared" si="11"/>
        <v>1.00018089255007+0.0170014338191582j</v>
      </c>
      <c r="P87" s="86" t="str">
        <f t="shared" si="12"/>
        <v>17.2870771551864+0.293851942553352j</v>
      </c>
      <c r="R87" s="86">
        <f t="shared" si="13"/>
        <v>6.9135802469135808</v>
      </c>
      <c r="S87" s="86" t="str">
        <f t="shared" si="14"/>
        <v>1+0.000135906782744161j</v>
      </c>
      <c r="T87" s="86" t="str">
        <f t="shared" si="15"/>
        <v>0.99990209793485+0.00488033986101048j</v>
      </c>
      <c r="U87" s="86" t="str">
        <f t="shared" si="16"/>
        <v>1.00007475088989-0.0047452624590083j</v>
      </c>
      <c r="V87" s="86" t="str">
        <f t="shared" si="17"/>
        <v>6.91409704318936-0.0328067528030203j</v>
      </c>
      <c r="X87" s="86" t="str">
        <f t="shared" si="18"/>
        <v>0.530111359755985+0.00805016420294622j</v>
      </c>
      <c r="Y87" s="86">
        <f t="shared" si="19"/>
        <v>-5.5116563791511366</v>
      </c>
      <c r="Z87" s="86">
        <f t="shared" si="20"/>
        <v>-179.12998472053803</v>
      </c>
      <c r="AB87" s="86" t="str">
        <f t="shared" si="21"/>
        <v>2.38219991840868-0.0113033189095301j</v>
      </c>
      <c r="AC87" s="86">
        <f t="shared" si="22"/>
        <v>7.5396618852745032</v>
      </c>
      <c r="AD87" s="86">
        <f t="shared" si="23"/>
        <v>179.72813885066094</v>
      </c>
      <c r="AF87" s="86" t="str">
        <f t="shared" si="24"/>
        <v>1.55679813708368-0.0155778201317946j</v>
      </c>
      <c r="AG87" s="86">
        <f t="shared" si="25"/>
        <v>3.8450808864919646</v>
      </c>
      <c r="AH87" s="86">
        <f t="shared" si="26"/>
        <v>179.42669923670044</v>
      </c>
      <c r="AJ87" s="86" t="str">
        <f t="shared" si="27"/>
        <v>9999.99274637436-8.51681887418134j</v>
      </c>
      <c r="AK87" s="86" t="str">
        <f t="shared" si="28"/>
        <v>20000-7.24836174635524E-07j</v>
      </c>
      <c r="AL87" s="86" t="str">
        <f t="shared" si="43"/>
        <v>10000-12263307.4892524j</v>
      </c>
      <c r="AM87" s="86" t="str">
        <f t="shared" si="44"/>
        <v>963.138815489693-3805854.59003184j</v>
      </c>
      <c r="AN87" s="86" t="str">
        <f t="shared" si="45"/>
        <v>10963.1388154897-3805854.59003184j</v>
      </c>
      <c r="AO87" s="86" t="str">
        <f t="shared" si="46"/>
        <v>19999.1449887127-105.094275008027j</v>
      </c>
      <c r="AP87" s="86" t="str">
        <f t="shared" si="47"/>
        <v>0.666666774127827+0.000189262709863677j</v>
      </c>
      <c r="AQ87" s="86" t="str">
        <f t="shared" si="29"/>
        <v>1+0.105463663409469j</v>
      </c>
      <c r="AR87" s="86">
        <f t="shared" si="30"/>
        <v>9.7706683649536963E-8</v>
      </c>
      <c r="AS87" s="86" t="str">
        <f t="shared" si="31"/>
        <v>8.82093006903574E-06j</v>
      </c>
      <c r="AT87" s="86" t="str">
        <f t="shared" si="32"/>
        <v>9.7706683649537E-08+8.82093006903574E-06j</v>
      </c>
      <c r="AU87" s="86" t="str">
        <f t="shared" si="33"/>
        <v>1.98152665567023-16.9830607917162j</v>
      </c>
      <c r="AW87" s="86" t="str">
        <f t="shared" si="48"/>
        <v>1.30996682050829-11.3233183730924j</v>
      </c>
      <c r="AX87" s="86">
        <f t="shared" si="34"/>
        <v>21.137213111063225</v>
      </c>
      <c r="AY87" s="86">
        <f t="shared" si="35"/>
        <v>96.599072193465773</v>
      </c>
      <c r="AZ87" s="86" t="str">
        <f t="shared" si="36"/>
        <v>2.99261177424772-26.9892150772294j</v>
      </c>
      <c r="BA87" s="86">
        <f t="shared" si="37"/>
        <v>28.676874996337745</v>
      </c>
      <c r="BB87" s="86">
        <f t="shared" si="38"/>
        <v>96.327211044126685</v>
      </c>
      <c r="BD87" s="86" t="str">
        <f t="shared" si="39"/>
        <v>1.86296128889765-17.6485273763441j</v>
      </c>
      <c r="BE87" s="86">
        <f t="shared" si="40"/>
        <v>24.982293997555157</v>
      </c>
      <c r="BF87" s="86">
        <f t="shared" si="41"/>
        <v>96.02577143016623</v>
      </c>
      <c r="BH87" s="86">
        <f t="shared" si="49"/>
        <v>-23.982293997555157</v>
      </c>
      <c r="BI87" s="159">
        <f t="shared" si="50"/>
        <v>-96.02577143016623</v>
      </c>
      <c r="BJ87" s="88"/>
      <c r="BK87" s="88"/>
      <c r="BL87" s="88"/>
      <c r="BM87" s="88"/>
      <c r="BN87" s="42"/>
      <c r="BO87" s="42"/>
      <c r="BP87" s="42"/>
    </row>
    <row r="88" spans="1:68" s="86" customFormat="1">
      <c r="A88" s="86">
        <v>24</v>
      </c>
      <c r="B88" s="86">
        <f t="shared" si="42"/>
        <v>301.99517204020168</v>
      </c>
      <c r="C88" s="86" t="str">
        <f t="shared" si="0"/>
        <v>1897.49162780217j</v>
      </c>
      <c r="D88" s="86">
        <f t="shared" si="1"/>
        <v>0.99999854078265704</v>
      </c>
      <c r="E88" s="86" t="str">
        <f t="shared" si="2"/>
        <v>-0.00189749162780217j</v>
      </c>
      <c r="F88" s="86" t="str">
        <f t="shared" si="3"/>
        <v>0.999998540782657-0.00189749162780217j</v>
      </c>
      <c r="G88" s="86">
        <f t="shared" si="4"/>
        <v>2.9620694155771074E-6</v>
      </c>
      <c r="H88" s="86">
        <f t="shared" si="5"/>
        <v>-0.10871829009887916</v>
      </c>
      <c r="J88" s="86">
        <f t="shared" si="6"/>
        <v>17.283950617283953</v>
      </c>
      <c r="K88" s="86" t="str">
        <f t="shared" si="7"/>
        <v>1+0.0229122114057112j</v>
      </c>
      <c r="L88" s="86">
        <f t="shared" si="8"/>
        <v>0.99989265252020554</v>
      </c>
      <c r="M88" s="86" t="str">
        <f t="shared" si="9"/>
        <v>0.00511034319265486j</v>
      </c>
      <c r="N88" s="86" t="str">
        <f t="shared" si="10"/>
        <v>0.999892652520206+0.00511034319265486j</v>
      </c>
      <c r="O88" s="86" t="str">
        <f t="shared" si="11"/>
        <v>1.00019834701422+0.0178027656737709j</v>
      </c>
      <c r="P88" s="86" t="str">
        <f t="shared" si="12"/>
        <v>17.2873788372828+0.307702122756534j</v>
      </c>
      <c r="R88" s="86">
        <f t="shared" si="13"/>
        <v>6.9135802469135808</v>
      </c>
      <c r="S88" s="86" t="str">
        <f t="shared" si="14"/>
        <v>1+0.000142311872085163j</v>
      </c>
      <c r="T88" s="86" t="str">
        <f t="shared" si="15"/>
        <v>0.999892652520206+0.00511034319265486j</v>
      </c>
      <c r="U88" s="86" t="str">
        <f t="shared" si="16"/>
        <v>1.00008196306687-0.00496898358783582j</v>
      </c>
      <c r="V88" s="86" t="str">
        <f t="shared" si="17"/>
        <v>6.91414690515367-0.0343534667800995j</v>
      </c>
      <c r="X88" s="86" t="str">
        <f t="shared" si="18"/>
        <v>0.530122117949387+0.00842957983931455j</v>
      </c>
      <c r="Y88" s="86">
        <f t="shared" si="19"/>
        <v>-5.5113835447042838</v>
      </c>
      <c r="Z88" s="86">
        <f t="shared" si="20"/>
        <v>-179.08900490877269</v>
      </c>
      <c r="AB88" s="86" t="str">
        <f t="shared" si="21"/>
        <v>2.38221709797191-0.0118362275289758j</v>
      </c>
      <c r="AC88" s="86">
        <f t="shared" si="22"/>
        <v>7.5397339598038373</v>
      </c>
      <c r="AD88" s="86">
        <f t="shared" si="23"/>
        <v>179.71532388762714</v>
      </c>
      <c r="AF88" s="86" t="str">
        <f t="shared" si="24"/>
        <v>1.5567905116281-0.0163119774213065j</v>
      </c>
      <c r="AG88" s="86">
        <f t="shared" si="25"/>
        <v>3.8450802944911038</v>
      </c>
      <c r="AH88" s="86">
        <f t="shared" si="26"/>
        <v>179.39967949811563</v>
      </c>
      <c r="AJ88" s="86" t="str">
        <f t="shared" si="27"/>
        <v>9999.9920465582-8.91820355762326j</v>
      </c>
      <c r="AK88" s="86" t="str">
        <f t="shared" si="28"/>
        <v>20000-7.58996651120868E-07j</v>
      </c>
      <c r="AL88" s="86" t="str">
        <f t="shared" si="43"/>
        <v>10000-11711367.7323372j</v>
      </c>
      <c r="AM88" s="86" t="str">
        <f t="shared" si="44"/>
        <v>963.138786101912-3634562.96686085j</v>
      </c>
      <c r="AN88" s="86" t="str">
        <f t="shared" si="45"/>
        <v>10963.1387861019-3634562.96686085j</v>
      </c>
      <c r="AO88" s="86" t="str">
        <f t="shared" si="46"/>
        <v>19999.0625047789-110.046511399236j</v>
      </c>
      <c r="AP88" s="86" t="str">
        <f t="shared" si="47"/>
        <v>0.666666784495484+0.00019818238041567j</v>
      </c>
      <c r="AQ88" s="86" t="str">
        <f t="shared" si="29"/>
        <v>1+0.110434012738086j</v>
      </c>
      <c r="AR88" s="86">
        <f t="shared" si="30"/>
        <v>9.7485428624858594E-8</v>
      </c>
      <c r="AS88" s="86" t="str">
        <f t="shared" si="31"/>
        <v>9.23664769564796E-06j</v>
      </c>
      <c r="AT88" s="86" t="str">
        <f t="shared" si="32"/>
        <v>9.74854286248586E-08+9.23664769564796E-06j</v>
      </c>
      <c r="AU88" s="86" t="str">
        <f t="shared" si="33"/>
        <v>1.96458836648787-16.2189233797026j</v>
      </c>
      <c r="AW88" s="86" t="str">
        <f t="shared" si="48"/>
        <v>1.29867435907255-10.813942114559j</v>
      </c>
      <c r="AX88" s="86">
        <f t="shared" si="34"/>
        <v>20.741868392905175</v>
      </c>
      <c r="AY88" s="86">
        <f t="shared" si="35"/>
        <v>96.84800328534557</v>
      </c>
      <c r="AZ88" s="86" t="str">
        <f t="shared" si="36"/>
        <v>2.96572798352725-25.776529206981j</v>
      </c>
      <c r="BA88" s="86">
        <f t="shared" si="37"/>
        <v>28.281602352709015</v>
      </c>
      <c r="BB88" s="86">
        <f t="shared" si="38"/>
        <v>96.56332717297272</v>
      </c>
      <c r="BD88" s="86" t="str">
        <f t="shared" si="39"/>
        <v>1.84536714029085-16.8562264240638j</v>
      </c>
      <c r="BE88" s="86">
        <f t="shared" si="40"/>
        <v>24.58694868739628</v>
      </c>
      <c r="BF88" s="86">
        <f t="shared" si="41"/>
        <v>96.247682783461201</v>
      </c>
      <c r="BH88" s="86">
        <f t="shared" si="49"/>
        <v>-23.58694868739628</v>
      </c>
      <c r="BI88" s="159">
        <f t="shared" si="50"/>
        <v>-96.247682783461201</v>
      </c>
      <c r="BJ88" s="88"/>
      <c r="BK88" s="88"/>
      <c r="BL88" s="88"/>
      <c r="BM88" s="88"/>
      <c r="BN88" s="42"/>
      <c r="BO88" s="42"/>
      <c r="BP88" s="42"/>
    </row>
    <row r="89" spans="1:68" s="86" customFormat="1">
      <c r="A89" s="86">
        <v>25</v>
      </c>
      <c r="B89" s="86">
        <f t="shared" si="42"/>
        <v>316.22776601683796</v>
      </c>
      <c r="C89" s="86" t="str">
        <f t="shared" si="0"/>
        <v>1986.91765315922j</v>
      </c>
      <c r="D89" s="86">
        <f t="shared" si="1"/>
        <v>0.99999839999999995</v>
      </c>
      <c r="E89" s="86" t="str">
        <f t="shared" si="2"/>
        <v>-0.00198691765315922j</v>
      </c>
      <c r="F89" s="86" t="str">
        <f t="shared" si="3"/>
        <v>0.9999984-0.00198691765315922j</v>
      </c>
      <c r="G89" s="86">
        <f t="shared" si="4"/>
        <v>3.2478454013170769E-6</v>
      </c>
      <c r="H89" s="86">
        <f t="shared" si="5"/>
        <v>-0.11384202810312041</v>
      </c>
      <c r="J89" s="86">
        <f t="shared" si="6"/>
        <v>17.283950617283953</v>
      </c>
      <c r="K89" s="86" t="str">
        <f t="shared" si="7"/>
        <v>1+0.0239920306618976j</v>
      </c>
      <c r="L89" s="86">
        <f t="shared" si="8"/>
        <v>0.99988229582899446</v>
      </c>
      <c r="M89" s="86" t="str">
        <f t="shared" si="9"/>
        <v>0.00535118624736647j</v>
      </c>
      <c r="N89" s="86" t="str">
        <f t="shared" si="10"/>
        <v>0.999882295828994+0.00535118624736647j</v>
      </c>
      <c r="O89" s="86" t="str">
        <f t="shared" si="11"/>
        <v>1.00021748591424+0.0186418748333211j</v>
      </c>
      <c r="P89" s="86" t="str">
        <f t="shared" si="12"/>
        <v>17.2877096330856+0.32220524403271j</v>
      </c>
      <c r="R89" s="86">
        <f t="shared" si="13"/>
        <v>6.9135802469135808</v>
      </c>
      <c r="S89" s="86" t="str">
        <f t="shared" si="14"/>
        <v>1+0.000149018823986941j</v>
      </c>
      <c r="T89" s="86" t="str">
        <f t="shared" si="15"/>
        <v>0.999882295828994+0.00535118624736647j</v>
      </c>
      <c r="U89" s="86" t="str">
        <f t="shared" si="16"/>
        <v>1.00008987113165-0.00520326078604062j</v>
      </c>
      <c r="V89" s="86" t="str">
        <f t="shared" si="17"/>
        <v>6.91420157819412-0.0359731609899105j</v>
      </c>
      <c r="X89" s="86" t="str">
        <f t="shared" si="18"/>
        <v>0.530133914331359+0.00882688020314117j</v>
      </c>
      <c r="Y89" s="86">
        <f t="shared" si="19"/>
        <v>-5.5110843978376458</v>
      </c>
      <c r="Z89" s="86">
        <f t="shared" si="20"/>
        <v>-179.04609714645542</v>
      </c>
      <c r="AB89" s="86" t="str">
        <f t="shared" si="21"/>
        <v>2.38223593515509-0.0123942809364355j</v>
      </c>
      <c r="AC89" s="86">
        <f t="shared" si="22"/>
        <v>7.5398129884374354</v>
      </c>
      <c r="AD89" s="86">
        <f t="shared" si="23"/>
        <v>179.70190459736793</v>
      </c>
      <c r="AF89" s="86" t="str">
        <f t="shared" si="24"/>
        <v>1.55678215040584-0.0170807340688722j</v>
      </c>
      <c r="AG89" s="86">
        <f t="shared" si="25"/>
        <v>3.8450796451551783</v>
      </c>
      <c r="AH89" s="86">
        <f t="shared" si="26"/>
        <v>179.37138622425979</v>
      </c>
      <c r="AJ89" s="86" t="str">
        <f t="shared" si="27"/>
        <v>9999.99127922515-9.33850482594143j</v>
      </c>
      <c r="AK89" s="86" t="str">
        <f t="shared" si="28"/>
        <v>20000-7.94767061263688E-07j</v>
      </c>
      <c r="AL89" s="86" t="str">
        <f t="shared" si="43"/>
        <v>10000-11184269.3565527j</v>
      </c>
      <c r="AM89" s="86" t="str">
        <f t="shared" si="44"/>
        <v>963.138753878868-3470980.73903692j</v>
      </c>
      <c r="AN89" s="86" t="str">
        <f t="shared" si="45"/>
        <v>10963.1387538789-3470980.73903692j</v>
      </c>
      <c r="AO89" s="86" t="str">
        <f t="shared" si="46"/>
        <v>19998.9720641601-115.232035182502j</v>
      </c>
      <c r="AP89" s="86" t="str">
        <f t="shared" si="47"/>
        <v>0.666666795863392+0.000207522421176642j</v>
      </c>
      <c r="AQ89" s="86" t="str">
        <f t="shared" si="29"/>
        <v>1+0.115638607413867j</v>
      </c>
      <c r="AR89" s="86">
        <f t="shared" si="30"/>
        <v>9.7242827314511672E-8</v>
      </c>
      <c r="AS89" s="86" t="str">
        <f t="shared" si="31"/>
        <v>9.67195749040151E-06j</v>
      </c>
      <c r="AT89" s="86" t="str">
        <f t="shared" si="32"/>
        <v>9.72428273145117E-08+9.67195749040151E-06j</v>
      </c>
      <c r="AU89" s="86" t="str">
        <f t="shared" si="33"/>
        <v>1.94914012702465-15.4891561766983j</v>
      </c>
      <c r="AW89" s="86" t="str">
        <f t="shared" si="48"/>
        <v>1.28837526124209-10.3274821421707j</v>
      </c>
      <c r="AX89" s="86">
        <f t="shared" si="34"/>
        <v>20.346958140072008</v>
      </c>
      <c r="AY89" s="86">
        <f t="shared" si="35"/>
        <v>97.111031779088208</v>
      </c>
      <c r="AZ89" s="86" t="str">
        <f t="shared" si="36"/>
        <v>2.94121213025964-24.6184675636909j</v>
      </c>
      <c r="BA89" s="86">
        <f t="shared" si="37"/>
        <v>27.886771128509441</v>
      </c>
      <c r="BB89" s="86">
        <f t="shared" si="38"/>
        <v>96.812936376456122</v>
      </c>
      <c r="BD89" s="86" t="str">
        <f t="shared" si="39"/>
        <v>1.8293186336547-16.0996462527846j</v>
      </c>
      <c r="BE89" s="86">
        <f t="shared" si="40"/>
        <v>24.192037785227182</v>
      </c>
      <c r="BF89" s="86">
        <f t="shared" si="41"/>
        <v>96.482418003348002</v>
      </c>
      <c r="BH89" s="86">
        <f t="shared" si="49"/>
        <v>-23.192037785227182</v>
      </c>
      <c r="BI89" s="159">
        <f t="shared" si="50"/>
        <v>-96.482418003348002</v>
      </c>
      <c r="BJ89" s="88"/>
      <c r="BK89" s="88"/>
      <c r="BL89" s="88"/>
      <c r="BM89" s="88"/>
      <c r="BN89" s="42"/>
      <c r="BO89" s="42"/>
      <c r="BP89" s="42"/>
    </row>
    <row r="90" spans="1:68" s="86" customFormat="1">
      <c r="A90" s="86">
        <v>26</v>
      </c>
      <c r="B90" s="86">
        <f t="shared" si="42"/>
        <v>331.13112148259114</v>
      </c>
      <c r="C90" s="86" t="str">
        <f t="shared" si="0"/>
        <v>2080.55819724932j</v>
      </c>
      <c r="D90" s="86">
        <f t="shared" si="1"/>
        <v>0.99999824563488615</v>
      </c>
      <c r="E90" s="86" t="str">
        <f t="shared" si="2"/>
        <v>-0.00208055819724932j</v>
      </c>
      <c r="F90" s="86" t="str">
        <f t="shared" si="3"/>
        <v>0.999998245634886-0.00208055819724932j</v>
      </c>
      <c r="G90" s="86">
        <f t="shared" si="4"/>
        <v>3.5611927152875548E-6</v>
      </c>
      <c r="H90" s="86">
        <f t="shared" si="5"/>
        <v>-0.11920724086163617</v>
      </c>
      <c r="J90" s="86">
        <f t="shared" si="6"/>
        <v>17.283950617283953</v>
      </c>
      <c r="K90" s="86" t="str">
        <f t="shared" si="7"/>
        <v>1+0.0251227402317855j</v>
      </c>
      <c r="L90" s="86">
        <f t="shared" si="8"/>
        <v>0.99987093994289722</v>
      </c>
      <c r="M90" s="86" t="str">
        <f t="shared" si="9"/>
        <v>0.00560337988555481j</v>
      </c>
      <c r="N90" s="86" t="str">
        <f t="shared" si="10"/>
        <v>0.999870939942897+0.00560337988555481j</v>
      </c>
      <c r="O90" s="86" t="str">
        <f t="shared" si="11"/>
        <v>1.00023847185465+0.0195205434202856j</v>
      </c>
      <c r="P90" s="86" t="str">
        <f t="shared" si="12"/>
        <v>17.2880723530433+0.337392108498763j</v>
      </c>
      <c r="R90" s="86">
        <f t="shared" si="13"/>
        <v>6.9135802469135808</v>
      </c>
      <c r="S90" s="86" t="str">
        <f t="shared" si="14"/>
        <v>1+0.000156041864793699j</v>
      </c>
      <c r="T90" s="86" t="str">
        <f t="shared" si="15"/>
        <v>0.999870939942897+0.00560337988555481j</v>
      </c>
      <c r="U90" s="86" t="str">
        <f t="shared" si="16"/>
        <v>1.00009854223639-0.00544859338611989j</v>
      </c>
      <c r="V90" s="86" t="str">
        <f t="shared" si="17"/>
        <v>6.91426152657257-0.0376692876077425j</v>
      </c>
      <c r="X90" s="86" t="str">
        <f t="shared" si="18"/>
        <v>0.530146849116548+0.00924290868204033j</v>
      </c>
      <c r="Y90" s="86">
        <f t="shared" si="19"/>
        <v>-5.5107564020292195</v>
      </c>
      <c r="Z90" s="86">
        <f t="shared" si="20"/>
        <v>-179.00117107079177</v>
      </c>
      <c r="AB90" s="86" t="str">
        <f t="shared" si="21"/>
        <v>2.38225658991613-0.012978668552833j</v>
      </c>
      <c r="AC90" s="86">
        <f t="shared" si="22"/>
        <v>7.5398996421926245</v>
      </c>
      <c r="AD90" s="86">
        <f t="shared" si="23"/>
        <v>179.68785244300784</v>
      </c>
      <c r="AF90" s="86" t="str">
        <f t="shared" si="24"/>
        <v>1.556772982416-0.0178857206311753j</v>
      </c>
      <c r="AG90" s="86">
        <f t="shared" si="25"/>
        <v>3.845078932908188</v>
      </c>
      <c r="AH90" s="86">
        <f t="shared" si="26"/>
        <v>179.34175937538089</v>
      </c>
      <c r="AJ90" s="86" t="str">
        <f t="shared" si="27"/>
        <v>9999.99043786133-9.77861417661638j</v>
      </c>
      <c r="AK90" s="86" t="str">
        <f t="shared" si="28"/>
        <v>20000-8.32223278899728E-07j</v>
      </c>
      <c r="AL90" s="86" t="str">
        <f t="shared" si="43"/>
        <v>10000-10680894.3155745j</v>
      </c>
      <c r="AM90" s="86" t="str">
        <f t="shared" si="44"/>
        <v>963.138718547002-3314760.92672296j</v>
      </c>
      <c r="AN90" s="86" t="str">
        <f t="shared" si="45"/>
        <v>10963.138718547-3314760.92672296j</v>
      </c>
      <c r="AO90" s="86" t="str">
        <f t="shared" si="46"/>
        <v>19998.8728994555-120.661825401515j</v>
      </c>
      <c r="AP90" s="86" t="str">
        <f t="shared" si="47"/>
        <v>0.666666808328055+0.000217302643448891j</v>
      </c>
      <c r="AQ90" s="86" t="str">
        <f t="shared" si="29"/>
        <v>1+0.12108848707991j</v>
      </c>
      <c r="AR90" s="86">
        <f t="shared" si="30"/>
        <v>9.6976820267360488E-8</v>
      </c>
      <c r="AS90" s="86" t="str">
        <f t="shared" si="31"/>
        <v>0.0000101277828037342j</v>
      </c>
      <c r="AT90" s="86" t="str">
        <f t="shared" si="32"/>
        <v>9.69768202673605E-08+0.0000101277828037342j</v>
      </c>
      <c r="AU90" s="86" t="str">
        <f t="shared" si="33"/>
        <v>1.93505088502716-14.7922154158833j</v>
      </c>
      <c r="AW90" s="86" t="str">
        <f t="shared" si="48"/>
        <v>1.27898215654368-9.8629093873042j</v>
      </c>
      <c r="AX90" s="86">
        <f t="shared" si="34"/>
        <v>19.952523946878561</v>
      </c>
      <c r="AY90" s="86">
        <f t="shared" si="35"/>
        <v>97.388653306291133</v>
      </c>
      <c r="AZ90" s="86" t="str">
        <f t="shared" si="36"/>
        <v>2.91885623890688-23.5125803691458j</v>
      </c>
      <c r="BA90" s="86">
        <f t="shared" si="37"/>
        <v>27.492423589071166</v>
      </c>
      <c r="BB90" s="86">
        <f t="shared" si="38"/>
        <v>97.076505749298974</v>
      </c>
      <c r="BD90" s="86" t="str">
        <f t="shared" si="39"/>
        <v>1.81467962438744-15.3771863797165j</v>
      </c>
      <c r="BE90" s="86">
        <f t="shared" si="40"/>
        <v>23.797602879786737</v>
      </c>
      <c r="BF90" s="86">
        <f t="shared" si="41"/>
        <v>96.730412681672036</v>
      </c>
      <c r="BH90" s="86">
        <f t="shared" si="49"/>
        <v>-22.797602879786737</v>
      </c>
      <c r="BI90" s="159">
        <f t="shared" si="50"/>
        <v>-96.730412681672036</v>
      </c>
      <c r="BJ90" s="88"/>
      <c r="BK90" s="88"/>
      <c r="BL90" s="88"/>
      <c r="BM90" s="88"/>
      <c r="BN90" s="42"/>
      <c r="BO90" s="42"/>
      <c r="BP90" s="42"/>
    </row>
    <row r="91" spans="1:68" s="86" customFormat="1">
      <c r="A91" s="86">
        <v>27</v>
      </c>
      <c r="B91" s="86">
        <f t="shared" si="42"/>
        <v>346.73685045253171</v>
      </c>
      <c r="C91" s="86" t="str">
        <f t="shared" si="0"/>
        <v>2178.61188422107j</v>
      </c>
      <c r="D91" s="86">
        <f t="shared" si="1"/>
        <v>0.99999807637690463</v>
      </c>
      <c r="E91" s="86" t="str">
        <f t="shared" si="2"/>
        <v>-0.00217861188422107j</v>
      </c>
      <c r="F91" s="86" t="str">
        <f t="shared" si="3"/>
        <v>0.999998076376905-0.00217861188422107j</v>
      </c>
      <c r="G91" s="86">
        <f t="shared" si="4"/>
        <v>3.9047714274817882E-6</v>
      </c>
      <c r="H91" s="86">
        <f t="shared" si="5"/>
        <v>-0.12482530879143743</v>
      </c>
      <c r="J91" s="86">
        <f t="shared" si="6"/>
        <v>17.283950617283953</v>
      </c>
      <c r="K91" s="86" t="str">
        <f t="shared" si="7"/>
        <v>1+0.0263067385019694j</v>
      </c>
      <c r="L91" s="86">
        <f t="shared" si="8"/>
        <v>0.99985848846139391</v>
      </c>
      <c r="M91" s="86" t="str">
        <f t="shared" si="9"/>
        <v>0.0058674590437386j</v>
      </c>
      <c r="N91" s="86" t="str">
        <f t="shared" si="10"/>
        <v>0.999858488461394+0.0058674590437386j</v>
      </c>
      <c r="O91" s="86" t="str">
        <f t="shared" si="11"/>
        <v>1.00026148314662+0.0204406378026829j</v>
      </c>
      <c r="P91" s="86" t="str">
        <f t="shared" si="12"/>
        <v>17.2884700790774+0.353294974367359j</v>
      </c>
      <c r="R91" s="86">
        <f t="shared" si="13"/>
        <v>6.9135802469135808</v>
      </c>
      <c r="S91" s="86" t="str">
        <f t="shared" si="14"/>
        <v>1+0.00016339589131658j</v>
      </c>
      <c r="T91" s="86" t="str">
        <f t="shared" si="15"/>
        <v>0.999858488461394+0.0058674590437386j</v>
      </c>
      <c r="U91" s="86" t="str">
        <f t="shared" si="16"/>
        <v>1.0001080500148-0.00570550452618255j</v>
      </c>
      <c r="V91" s="86" t="str">
        <f t="shared" si="17"/>
        <v>6.91432725936158-0.0394454633908917j</v>
      </c>
      <c r="X91" s="86" t="str">
        <f t="shared" si="18"/>
        <v>0.530161032198667+0.00967854848622418j</v>
      </c>
      <c r="Y91" s="86">
        <f t="shared" si="19"/>
        <v>-5.5103967764527342</v>
      </c>
      <c r="Z91" s="86">
        <f t="shared" si="20"/>
        <v>-178.95413213411976</v>
      </c>
      <c r="AB91" s="86" t="str">
        <f t="shared" si="21"/>
        <v>2.38227923765214-0.0135906365045796j</v>
      </c>
      <c r="AC91" s="86">
        <f t="shared" si="22"/>
        <v>7.5399946568448204</v>
      </c>
      <c r="AD91" s="86">
        <f t="shared" si="23"/>
        <v>179.67313753449807</v>
      </c>
      <c r="AF91" s="86" t="str">
        <f t="shared" si="24"/>
        <v>1.55676292980448-0.018728644501599j</v>
      </c>
      <c r="AG91" s="86">
        <f t="shared" si="25"/>
        <v>3.845078151626979</v>
      </c>
      <c r="AH91" s="86">
        <f t="shared" si="26"/>
        <v>179.31073607919495</v>
      </c>
      <c r="AJ91" s="86" t="str">
        <f t="shared" si="27"/>
        <v>9999.98951532441-10.2394651200807j</v>
      </c>
      <c r="AK91" s="86" t="str">
        <f t="shared" si="28"/>
        <v>20000-8.71444753688428E-07j</v>
      </c>
      <c r="AL91" s="86" t="str">
        <f t="shared" si="43"/>
        <v>10000-10200174.8834522j</v>
      </c>
      <c r="AM91" s="86" t="str">
        <f t="shared" si="44"/>
        <v>963.138679806378-3165572.16675235j</v>
      </c>
      <c r="AN91" s="86" t="str">
        <f t="shared" si="45"/>
        <v>10963.1386798064-3165572.16675235j</v>
      </c>
      <c r="AO91" s="86" t="str">
        <f t="shared" si="46"/>
        <v>19998.7641692768-126.347376237761j</v>
      </c>
      <c r="AP91" s="86" t="str">
        <f t="shared" si="47"/>
        <v>0.666666821995281+0.000227543792192572j</v>
      </c>
      <c r="AQ91" s="86" t="str">
        <f t="shared" si="29"/>
        <v>1+0.126795211661666j</v>
      </c>
      <c r="AR91" s="86">
        <f t="shared" si="30"/>
        <v>9.6685149340138805E-8</v>
      </c>
      <c r="AS91" s="86" t="str">
        <f t="shared" si="31"/>
        <v>0.000010605090502249j</v>
      </c>
      <c r="AT91" s="86" t="str">
        <f t="shared" si="32"/>
        <v>9.66851493401388E-08+0.000010605090502249j</v>
      </c>
      <c r="AU91" s="86" t="str">
        <f t="shared" si="33"/>
        <v>1.92220110995065-14.1266264221745j</v>
      </c>
      <c r="AW91" s="86" t="str">
        <f t="shared" si="48"/>
        <v>1.27041535559912-9.41924084868821j</v>
      </c>
      <c r="AX91" s="86">
        <f t="shared" si="34"/>
        <v>19.558611129076922</v>
      </c>
      <c r="AY91" s="86">
        <f t="shared" si="35"/>
        <v>97.681385471197515</v>
      </c>
      <c r="AZ91" s="86" t="str">
        <f t="shared" si="36"/>
        <v>2.89847064631464-22.4565276615827j</v>
      </c>
      <c r="BA91" s="86">
        <f t="shared" si="37"/>
        <v>27.098605785921773</v>
      </c>
      <c r="BB91" s="86">
        <f t="shared" si="38"/>
        <v>97.354523005695569</v>
      </c>
      <c r="BD91" s="86" t="str">
        <f t="shared" si="39"/>
        <v>1.80132591772107-14.6873181377023j</v>
      </c>
      <c r="BE91" s="86">
        <f t="shared" si="40"/>
        <v>23.403689280703915</v>
      </c>
      <c r="BF91" s="86">
        <f t="shared" si="41"/>
        <v>96.992121550392469</v>
      </c>
      <c r="BH91" s="86">
        <f t="shared" si="49"/>
        <v>-22.403689280703915</v>
      </c>
      <c r="BI91" s="159">
        <f t="shared" si="50"/>
        <v>-96.992121550392469</v>
      </c>
      <c r="BJ91" s="88"/>
      <c r="BK91" s="88"/>
      <c r="BL91" s="88"/>
      <c r="BM91" s="88"/>
      <c r="BN91" s="42"/>
      <c r="BO91" s="42"/>
      <c r="BP91" s="42"/>
    </row>
    <row r="92" spans="1:68" s="86" customFormat="1">
      <c r="A92" s="86">
        <v>28</v>
      </c>
      <c r="B92" s="86">
        <f t="shared" si="42"/>
        <v>363.0780547701014</v>
      </c>
      <c r="C92" s="86" t="str">
        <f t="shared" si="0"/>
        <v>2281.28669909085j</v>
      </c>
      <c r="D92" s="86">
        <f t="shared" si="1"/>
        <v>0.9999978907892183</v>
      </c>
      <c r="E92" s="86" t="str">
        <f t="shared" si="2"/>
        <v>-0.00228128669909085j</v>
      </c>
      <c r="F92" s="86" t="str">
        <f t="shared" si="3"/>
        <v>0.999997890789218-0.00228128669909085j</v>
      </c>
      <c r="G92" s="86">
        <f t="shared" si="4"/>
        <v>4.2814982396590421E-6</v>
      </c>
      <c r="H92" s="86">
        <f t="shared" si="5"/>
        <v>-0.13070814866132074</v>
      </c>
      <c r="J92" s="86">
        <f t="shared" si="6"/>
        <v>17.283950617283953</v>
      </c>
      <c r="K92" s="86" t="str">
        <f t="shared" si="7"/>
        <v>1+0.027546536891522j</v>
      </c>
      <c r="L92" s="86">
        <f t="shared" si="8"/>
        <v>0.99984483568341564</v>
      </c>
      <c r="M92" s="86" t="str">
        <f t="shared" si="9"/>
        <v>0.00614398386921814j</v>
      </c>
      <c r="N92" s="86" t="str">
        <f t="shared" si="10"/>
        <v>0.999844835683416+0.00614398386921814j</v>
      </c>
      <c r="O92" s="86" t="str">
        <f t="shared" si="11"/>
        <v>1.00028671532714+0.0214041126024629j</v>
      </c>
      <c r="P92" s="86" t="str">
        <f t="shared" si="12"/>
        <v>17.2889061908395+0.369947625227754j</v>
      </c>
      <c r="R92" s="86">
        <f t="shared" si="13"/>
        <v>6.9135802469135808</v>
      </c>
      <c r="S92" s="86" t="str">
        <f t="shared" si="14"/>
        <v>1+0.000171096502431814j</v>
      </c>
      <c r="T92" s="86" t="str">
        <f t="shared" si="15"/>
        <v>0.999844835683416+0.00614398386921814j</v>
      </c>
      <c r="U92" s="86" t="str">
        <f t="shared" si="16"/>
        <v>1.00011847520812-0.00597454231232869j</v>
      </c>
      <c r="V92" s="86" t="str">
        <f t="shared" si="17"/>
        <v>6.91439933477219-0.041305477714865j</v>
      </c>
      <c r="X92" s="86" t="str">
        <f t="shared" si="18"/>
        <v>0.530176584086451+0.0101347245363756j</v>
      </c>
      <c r="Y92" s="86">
        <f t="shared" si="19"/>
        <v>-5.5100024724912977</v>
      </c>
      <c r="Z92" s="86">
        <f t="shared" si="20"/>
        <v>-178.90488141759411</v>
      </c>
      <c r="AB92" s="86" t="str">
        <f t="shared" si="21"/>
        <v>2.38230407069053-0.0142314903923873j</v>
      </c>
      <c r="AC92" s="86">
        <f t="shared" si="22"/>
        <v>7.5400988391798984</v>
      </c>
      <c r="AD92" s="86">
        <f t="shared" si="23"/>
        <v>179.65772856361713</v>
      </c>
      <c r="AF92" s="86" t="str">
        <f t="shared" si="24"/>
        <v>1.55675190720225-0.0196112935300701j</v>
      </c>
      <c r="AG92" s="86">
        <f t="shared" si="25"/>
        <v>3.8450772945871448</v>
      </c>
      <c r="AH92" s="86">
        <f t="shared" si="26"/>
        <v>179.27825049695699</v>
      </c>
      <c r="AJ92" s="86" t="str">
        <f t="shared" si="27"/>
        <v>9999.98850378298-10.7220351594285j</v>
      </c>
      <c r="AK92" s="86" t="str">
        <f t="shared" si="28"/>
        <v>20000-9.1251467963634E-07j</v>
      </c>
      <c r="AL92" s="86" t="str">
        <f t="shared" si="43"/>
        <v>10000-9741091.38981891j</v>
      </c>
      <c r="AM92" s="86" t="str">
        <f t="shared" si="44"/>
        <v>963.138637328134-3023098.00976304j</v>
      </c>
      <c r="AN92" s="86" t="str">
        <f t="shared" si="45"/>
        <v>10963.1386373281-3023098.00976304j</v>
      </c>
      <c r="AO92" s="86" t="str">
        <f t="shared" si="46"/>
        <v>19998.6449511198-132.300720949339j</v>
      </c>
      <c r="AP92" s="86" t="str">
        <f t="shared" si="47"/>
        <v>0.666666836981098+0.000238267590024695j</v>
      </c>
      <c r="AQ92" s="86" t="str">
        <f t="shared" si="29"/>
        <v>1+0.132770885887087j</v>
      </c>
      <c r="AR92" s="86">
        <f t="shared" si="30"/>
        <v>9.6365338527991329E-8</v>
      </c>
      <c r="AS92" s="86" t="str">
        <f t="shared" si="31"/>
        <v>0.0000111048930195684j</v>
      </c>
      <c r="AT92" s="86" t="str">
        <f t="shared" si="32"/>
        <v>9.63653385279913E-08+0.0000111048930195684j</v>
      </c>
      <c r="AU92" s="86" t="str">
        <f t="shared" si="33"/>
        <v>1.91048178076071-13.4909805535676j</v>
      </c>
      <c r="AW92" s="86" t="str">
        <f t="shared" si="48"/>
        <v>1.26260217530649-8.99553755354458j</v>
      </c>
      <c r="AX92" s="86">
        <f t="shared" si="34"/>
        <v>19.165269045807168</v>
      </c>
      <c r="AY92" s="86">
        <f t="shared" si="35"/>
        <v>97.989767685980027</v>
      </c>
      <c r="AZ92" s="86" t="str">
        <f t="shared" si="36"/>
        <v>2.87988239562774-21.4480744425861j</v>
      </c>
      <c r="BA92" s="86">
        <f t="shared" si="37"/>
        <v>26.70536788498708</v>
      </c>
      <c r="BB92" s="86">
        <f t="shared" si="38"/>
        <v>97.647496249597154</v>
      </c>
      <c r="BD92" s="86" t="str">
        <f t="shared" si="39"/>
        <v>1.78914421702275-14.0285815046616j</v>
      </c>
      <c r="BE92" s="86">
        <f t="shared" si="40"/>
        <v>23.010346340394292</v>
      </c>
      <c r="BF92" s="86">
        <f t="shared" si="41"/>
        <v>97.268018182937013</v>
      </c>
      <c r="BH92" s="86">
        <f t="shared" si="49"/>
        <v>-22.010346340394292</v>
      </c>
      <c r="BI92" s="159">
        <f t="shared" si="50"/>
        <v>-97.268018182937013</v>
      </c>
      <c r="BJ92" s="88"/>
      <c r="BK92" s="88"/>
      <c r="BL92" s="88"/>
      <c r="BM92" s="88"/>
      <c r="BN92" s="42"/>
      <c r="BO92" s="42"/>
      <c r="BP92" s="42"/>
    </row>
    <row r="93" spans="1:68" s="86" customFormat="1">
      <c r="A93" s="86">
        <v>29</v>
      </c>
      <c r="B93" s="86">
        <f t="shared" si="42"/>
        <v>380.18939632056117</v>
      </c>
      <c r="C93" s="86" t="str">
        <f t="shared" si="0"/>
        <v>2388.80042890683j</v>
      </c>
      <c r="D93" s="86">
        <f t="shared" si="1"/>
        <v>0.99999768729636684</v>
      </c>
      <c r="E93" s="86" t="str">
        <f t="shared" si="2"/>
        <v>-0.00238880042890683j</v>
      </c>
      <c r="F93" s="86" t="str">
        <f t="shared" si="3"/>
        <v>0.999997687296367-0.00238880042890683j</v>
      </c>
      <c r="G93" s="86">
        <f t="shared" si="4"/>
        <v>4.6945712915333445E-6</v>
      </c>
      <c r="H93" s="86">
        <f t="shared" si="5"/>
        <v>-0.13686823887071339</v>
      </c>
      <c r="J93" s="86">
        <f t="shared" si="6"/>
        <v>17.283950617283953</v>
      </c>
      <c r="K93" s="86" t="str">
        <f t="shared" si="7"/>
        <v>1+0.02884476517905j</v>
      </c>
      <c r="L93" s="86">
        <f t="shared" si="8"/>
        <v>0.99982986571004584</v>
      </c>
      <c r="M93" s="86" t="str">
        <f t="shared" si="9"/>
        <v>0.00643354090822253j</v>
      </c>
      <c r="N93" s="86" t="str">
        <f t="shared" si="10"/>
        <v>0.999829865710046+0.00643354090822253j</v>
      </c>
      <c r="O93" s="86" t="str">
        <f t="shared" si="11"/>
        <v>1.00031438282548+0.0224130148984344j</v>
      </c>
      <c r="P93" s="86" t="str">
        <f t="shared" si="12"/>
        <v>17.2893843945145+0.38738544268899j</v>
      </c>
      <c r="R93" s="86">
        <f t="shared" si="13"/>
        <v>6.9135802469135808</v>
      </c>
      <c r="S93" s="86" t="str">
        <f t="shared" si="14"/>
        <v>1+0.000179160032168012j</v>
      </c>
      <c r="T93" s="86" t="str">
        <f t="shared" si="15"/>
        <v>0.999829865710046+0.00643354090822253j</v>
      </c>
      <c r="U93" s="86" t="str">
        <f t="shared" si="16"/>
        <v>1.00012990635146-0.00625628104181369j</v>
      </c>
      <c r="V93" s="86" t="str">
        <f t="shared" si="17"/>
        <v>6.91447836489898-0.043253301029823j</v>
      </c>
      <c r="X93" s="86" t="str">
        <f t="shared" si="18"/>
        <v>0.53019363693032+0.0106124054421329j</v>
      </c>
      <c r="Y93" s="86">
        <f t="shared" si="19"/>
        <v>-5.5095701480024317</v>
      </c>
      <c r="Z93" s="86">
        <f t="shared" si="20"/>
        <v>-178.8533154377007</v>
      </c>
      <c r="AB93" s="86" t="str">
        <f t="shared" si="21"/>
        <v>2.38233129992385-0.0149025982048729j</v>
      </c>
      <c r="AC93" s="86">
        <f t="shared" si="22"/>
        <v>7.5402130738491744</v>
      </c>
      <c r="AD93" s="86">
        <f t="shared" si="23"/>
        <v>179.64159273572608</v>
      </c>
      <c r="AF93" s="86" t="str">
        <f t="shared" si="24"/>
        <v>1.55673982099943-0.0205355398132944j</v>
      </c>
      <c r="AG93" s="86">
        <f t="shared" si="25"/>
        <v>3.8450763544020656</v>
      </c>
      <c r="AH93" s="86">
        <f t="shared" si="26"/>
        <v>179.24423368315487</v>
      </c>
      <c r="AJ93" s="86" t="str">
        <f t="shared" si="27"/>
        <v>9999.9873946501-11.2273478633794j</v>
      </c>
      <c r="AK93" s="86" t="str">
        <f t="shared" si="28"/>
        <v>20000-9.55520171562732E-07j</v>
      </c>
      <c r="AL93" s="86" t="str">
        <f t="shared" si="43"/>
        <v>10000-9302670.05703431j</v>
      </c>
      <c r="AM93" s="86" t="str">
        <f t="shared" si="44"/>
        <v>963.138590751671-2887036.24896626j</v>
      </c>
      <c r="AN93" s="86" t="str">
        <f t="shared" si="45"/>
        <v>10963.1385907517-2887036.24896626j</v>
      </c>
      <c r="AO93" s="86" t="str">
        <f t="shared" si="46"/>
        <v>19998.5142335506-138.534456887824j</v>
      </c>
      <c r="AP93" s="86" t="str">
        <f t="shared" si="47"/>
        <v>0.666666853412718+0.000249496783291229j</v>
      </c>
      <c r="AQ93" s="86" t="str">
        <f t="shared" si="29"/>
        <v>1+0.139028184962377j</v>
      </c>
      <c r="AR93" s="86">
        <f t="shared" si="30"/>
        <v>9.6014672945580815E-8</v>
      </c>
      <c r="AS93" s="86" t="str">
        <f t="shared" si="31"/>
        <v>0.0000116282505038412j</v>
      </c>
      <c r="AT93" s="86" t="str">
        <f t="shared" si="32"/>
        <v>9.60146729455808E-08+0.0000116282505038412j</v>
      </c>
      <c r="AU93" s="86" t="str">
        <f t="shared" si="33"/>
        <v>1.8997934625301-12.8839322736074j</v>
      </c>
      <c r="AW93" s="86" t="str">
        <f t="shared" si="48"/>
        <v>1.25547632321747-8.59090260616002j</v>
      </c>
      <c r="AX93" s="86">
        <f t="shared" si="34"/>
        <v>18.772551443791755</v>
      </c>
      <c r="AY93" s="86">
        <f t="shared" si="35"/>
        <v>98.314360881455812</v>
      </c>
      <c r="AZ93" s="86" t="str">
        <f t="shared" si="36"/>
        <v>2.86293377135749-20.485086032453j</v>
      </c>
      <c r="BA93" s="86">
        <f t="shared" si="37"/>
        <v>26.312764517640922</v>
      </c>
      <c r="BB93" s="86">
        <f t="shared" si="38"/>
        <v>97.955953617181891</v>
      </c>
      <c r="BD93" s="86" t="str">
        <f t="shared" si="39"/>
        <v>1.77803116417366-13.3995820693572j</v>
      </c>
      <c r="BE93" s="86">
        <f t="shared" si="40"/>
        <v>22.617627798193844</v>
      </c>
      <c r="BF93" s="86">
        <f t="shared" si="41"/>
        <v>97.558594564610686</v>
      </c>
      <c r="BH93" s="86">
        <f t="shared" si="49"/>
        <v>-21.617627798193844</v>
      </c>
      <c r="BI93" s="159">
        <f t="shared" si="50"/>
        <v>-97.558594564610686</v>
      </c>
      <c r="BJ93" s="88"/>
      <c r="BK93" s="88"/>
      <c r="BL93" s="88"/>
      <c r="BM93" s="88"/>
      <c r="BN93" s="42"/>
      <c r="BO93" s="42"/>
      <c r="BP93" s="42"/>
    </row>
    <row r="94" spans="1:68" s="86" customFormat="1">
      <c r="A94" s="86">
        <v>30</v>
      </c>
      <c r="B94" s="86">
        <f t="shared" si="42"/>
        <v>398.10717055349727</v>
      </c>
      <c r="C94" s="86" t="str">
        <f t="shared" si="0"/>
        <v>2501.38112470457j</v>
      </c>
      <c r="D94" s="86">
        <f t="shared" si="1"/>
        <v>0.99999746417089208</v>
      </c>
      <c r="E94" s="86" t="str">
        <f t="shared" si="2"/>
        <v>-0.00250138112470457j</v>
      </c>
      <c r="F94" s="86" t="str">
        <f t="shared" si="3"/>
        <v>0.999997464170892-0.00250138112470457j</v>
      </c>
      <c r="G94" s="86">
        <f t="shared" si="4"/>
        <v>5.1474972485264746E-6</v>
      </c>
      <c r="H94" s="86">
        <f t="shared" si="5"/>
        <v>-0.14331864592008872</v>
      </c>
      <c r="J94" s="86">
        <f t="shared" si="6"/>
        <v>17.283950617283953</v>
      </c>
      <c r="K94" s="86" t="str">
        <f t="shared" si="7"/>
        <v>1+0.0302041770808077j</v>
      </c>
      <c r="L94" s="86">
        <f t="shared" si="8"/>
        <v>0.99981345146064893</v>
      </c>
      <c r="M94" s="86" t="str">
        <f t="shared" si="9"/>
        <v>0.00673674435005311j</v>
      </c>
      <c r="N94" s="86" t="str">
        <f t="shared" si="10"/>
        <v>0.999813451460649+0.00673674435005311j</v>
      </c>
      <c r="O94" s="86" t="str">
        <f t="shared" si="11"/>
        <v>1.00034472079146+0.0234694886337343j</v>
      </c>
      <c r="P94" s="86" t="str">
        <f t="shared" si="12"/>
        <v>17.2899087544203+0.405645482558371j</v>
      </c>
      <c r="R94" s="86">
        <f t="shared" si="13"/>
        <v>6.9135802469135808</v>
      </c>
      <c r="S94" s="86" t="str">
        <f t="shared" si="14"/>
        <v>1+0.000187603584352843j</v>
      </c>
      <c r="T94" s="86" t="str">
        <f t="shared" si="15"/>
        <v>0.999813451460649+0.00673674435005311j</v>
      </c>
      <c r="U94" s="86" t="str">
        <f t="shared" si="16"/>
        <v>1.00014244052665-0.00655132249075485j</v>
      </c>
      <c r="V94" s="86" t="str">
        <f t="shared" si="17"/>
        <v>6.91456502092499-0.0452930937632434j</v>
      </c>
      <c r="X94" s="86" t="str">
        <f t="shared" si="18"/>
        <v>0.530212335648657+0.0111126055756985j</v>
      </c>
      <c r="Y94" s="86">
        <f t="shared" si="19"/>
        <v>-5.509096139119773</v>
      </c>
      <c r="Z94" s="86">
        <f t="shared" si="20"/>
        <v>-178.79932594550016</v>
      </c>
      <c r="AB94" s="86" t="str">
        <f t="shared" si="21"/>
        <v>2.38236115660315-0.0156053933859025j</v>
      </c>
      <c r="AC94" s="86">
        <f t="shared" si="22"/>
        <v>7.5403383308883498</v>
      </c>
      <c r="AD94" s="86">
        <f t="shared" si="23"/>
        <v>179.62469569809872</v>
      </c>
      <c r="AF94" s="86" t="str">
        <f t="shared" si="24"/>
        <v>1.5567265685495-0.0215033436633847j</v>
      </c>
      <c r="AG94" s="86">
        <f t="shared" si="25"/>
        <v>3.8450753229574448</v>
      </c>
      <c r="AH94" s="86">
        <f t="shared" si="26"/>
        <v>179.20861343851703</v>
      </c>
      <c r="AJ94" s="86" t="str">
        <f t="shared" si="27"/>
        <v>9999.98617851036-11.7564750368893j</v>
      </c>
      <c r="AK94" s="86" t="str">
        <f t="shared" si="28"/>
        <v>20000-1.00055244988183E-06j</v>
      </c>
      <c r="AL94" s="86" t="str">
        <f t="shared" si="43"/>
        <v>10000-8883980.93467134j</v>
      </c>
      <c r="AM94" s="86" t="str">
        <f t="shared" si="44"/>
        <v>963.138539681609-2757098.27912521j</v>
      </c>
      <c r="AN94" s="86" t="str">
        <f t="shared" si="45"/>
        <v>10963.1385396816-2757098.27912521j</v>
      </c>
      <c r="AO94" s="86" t="str">
        <f t="shared" si="46"/>
        <v>19998.3709076405-145.061771636575j</v>
      </c>
      <c r="AP94" s="86" t="str">
        <f t="shared" si="47"/>
        <v>0.666666871429628+0.000261255190310072j</v>
      </c>
      <c r="AQ94" s="86" t="str">
        <f t="shared" si="29"/>
        <v>1+0.145580381457806j</v>
      </c>
      <c r="AR94" s="86">
        <f t="shared" si="30"/>
        <v>9.5630175780329833E-8</v>
      </c>
      <c r="AS94" s="86" t="str">
        <f t="shared" si="31"/>
        <v>0.0000121762730664594j</v>
      </c>
      <c r="AT94" s="86" t="str">
        <f t="shared" si="32"/>
        <v>9.56301757803298E-08+0.0000121762730664594j</v>
      </c>
      <c r="AU94" s="86" t="str">
        <f t="shared" si="33"/>
        <v>1.89004546406266-12.3041963499266j</v>
      </c>
      <c r="AW94" s="86" t="str">
        <f t="shared" si="48"/>
        <v>1.24897733593223-8.20447932051846j</v>
      </c>
      <c r="AX94" s="86">
        <f t="shared" si="34"/>
        <v>18.380516824439269</v>
      </c>
      <c r="AY94" s="86">
        <f t="shared" si="35"/>
        <v>98.655747071380532</v>
      </c>
      <c r="AZ94" s="86" t="str">
        <f t="shared" si="36"/>
        <v>2.84748096327944-19.5655236260143j</v>
      </c>
      <c r="BA94" s="86">
        <f t="shared" si="37"/>
        <v>25.920855155327626</v>
      </c>
      <c r="BB94" s="86">
        <f t="shared" si="38"/>
        <v>98.280442769479251</v>
      </c>
      <c r="BD94" s="86" t="str">
        <f t="shared" si="39"/>
        <v>1.76789246395364-12.7989881282484j</v>
      </c>
      <c r="BE94" s="86">
        <f t="shared" si="40"/>
        <v>22.225592147396735</v>
      </c>
      <c r="BF94" s="86">
        <f t="shared" si="41"/>
        <v>97.864360509897566</v>
      </c>
      <c r="BH94" s="86">
        <f t="shared" si="49"/>
        <v>-21.225592147396735</v>
      </c>
      <c r="BI94" s="159">
        <f t="shared" si="50"/>
        <v>-97.864360509897566</v>
      </c>
      <c r="BJ94" s="88"/>
      <c r="BK94" s="88"/>
      <c r="BL94" s="88"/>
      <c r="BM94" s="88"/>
      <c r="BN94" s="42"/>
      <c r="BO94" s="42"/>
      <c r="BP94" s="42"/>
    </row>
    <row r="95" spans="1:68" s="86" customFormat="1">
      <c r="A95" s="86">
        <v>31</v>
      </c>
      <c r="B95" s="86">
        <f t="shared" si="42"/>
        <v>416.86938347033549</v>
      </c>
      <c r="C95" s="86" t="str">
        <f t="shared" si="0"/>
        <v>2619.26758523382j</v>
      </c>
      <c r="D95" s="86">
        <f t="shared" si="1"/>
        <v>0.99999721951867404</v>
      </c>
      <c r="E95" s="86" t="str">
        <f t="shared" si="2"/>
        <v>-0.00261926758523382j</v>
      </c>
      <c r="F95" s="86" t="str">
        <f t="shared" si="3"/>
        <v>0.999997219518674-0.00261926758523382j</v>
      </c>
      <c r="G95" s="86">
        <f t="shared" si="4"/>
        <v>5.6441211300979781E-6</v>
      </c>
      <c r="H95" s="86">
        <f t="shared" si="5"/>
        <v>-0.15007305212911939</v>
      </c>
      <c r="J95" s="86">
        <f t="shared" si="6"/>
        <v>17.283950617283953</v>
      </c>
      <c r="K95" s="86" t="str">
        <f t="shared" si="7"/>
        <v>1+0.0316276560916984j</v>
      </c>
      <c r="L95" s="86">
        <f t="shared" si="8"/>
        <v>0.99979545359407929</v>
      </c>
      <c r="M95" s="86" t="str">
        <f t="shared" si="9"/>
        <v>0.00705423732986121j</v>
      </c>
      <c r="N95" s="86" t="str">
        <f t="shared" si="10"/>
        <v>0.999795453594079+0.00705423732986121j</v>
      </c>
      <c r="O95" s="86" t="str">
        <f t="shared" si="11"/>
        <v>1.00037798710114+0.0245757792384341j</v>
      </c>
      <c r="P95" s="86" t="str">
        <f t="shared" si="12"/>
        <v>17.290483727674+0.424766554738367j</v>
      </c>
      <c r="R95" s="86">
        <f t="shared" si="13"/>
        <v>6.9135802469135808</v>
      </c>
      <c r="S95" s="86" t="str">
        <f t="shared" si="14"/>
        <v>1+0.000196445068892536j</v>
      </c>
      <c r="T95" s="86" t="str">
        <f t="shared" si="15"/>
        <v>0.999795453594079+0.00705423732986121j</v>
      </c>
      <c r="U95" s="86" t="str">
        <f t="shared" si="16"/>
        <v>1.00015618418774-0.00686029727044636j</v>
      </c>
      <c r="V95" s="86" t="str">
        <f t="shared" si="17"/>
        <v>6.91466003882882-0.0474292156969131j</v>
      </c>
      <c r="X95" s="86" t="str">
        <f t="shared" si="18"/>
        <v>0.530232839163339+0.0116363872453337j</v>
      </c>
      <c r="Y95" s="86">
        <f t="shared" si="19"/>
        <v>-5.5085764293592092</v>
      </c>
      <c r="Z95" s="86">
        <f t="shared" si="20"/>
        <v>-178.74279971852985</v>
      </c>
      <c r="AB95" s="86" t="str">
        <f t="shared" si="21"/>
        <v>2.38239389430431-0.0163413780653642j</v>
      </c>
      <c r="AC95" s="86">
        <f t="shared" si="22"/>
        <v>7.5404756739614323</v>
      </c>
      <c r="AD95" s="86">
        <f t="shared" si="23"/>
        <v>179.60700146463415</v>
      </c>
      <c r="AF95" s="86" t="str">
        <f t="shared" si="24"/>
        <v>1.55671203729617-0.0225167577632523j</v>
      </c>
      <c r="AG95" s="86">
        <f t="shared" si="25"/>
        <v>3.8450741913368707</v>
      </c>
      <c r="AH95" s="86">
        <f t="shared" si="26"/>
        <v>179.1713141560073</v>
      </c>
      <c r="AJ95" s="86" t="str">
        <f t="shared" si="27"/>
        <v>9999.98484504-12.310538993998j</v>
      </c>
      <c r="AK95" s="86" t="str">
        <f t="shared" si="28"/>
        <v>20000-1.04770703409353E-06j</v>
      </c>
      <c r="AL95" s="86" t="str">
        <f t="shared" si="43"/>
        <v>10000-8484135.92696694j</v>
      </c>
      <c r="AM95" s="86" t="str">
        <f t="shared" si="44"/>
        <v>963.138483684393-2633008.4843848j</v>
      </c>
      <c r="AN95" s="86" t="str">
        <f t="shared" si="45"/>
        <v>10963.1384836844-2633008.4843848j</v>
      </c>
      <c r="AO95" s="86" t="str">
        <f t="shared" si="46"/>
        <v>19998.213757577-151.896470314792j</v>
      </c>
      <c r="AP95" s="86" t="str">
        <f t="shared" si="47"/>
        <v>0.666666891184777+0.000273567751887016j</v>
      </c>
      <c r="AQ95" s="86" t="str">
        <f t="shared" si="29"/>
        <v>1+0.152441373460608j</v>
      </c>
      <c r="AR95" s="86">
        <f t="shared" si="30"/>
        <v>9.5208583022153259E-8</v>
      </c>
      <c r="AS95" s="86" t="str">
        <f t="shared" si="31"/>
        <v>0.0000127501231367529j</v>
      </c>
      <c r="AT95" s="86" t="str">
        <f t="shared" si="32"/>
        <v>9.52085830221533E-08+0.0000127501231367529j</v>
      </c>
      <c r="AU95" s="86" t="str">
        <f t="shared" si="33"/>
        <v>1.88115506945181-11.7505451739149j</v>
      </c>
      <c r="AW95" s="86" t="str">
        <f t="shared" si="48"/>
        <v>1.24305006678292-7.83544943370156j</v>
      </c>
      <c r="AX95" s="86">
        <f t="shared" si="34"/>
        <v>17.989228834314986</v>
      </c>
      <c r="AY95" s="86">
        <f t="shared" si="35"/>
        <v>99.014528745965251</v>
      </c>
      <c r="AZ95" s="86" t="str">
        <f t="shared" si="36"/>
        <v>2.83339284791003-18.6874400410762j</v>
      </c>
      <c r="BA95" s="86">
        <f t="shared" si="37"/>
        <v>25.529704508276399</v>
      </c>
      <c r="BB95" s="86">
        <f t="shared" si="38"/>
        <v>98.621530210599403</v>
      </c>
      <c r="BD95" s="86" t="str">
        <f t="shared" si="39"/>
        <v>1.75864208505791-12.22552790831j</v>
      </c>
      <c r="BE95" s="86">
        <f t="shared" si="40"/>
        <v>21.834303025651835</v>
      </c>
      <c r="BF95" s="86">
        <f t="shared" si="41"/>
        <v>98.185842901972578</v>
      </c>
      <c r="BH95" s="86">
        <f t="shared" si="49"/>
        <v>-20.834303025651835</v>
      </c>
      <c r="BI95" s="159">
        <f t="shared" si="50"/>
        <v>-98.185842901972578</v>
      </c>
      <c r="BJ95" s="88"/>
      <c r="BK95" s="88"/>
      <c r="BL95" s="88"/>
      <c r="BM95" s="88"/>
      <c r="BN95" s="42"/>
      <c r="BO95" s="42"/>
      <c r="BP95" s="42"/>
    </row>
    <row r="96" spans="1:68" s="86" customFormat="1">
      <c r="A96" s="86">
        <v>32</v>
      </c>
      <c r="B96" s="86">
        <f t="shared" si="42"/>
        <v>436.51583224016599</v>
      </c>
      <c r="C96" s="86" t="str">
        <f t="shared" si="0"/>
        <v>2742.70986348268j</v>
      </c>
      <c r="D96" s="86">
        <f t="shared" si="1"/>
        <v>0.99999695126285126</v>
      </c>
      <c r="E96" s="86" t="str">
        <f t="shared" si="2"/>
        <v>-0.00274270986348268j</v>
      </c>
      <c r="F96" s="86" t="str">
        <f t="shared" si="3"/>
        <v>0.999996951262851-0.00274270986348268j</v>
      </c>
      <c r="G96" s="86">
        <f t="shared" si="4"/>
        <v>6.18865891721699E-6</v>
      </c>
      <c r="H96" s="86">
        <f t="shared" si="5"/>
        <v>-0.15714578466141704</v>
      </c>
      <c r="J96" s="86">
        <f t="shared" si="6"/>
        <v>17.283950617283953</v>
      </c>
      <c r="K96" s="86" t="str">
        <f t="shared" si="7"/>
        <v>1+0.0331182216015534j</v>
      </c>
      <c r="L96" s="86">
        <f t="shared" si="8"/>
        <v>0.99977571932580844</v>
      </c>
      <c r="M96" s="86" t="str">
        <f t="shared" si="9"/>
        <v>0.00738669329282403j</v>
      </c>
      <c r="N96" s="86" t="str">
        <f t="shared" si="10"/>
        <v>0.999775719325808+0.00738669329282403j</v>
      </c>
      <c r="O96" s="86" t="str">
        <f t="shared" si="11"/>
        <v>1.00041446455735+0.0257342384785193j</v>
      </c>
      <c r="P96" s="86" t="str">
        <f t="shared" si="12"/>
        <v>17.2911142022258+0.444789307036136j</v>
      </c>
      <c r="R96" s="86">
        <f t="shared" si="13"/>
        <v>6.9135802469135808</v>
      </c>
      <c r="S96" s="86" t="str">
        <f t="shared" si="14"/>
        <v>1+0.000205703239761201j</v>
      </c>
      <c r="T96" s="86" t="str">
        <f t="shared" si="15"/>
        <v>0.999775719325808+0.00738669329282403j</v>
      </c>
      <c r="U96" s="86" t="str">
        <f t="shared" si="16"/>
        <v>1.00017125406647-0.00718386625669438j</v>
      </c>
      <c r="V96" s="86" t="str">
        <f t="shared" si="17"/>
        <v>6.91476422564473-0.0496662358487513j</v>
      </c>
      <c r="X96" s="86" t="str">
        <f t="shared" si="18"/>
        <v>0.530255321755203+0.0121848629737627j</v>
      </c>
      <c r="Y96" s="86">
        <f t="shared" si="19"/>
        <v>-5.5080066157740131</v>
      </c>
      <c r="Z96" s="86">
        <f t="shared" si="20"/>
        <v>-178.68361834532968</v>
      </c>
      <c r="AB96" s="86" t="str">
        <f t="shared" si="21"/>
        <v>2.38242979108487-0.0171121264638752j</v>
      </c>
      <c r="AC96" s="86">
        <f t="shared" si="22"/>
        <v>7.5406262694024884</v>
      </c>
      <c r="AD96" s="86">
        <f t="shared" si="23"/>
        <v>179.58847233674544</v>
      </c>
      <c r="AF96" s="86" t="str">
        <f t="shared" si="24"/>
        <v>1.55669610381607-0.0235779315175198j</v>
      </c>
      <c r="AG96" s="86">
        <f t="shared" si="25"/>
        <v>3.8450729497411085</v>
      </c>
      <c r="AH96" s="86">
        <f t="shared" si="26"/>
        <v>179.13225665946388</v>
      </c>
      <c r="AJ96" s="86" t="str">
        <f t="shared" si="27"/>
        <v>9999.98338291922-12.8907149377279j</v>
      </c>
      <c r="AK96" s="86" t="str">
        <f t="shared" si="28"/>
        <v>20000-1.09708394539307E-06j</v>
      </c>
      <c r="AL96" s="86" t="str">
        <f t="shared" si="43"/>
        <v>10000-8102286.9090515j</v>
      </c>
      <c r="AM96" s="86" t="str">
        <f t="shared" si="44"/>
        <v>963.138422284679-2514503.65365335j</v>
      </c>
      <c r="AN96" s="86" t="str">
        <f t="shared" si="45"/>
        <v>10963.1384222847-2514503.65365335j</v>
      </c>
      <c r="AO96" s="86" t="str">
        <f t="shared" si="46"/>
        <v>19998.0414503733-159.053004092546j</v>
      </c>
      <c r="AP96" s="86" t="str">
        <f t="shared" si="47"/>
        <v>0.666666912845864+0.000286460584211846j</v>
      </c>
      <c r="AQ96" s="86" t="str">
        <f t="shared" si="29"/>
        <v>1+0.159625714054692j</v>
      </c>
      <c r="AR96" s="86">
        <f t="shared" ref="AR96:AR127" si="51">(IMPRODUCT(C96,C96))*_res1*_Cap1*_cap2 + (1/Roerr)</f>
        <v>9.4746315755160761E-8</v>
      </c>
      <c r="AS96" s="86" t="str">
        <f t="shared" si="31"/>
        <v>0.0000133510179276583j</v>
      </c>
      <c r="AT96" s="86" t="str">
        <f t="shared" si="32"/>
        <v>9.47463157551608E-08+0.0000133510179276583j</v>
      </c>
      <c r="AU96" s="86" t="str">
        <f t="shared" si="33"/>
        <v>1.87304683709958-11.2218061967074j</v>
      </c>
      <c r="AW96" s="86" t="str">
        <f t="shared" si="48"/>
        <v>1.23764421848988-7.48303139685062j</v>
      </c>
      <c r="AX96" s="86">
        <f t="shared" si="34"/>
        <v>17.598756679169924</v>
      </c>
      <c r="AY96" s="86">
        <f t="shared" si="35"/>
        <v>99.391328067610388</v>
      </c>
      <c r="AZ96" s="86" t="str">
        <f t="shared" si="36"/>
        <v>2.82054987729819-17.8489756518644j</v>
      </c>
      <c r="BA96" s="86">
        <f t="shared" si="37"/>
        <v>25.139382948572404</v>
      </c>
      <c r="BB96" s="86">
        <f t="shared" si="38"/>
        <v>98.979800404355856</v>
      </c>
      <c r="BD96" s="86" t="str">
        <f t="shared" si="39"/>
        <v>1.75020153101529-11.6779869108373j</v>
      </c>
      <c r="BE96" s="86">
        <f t="shared" si="40"/>
        <v>21.44382962891104</v>
      </c>
      <c r="BF96" s="86">
        <f t="shared" si="41"/>
        <v>98.523584727074265</v>
      </c>
      <c r="BH96" s="86">
        <f t="shared" si="49"/>
        <v>-20.44382962891104</v>
      </c>
      <c r="BI96" s="159">
        <f t="shared" si="50"/>
        <v>-98.523584727074265</v>
      </c>
      <c r="BJ96" s="88"/>
      <c r="BK96" s="88"/>
      <c r="BL96" s="88"/>
      <c r="BM96" s="88"/>
      <c r="BN96" s="42"/>
      <c r="BO96" s="42"/>
      <c r="BP96" s="42"/>
    </row>
    <row r="97" spans="1:68" s="86" customFormat="1">
      <c r="A97" s="86">
        <v>33</v>
      </c>
      <c r="B97" s="86">
        <f t="shared" si="42"/>
        <v>457.08818961487509</v>
      </c>
      <c r="C97" s="86" t="str">
        <f t="shared" si="0"/>
        <v>2871.9697970735j</v>
      </c>
      <c r="D97" s="86">
        <f t="shared" si="1"/>
        <v>0.99999665712619068</v>
      </c>
      <c r="E97" s="86" t="str">
        <f t="shared" si="2"/>
        <v>-0.0028719697970735j</v>
      </c>
      <c r="F97" s="86" t="str">
        <f t="shared" si="3"/>
        <v>0.999996657126191-0.0028719697970735j</v>
      </c>
      <c r="G97" s="86">
        <f t="shared" si="4"/>
        <v>6.7857333748416943E-6</v>
      </c>
      <c r="H97" s="86">
        <f t="shared" si="5"/>
        <v>-0.16455184591747177</v>
      </c>
      <c r="J97" s="86">
        <f t="shared" si="6"/>
        <v>17.283950617283953</v>
      </c>
      <c r="K97" s="86" t="str">
        <f t="shared" si="7"/>
        <v>1+0.0346790352996625j</v>
      </c>
      <c r="L97" s="86">
        <f t="shared" si="8"/>
        <v>0.99975408113093267</v>
      </c>
      <c r="M97" s="86" t="str">
        <f t="shared" si="9"/>
        <v>0.00773481742261215j</v>
      </c>
      <c r="N97" s="86" t="str">
        <f t="shared" si="10"/>
        <v>0.999754081130933+0.00773481742261215j</v>
      </c>
      <c r="O97" s="86" t="str">
        <f t="shared" si="11"/>
        <v>1.00045446330421+0.0269473295431726j</v>
      </c>
      <c r="P97" s="86" t="str">
        <f t="shared" si="12"/>
        <v>17.2918055385913+0.465756313091872j</v>
      </c>
      <c r="R97" s="86">
        <f t="shared" si="13"/>
        <v>6.9135802469135808</v>
      </c>
      <c r="S97" s="86" t="str">
        <f t="shared" si="14"/>
        <v>1+0.000215397734780512j</v>
      </c>
      <c r="T97" s="86" t="str">
        <f t="shared" si="15"/>
        <v>0.999754081130933+0.00773481742261215j</v>
      </c>
      <c r="U97" s="86" t="str">
        <f t="shared" si="16"/>
        <v>1.00018777816532-0.00752272209696673j</v>
      </c>
      <c r="V97" s="86" t="str">
        <f t="shared" si="17"/>
        <v>6.91487846632814-0.0520089428926095j</v>
      </c>
      <c r="X97" s="86" t="str">
        <f t="shared" si="18"/>
        <v>0.530279974551233+0.0127591978867969j</v>
      </c>
      <c r="Y97" s="86">
        <f t="shared" si="19"/>
        <v>-5.5073818718791232</v>
      </c>
      <c r="Z97" s="86">
        <f t="shared" si="20"/>
        <v>-178.62165800260195</v>
      </c>
      <c r="AB97" s="86" t="str">
        <f t="shared" si="21"/>
        <v>2.38246915184955-0.0179192884828451j</v>
      </c>
      <c r="AC97" s="86">
        <f t="shared" si="22"/>
        <v>7.5407913961315698</v>
      </c>
      <c r="AD97" s="86">
        <f t="shared" si="23"/>
        <v>179.56906882020365</v>
      </c>
      <c r="AF97" s="86" t="str">
        <f t="shared" si="24"/>
        <v>1.55667863276878-0.0246891156081227j</v>
      </c>
      <c r="AG97" s="86">
        <f t="shared" si="25"/>
        <v>3.8450715873986656</v>
      </c>
      <c r="AH97" s="86">
        <f t="shared" si="26"/>
        <v>179.09135803452156</v>
      </c>
      <c r="AJ97" s="86" t="str">
        <f t="shared" si="27"/>
        <v>9999.98177973616-13.4982334520631j</v>
      </c>
      <c r="AK97" s="86" t="str">
        <f t="shared" si="28"/>
        <v>20000-0.0000011487879188294j</v>
      </c>
      <c r="AL97" s="86" t="str">
        <f t="shared" si="43"/>
        <v>10000-7737623.92796271j</v>
      </c>
      <c r="AM97" s="86" t="str">
        <f t="shared" si="44"/>
        <v>963.138354961241-2401332.42229666j</v>
      </c>
      <c r="AN97" s="86" t="str">
        <f t="shared" si="45"/>
        <v>10963.1383549612-2401332.42229666j</v>
      </c>
      <c r="AO97" s="86" t="str">
        <f t="shared" si="46"/>
        <v>19997.8525245887-166.546499962573j</v>
      </c>
      <c r="AP97" s="86" t="str">
        <f t="shared" si="47"/>
        <v>0.666666936596768+0.000299961034246503j</v>
      </c>
      <c r="AQ97" s="86" t="str">
        <f t="shared" si="29"/>
        <v>1+0.167148642189678j</v>
      </c>
      <c r="AR97" s="86">
        <f t="shared" si="51"/>
        <v>9.4239449776112799E-8</v>
      </c>
      <c r="AS97" s="86" t="str">
        <f t="shared" si="31"/>
        <v>0.0000139802320175903j</v>
      </c>
      <c r="AT97" s="86" t="str">
        <f t="shared" si="32"/>
        <v>9.42394497761128E-08+0.0000139802320175903j</v>
      </c>
      <c r="AU97" s="86" t="str">
        <f t="shared" si="33"/>
        <v>1.8656519602863-10.7168594768153j</v>
      </c>
      <c r="AW97" s="86" t="str">
        <f t="shared" si="48"/>
        <v>1.23271391685034-7.14647874057275j</v>
      </c>
      <c r="AX97" s="86">
        <f t="shared" si="34"/>
        <v>17.209175561381521</v>
      </c>
      <c r="AY97" s="86">
        <f t="shared" si="35"/>
        <v>99.786785839060755</v>
      </c>
      <c r="AZ97" s="86" t="str">
        <f t="shared" si="36"/>
        <v>2.80884306576273-17.0483545000561j</v>
      </c>
      <c r="BA97" s="86">
        <f t="shared" si="37"/>
        <v>24.749966957513113</v>
      </c>
      <c r="BB97" s="86">
        <f t="shared" si="38"/>
        <v>99.355854659264409</v>
      </c>
      <c r="BD97" s="86" t="str">
        <f t="shared" si="39"/>
        <v>1.74249917486065-11.1552053713908j</v>
      </c>
      <c r="BE97" s="86">
        <f t="shared" si="40"/>
        <v>21.054247148780185</v>
      </c>
      <c r="BF97" s="86">
        <f t="shared" si="41"/>
        <v>98.878143873582346</v>
      </c>
      <c r="BH97" s="86">
        <f t="shared" si="49"/>
        <v>-20.054247148780185</v>
      </c>
      <c r="BI97" s="159">
        <f t="shared" si="50"/>
        <v>-98.878143873582346</v>
      </c>
      <c r="BJ97" s="88"/>
      <c r="BK97" s="88"/>
      <c r="BL97" s="88"/>
      <c r="BM97" s="88"/>
      <c r="BN97" s="42"/>
      <c r="BO97" s="42"/>
      <c r="BP97" s="42"/>
    </row>
    <row r="98" spans="1:68" s="86" customFormat="1">
      <c r="A98" s="86">
        <v>34</v>
      </c>
      <c r="B98" s="86">
        <f t="shared" si="42"/>
        <v>478.6300923226384</v>
      </c>
      <c r="C98" s="86" t="str">
        <f t="shared" si="0"/>
        <v>3007.32156365561j</v>
      </c>
      <c r="D98" s="86">
        <f t="shared" si="1"/>
        <v>0.99999633461175552</v>
      </c>
      <c r="E98" s="86" t="str">
        <f t="shared" si="2"/>
        <v>-0.00300732156365561j</v>
      </c>
      <c r="F98" s="86" t="str">
        <f t="shared" si="3"/>
        <v>0.999996334611756-0.00300732156365561j</v>
      </c>
      <c r="G98" s="86">
        <f t="shared" si="4"/>
        <v>7.4404132629732773E-6</v>
      </c>
      <c r="H98" s="86">
        <f t="shared" si="5"/>
        <v>-0.17230694536032298</v>
      </c>
      <c r="J98" s="86">
        <f t="shared" si="6"/>
        <v>17.283950617283953</v>
      </c>
      <c r="K98" s="86" t="str">
        <f t="shared" si="7"/>
        <v>1+0.0363134078811415j</v>
      </c>
      <c r="L98" s="86">
        <f t="shared" si="8"/>
        <v>0.99973035532204746</v>
      </c>
      <c r="M98" s="86" t="str">
        <f t="shared" si="9"/>
        <v>0.00809934813717866j</v>
      </c>
      <c r="N98" s="86" t="str">
        <f t="shared" si="10"/>
        <v>0.999730355322047+0.00809934813717866j</v>
      </c>
      <c r="O98" s="86" t="str">
        <f t="shared" si="11"/>
        <v>1.0004983234765+0.0282176323830382j</v>
      </c>
      <c r="P98" s="86" t="str">
        <f t="shared" si="12"/>
        <v>17.2925636156432+0.487712164645105j</v>
      </c>
      <c r="R98" s="86">
        <f t="shared" si="13"/>
        <v>6.9135802469135808</v>
      </c>
      <c r="S98" s="86" t="str">
        <f t="shared" si="14"/>
        <v>1+0.000225549117274171j</v>
      </c>
      <c r="T98" s="86" t="str">
        <f t="shared" si="15"/>
        <v>0.999730355322047+0.00809934813717866j</v>
      </c>
      <c r="U98" s="86" t="str">
        <f t="shared" si="16"/>
        <v>1.00020589684657-0.00787759080057964j</v>
      </c>
      <c r="V98" s="86" t="str">
        <f t="shared" si="17"/>
        <v>6.91500373128493-0.0544623561521555j</v>
      </c>
      <c r="X98" s="86" t="str">
        <f t="shared" si="18"/>
        <v>0.530307007156289+0.0133606122177932j</v>
      </c>
      <c r="Y98" s="86">
        <f t="shared" si="19"/>
        <v>-5.5066969070411229</v>
      </c>
      <c r="Z98" s="86">
        <f t="shared" si="20"/>
        <v>-178.55678922506664</v>
      </c>
      <c r="AB98" s="86" t="str">
        <f t="shared" si="21"/>
        <v>2.38251231094437-0.0187645934923358j</v>
      </c>
      <c r="AC98" s="86">
        <f t="shared" si="22"/>
        <v>7.5409724565280918</v>
      </c>
      <c r="AD98" s="86">
        <f t="shared" si="23"/>
        <v>179.54874953769897</v>
      </c>
      <c r="AF98" s="86" t="str">
        <f t="shared" si="24"/>
        <v>1.55665947574508-0.0258526667641917j</v>
      </c>
      <c r="AG98" s="86">
        <f t="shared" si="25"/>
        <v>3.8450700924659125</v>
      </c>
      <c r="AH98" s="86">
        <f t="shared" si="26"/>
        <v>179.04853145143662</v>
      </c>
      <c r="AJ98" s="86" t="str">
        <f t="shared" si="27"/>
        <v>9999.98002188149-14.1343831112869j</v>
      </c>
      <c r="AK98" s="86" t="str">
        <f t="shared" si="28"/>
        <v>20000-1.20292862546224E-06j</v>
      </c>
      <c r="AL98" s="86" t="str">
        <f t="shared" si="43"/>
        <v>10000-7389373.48462651j</v>
      </c>
      <c r="AM98" s="86" t="str">
        <f t="shared" si="44"/>
        <v>963.138281142558-2293254.7389599j</v>
      </c>
      <c r="AN98" s="86" t="str">
        <f t="shared" si="45"/>
        <v>10963.1382811426-2293254.7389599j</v>
      </c>
      <c r="AO98" s="86" t="str">
        <f t="shared" si="46"/>
        <v>19997.6453779655-174.392791815246j</v>
      </c>
      <c r="AP98" s="86" t="str">
        <f t="shared" si="47"/>
        <v>0.666666962639115+0.00031409773772284j</v>
      </c>
      <c r="AQ98" s="86" t="str">
        <f t="shared" si="29"/>
        <v>1+0.175026115004757j</v>
      </c>
      <c r="AR98" s="86">
        <f t="shared" si="51"/>
        <v>9.3683682281719947E-8</v>
      </c>
      <c r="AS98" s="86" t="str">
        <f t="shared" si="31"/>
        <v>0.0000146391000539941j</v>
      </c>
      <c r="AT98" s="86" t="str">
        <f t="shared" si="32"/>
        <v>9.36836822817199E-08+0.0000146391000539941j</v>
      </c>
      <c r="AU98" s="86" t="str">
        <f t="shared" si="33"/>
        <v>1.85890768389612-10.2346353348594j</v>
      </c>
      <c r="AW98" s="86" t="str">
        <f t="shared" si="48"/>
        <v>1.22821732186285-6.82507851176564j</v>
      </c>
      <c r="AX98" s="86">
        <f t="shared" si="34"/>
        <v>16.820567140236811</v>
      </c>
      <c r="AY98" s="86">
        <f t="shared" si="35"/>
        <v>100.20156021130381</v>
      </c>
      <c r="AZ98" s="86" t="str">
        <f t="shared" si="36"/>
        <v>2.7981730660268-16.2838805762085j</v>
      </c>
      <c r="BA98" s="86">
        <f t="shared" si="37"/>
        <v>24.361539596764892</v>
      </c>
      <c r="BB98" s="86">
        <f t="shared" si="38"/>
        <v>99.750309749002767</v>
      </c>
      <c r="BD98" s="86" t="str">
        <f t="shared" si="39"/>
        <v>1.73546965194793-10.6560758311802j</v>
      </c>
      <c r="BE98" s="86">
        <f t="shared" si="40"/>
        <v>20.665637232702689</v>
      </c>
      <c r="BF98" s="86">
        <f t="shared" si="41"/>
        <v>99.250091662740488</v>
      </c>
      <c r="BH98" s="86">
        <f t="shared" si="49"/>
        <v>-19.665637232702689</v>
      </c>
      <c r="BI98" s="159">
        <f t="shared" si="50"/>
        <v>-99.250091662740488</v>
      </c>
      <c r="BJ98" s="88"/>
      <c r="BK98" s="88"/>
      <c r="BL98" s="88"/>
      <c r="BM98" s="88"/>
      <c r="BN98" s="42"/>
      <c r="BO98" s="42"/>
      <c r="BP98" s="42"/>
    </row>
    <row r="99" spans="1:68" s="86" customFormat="1">
      <c r="A99" s="86">
        <v>35</v>
      </c>
      <c r="B99" s="86">
        <f t="shared" si="42"/>
        <v>501.18723362727235</v>
      </c>
      <c r="C99" s="86" t="str">
        <f t="shared" si="0"/>
        <v>3149.05226247286j</v>
      </c>
      <c r="D99" s="86">
        <f t="shared" si="1"/>
        <v>0.99999598098170961</v>
      </c>
      <c r="E99" s="86" t="str">
        <f t="shared" si="2"/>
        <v>-0.00314905226247286j</v>
      </c>
      <c r="F99" s="86" t="str">
        <f t="shared" si="3"/>
        <v>0.99999598098171-0.00314905226247286j</v>
      </c>
      <c r="G99" s="86">
        <f t="shared" si="4"/>
        <v>8.1582564126474306E-6</v>
      </c>
      <c r="H99" s="86">
        <f t="shared" si="5"/>
        <v>-0.18042753284152951</v>
      </c>
      <c r="J99" s="86">
        <f t="shared" si="6"/>
        <v>17.283950617283953</v>
      </c>
      <c r="K99" s="86" t="str">
        <f t="shared" si="7"/>
        <v>1+0.0380248060693598j</v>
      </c>
      <c r="L99" s="86">
        <f t="shared" si="8"/>
        <v>0.99970434048991896</v>
      </c>
      <c r="M99" s="86" t="str">
        <f t="shared" si="9"/>
        <v>0.00848105865504265j</v>
      </c>
      <c r="N99" s="86" t="str">
        <f t="shared" si="10"/>
        <v>0.999704340489919+0.00848105865504265j</v>
      </c>
      <c r="O99" s="86" t="str">
        <f t="shared" si="11"/>
        <v>1.00054641810694+0.0295478493129538j</v>
      </c>
      <c r="P99" s="86" t="str">
        <f t="shared" si="12"/>
        <v>17.2933948808607+0.510703568372041j</v>
      </c>
      <c r="R99" s="86">
        <f t="shared" si="13"/>
        <v>6.9135802469135808</v>
      </c>
      <c r="S99" s="86" t="str">
        <f t="shared" si="14"/>
        <v>1+0.000236178919685465j</v>
      </c>
      <c r="T99" s="86" t="str">
        <f t="shared" si="15"/>
        <v>0.999704340489919+0.00848105865504265j</v>
      </c>
      <c r="U99" s="86" t="str">
        <f t="shared" si="16"/>
        <v>1.00022576402689-0.00824923341762222j</v>
      </c>
      <c r="V99" s="86" t="str">
        <f t="shared" si="17"/>
        <v>6.91514108463035-0.0570317372082524j</v>
      </c>
      <c r="X99" s="86" t="str">
        <f t="shared" si="18"/>
        <v>0.530336649443559+0.0139903839338818j</v>
      </c>
      <c r="Y99" s="86">
        <f t="shared" si="19"/>
        <v>-5.5059459220011595</v>
      </c>
      <c r="Z99" s="86">
        <f t="shared" si="20"/>
        <v>-178.48887666813789</v>
      </c>
      <c r="AB99" s="86" t="str">
        <f t="shared" si="21"/>
        <v>2.38255963500219-0.0196498543302964j</v>
      </c>
      <c r="AC99" s="86">
        <f t="shared" si="22"/>
        <v>7.5411709883568872</v>
      </c>
      <c r="AD99" s="86">
        <f t="shared" si="23"/>
        <v>179.52747113686365</v>
      </c>
      <c r="AF99" s="86" t="str">
        <f t="shared" si="24"/>
        <v>1.55663847000385-0.0270710527562442j</v>
      </c>
      <c r="AG99" s="86">
        <f t="shared" si="25"/>
        <v>3.8450684519173066</v>
      </c>
      <c r="AH99" s="86">
        <f t="shared" si="26"/>
        <v>179.00368597941389</v>
      </c>
      <c r="AJ99" s="86" t="str">
        <f t="shared" si="27"/>
        <v>9999.97809443288-14.8005132121878j</v>
      </c>
      <c r="AK99" s="86" t="str">
        <f t="shared" si="28"/>
        <v>20000-1.25962090498914E-06j</v>
      </c>
      <c r="AL99" s="86" t="str">
        <f t="shared" si="43"/>
        <v>10000-7056796.89316166j</v>
      </c>
      <c r="AM99" s="86" t="str">
        <f t="shared" si="44"/>
        <v>963.138200202014-2190041.35638647j</v>
      </c>
      <c r="AN99" s="86" t="str">
        <f t="shared" si="45"/>
        <v>10963.138200202-2190041.35638647j</v>
      </c>
      <c r="AO99" s="86" t="str">
        <f t="shared" si="46"/>
        <v>19997.4182538803-182.608452863351j</v>
      </c>
      <c r="AP99" s="86" t="str">
        <f t="shared" si="47"/>
        <v>0.666666991193975+0.00032890067987262j</v>
      </c>
      <c r="AQ99" s="86" t="str">
        <f t="shared" si="29"/>
        <v>1+0.18327484167592j</v>
      </c>
      <c r="AR99" s="86">
        <f t="shared" si="51"/>
        <v>9.3074295341993048E-8</v>
      </c>
      <c r="AS99" s="86" t="str">
        <f t="shared" si="31"/>
        <v>0.0000153290195843106j</v>
      </c>
      <c r="AT99" s="86" t="str">
        <f t="shared" si="32"/>
        <v>9.3074295341993E-08+0.0000153290195843106j</v>
      </c>
      <c r="AU99" s="86" t="str">
        <f t="shared" si="33"/>
        <v>1.85275677237589-9.77411211101334j</v>
      </c>
      <c r="AW99" s="86" t="str">
        <f t="shared" si="48"/>
        <v>1.22411627300544-6.51814977893262j</v>
      </c>
      <c r="AX99" s="86">
        <f t="shared" si="34"/>
        <v>16.433020013975273</v>
      </c>
      <c r="AY99" s="86">
        <f t="shared" si="35"/>
        <v>100.63632509561501</v>
      </c>
      <c r="AZ99" s="86" t="str">
        <f t="shared" si="36"/>
        <v>2.788449326953-15.5539342646312j</v>
      </c>
      <c r="BA99" s="86">
        <f t="shared" si="37"/>
        <v>23.974191002332155</v>
      </c>
      <c r="BB99" s="86">
        <f t="shared" si="38"/>
        <v>100.16379623247866</v>
      </c>
      <c r="BD99" s="86" t="str">
        <f t="shared" si="39"/>
        <v>1.72905330577941-10.1795408153399j</v>
      </c>
      <c r="BE99" s="86">
        <f t="shared" si="40"/>
        <v>20.278088465892573</v>
      </c>
      <c r="BF99" s="86">
        <f t="shared" si="41"/>
        <v>99.64001107502888</v>
      </c>
      <c r="BH99" s="86">
        <f t="shared" si="49"/>
        <v>-19.278088465892573</v>
      </c>
      <c r="BI99" s="159">
        <f t="shared" si="50"/>
        <v>-99.64001107502888</v>
      </c>
      <c r="BJ99" s="88"/>
      <c r="BK99" s="88"/>
      <c r="BL99" s="88"/>
      <c r="BM99" s="88"/>
      <c r="BN99" s="42"/>
      <c r="BO99" s="42"/>
      <c r="BP99" s="42"/>
    </row>
    <row r="100" spans="1:68" s="86" customFormat="1">
      <c r="A100" s="86">
        <v>36</v>
      </c>
      <c r="B100" s="86">
        <f t="shared" si="42"/>
        <v>524.80746024977259</v>
      </c>
      <c r="C100" s="86" t="str">
        <f t="shared" si="0"/>
        <v>3297.46252333961j</v>
      </c>
      <c r="D100" s="86">
        <f t="shared" si="1"/>
        <v>0.99999559323407461</v>
      </c>
      <c r="E100" s="86" t="str">
        <f t="shared" si="2"/>
        <v>-0.00329746252333961j</v>
      </c>
      <c r="F100" s="86" t="str">
        <f t="shared" si="3"/>
        <v>0.999995593234075-0.00329746252333961j</v>
      </c>
      <c r="G100" s="86">
        <f t="shared" si="4"/>
        <v>8.9453568847839559E-6</v>
      </c>
      <c r="H100" s="86">
        <f t="shared" si="5"/>
        <v>-0.1889308334982111</v>
      </c>
      <c r="J100" s="86">
        <f t="shared" si="6"/>
        <v>17.283950617283953</v>
      </c>
      <c r="K100" s="86" t="str">
        <f t="shared" si="7"/>
        <v>1+0.0398168599693258j</v>
      </c>
      <c r="L100" s="86">
        <f t="shared" si="8"/>
        <v>0.99967581579371378</v>
      </c>
      <c r="M100" s="86" t="str">
        <f t="shared" si="9"/>
        <v>0.00888075863538933j</v>
      </c>
      <c r="N100" s="86" t="str">
        <f t="shared" si="10"/>
        <v>0.999675815793714+0.00888075863538933j</v>
      </c>
      <c r="O100" s="86" t="str">
        <f t="shared" si="11"/>
        <v>1.00059915631683+0.0309408108935232j</v>
      </c>
      <c r="P100" s="86" t="str">
        <f t="shared" si="12"/>
        <v>17.2943064054761+0.534779447542376j</v>
      </c>
      <c r="R100" s="86">
        <f t="shared" si="13"/>
        <v>6.9135802469135808</v>
      </c>
      <c r="S100" s="86" t="str">
        <f t="shared" si="14"/>
        <v>1+0.000247309689250471j</v>
      </c>
      <c r="T100" s="86" t="str">
        <f t="shared" si="15"/>
        <v>0.999675815793714+0.00888075863538933j</v>
      </c>
      <c r="U100" s="86" t="str">
        <f t="shared" si="16"/>
        <v>1.00024754848759-0.00863844781285542j</v>
      </c>
      <c r="V100" s="86" t="str">
        <f t="shared" si="17"/>
        <v>6.91529169324754-0.0597226021629511j</v>
      </c>
      <c r="X100" s="86" t="str">
        <f t="shared" si="18"/>
        <v>0.530369153519335+0.0146498514902575j</v>
      </c>
      <c r="Y100" s="86">
        <f t="shared" si="19"/>
        <v>-5.5051225601675258</v>
      </c>
      <c r="Z100" s="86">
        <f t="shared" si="20"/>
        <v>-178.41777886361987</v>
      </c>
      <c r="AB100" s="86" t="str">
        <f t="shared" si="21"/>
        <v>2.38261152606379-0.0205769715280289j</v>
      </c>
      <c r="AC100" s="86">
        <f t="shared" si="22"/>
        <v>7.5413886778477135</v>
      </c>
      <c r="AD100" s="86">
        <f t="shared" si="23"/>
        <v>179.50518819348051</v>
      </c>
      <c r="AF100" s="86" t="str">
        <f t="shared" si="24"/>
        <v>1.55661543708662-0.0283468576251868j</v>
      </c>
      <c r="AG100" s="86">
        <f t="shared" si="25"/>
        <v>3.845066651423573</v>
      </c>
      <c r="AH100" s="86">
        <f t="shared" si="26"/>
        <v>178.95672639201348</v>
      </c>
      <c r="AJ100" s="86" t="str">
        <f t="shared" si="27"/>
        <v>9999.97598102835-15.4980366349165j</v>
      </c>
      <c r="AK100" s="86" t="str">
        <f t="shared" si="28"/>
        <v>20000-1.31898500933584E-06j</v>
      </c>
      <c r="AL100" s="86" t="str">
        <f t="shared" si="43"/>
        <v>10000-6739188.71402852j</v>
      </c>
      <c r="AM100" s="86" t="str">
        <f t="shared" si="44"/>
        <v>963.13811145247-2091473.3451539j</v>
      </c>
      <c r="AN100" s="86" t="str">
        <f t="shared" si="45"/>
        <v>10963.1381114525-2091473.3451539j</v>
      </c>
      <c r="AO100" s="86" t="str">
        <f t="shared" si="46"/>
        <v>19997.1692264945-191.210829463346j</v>
      </c>
      <c r="AP100" s="86" t="str">
        <f t="shared" si="47"/>
        <v>0.66666702250375+0.000344401259018556j</v>
      </c>
      <c r="AQ100" s="86" t="str">
        <f t="shared" si="29"/>
        <v>1+0.191912318858365j</v>
      </c>
      <c r="AR100" s="86">
        <f t="shared" si="51"/>
        <v>9.2406115849568084E-8</v>
      </c>
      <c r="AS100" s="86" t="str">
        <f t="shared" si="31"/>
        <v>0.000016051454020363j</v>
      </c>
      <c r="AT100" s="86" t="str">
        <f t="shared" si="32"/>
        <v>9.24061158495681E-08+0.000016051454020363j</v>
      </c>
      <c r="AU100" s="86" t="str">
        <f t="shared" si="33"/>
        <v>1.84714702443358-9.3343140208977j</v>
      </c>
      <c r="AW100" s="86" t="str">
        <f t="shared" si="48"/>
        <v>1.2203759656718-6.22504220314998j</v>
      </c>
      <c r="AX100" s="86">
        <f t="shared" si="34"/>
        <v>16.046630221875834</v>
      </c>
      <c r="AY100" s="86">
        <f t="shared" si="35"/>
        <v>101.09176824127124</v>
      </c>
      <c r="AZ100" s="86" t="str">
        <f t="shared" si="36"/>
        <v>2.77958932576586-14.8569689449578j</v>
      </c>
      <c r="BA100" s="86">
        <f t="shared" si="37"/>
        <v>23.588018899723551</v>
      </c>
      <c r="BB100" s="86">
        <f t="shared" si="38"/>
        <v>100.59695643475175</v>
      </c>
      <c r="BD100" s="86" t="str">
        <f t="shared" si="39"/>
        <v>1.72319568217074-9.72459061368704j</v>
      </c>
      <c r="BE100" s="86">
        <f t="shared" si="40"/>
        <v>19.891696873299388</v>
      </c>
      <c r="BF100" s="86">
        <f t="shared" si="41"/>
        <v>100.04849463328473</v>
      </c>
      <c r="BH100" s="86">
        <f t="shared" si="49"/>
        <v>-18.891696873299388</v>
      </c>
      <c r="BI100" s="159">
        <f t="shared" si="50"/>
        <v>-100.04849463328473</v>
      </c>
      <c r="BJ100" s="88"/>
      <c r="BK100" s="88"/>
      <c r="BL100" s="88"/>
      <c r="BM100" s="88"/>
      <c r="BN100" s="42"/>
      <c r="BO100" s="42"/>
      <c r="BP100" s="42"/>
    </row>
    <row r="101" spans="1:68" s="86" customFormat="1">
      <c r="A101" s="86">
        <v>37</v>
      </c>
      <c r="B101" s="86">
        <f t="shared" si="42"/>
        <v>549.54087385762455</v>
      </c>
      <c r="C101" s="86" t="str">
        <f t="shared" si="0"/>
        <v>3452.86714431686j</v>
      </c>
      <c r="D101" s="86">
        <f t="shared" si="1"/>
        <v>0.99999516807724731</v>
      </c>
      <c r="E101" s="86" t="str">
        <f t="shared" si="2"/>
        <v>-0.00345286714431686j</v>
      </c>
      <c r="F101" s="86" t="str">
        <f t="shared" si="3"/>
        <v>0.999995168077247-0.00345286714431686j</v>
      </c>
      <c r="G101" s="86">
        <f t="shared" si="4"/>
        <v>9.8083967191094829E-6</v>
      </c>
      <c r="H101" s="86">
        <f t="shared" si="5"/>
        <v>-0.19783488429527027</v>
      </c>
      <c r="J101" s="86">
        <f t="shared" si="6"/>
        <v>17.283950617283953</v>
      </c>
      <c r="K101" s="86" t="str">
        <f t="shared" si="7"/>
        <v>1+0.0416933707676261j</v>
      </c>
      <c r="L101" s="86">
        <f t="shared" si="8"/>
        <v>0.99964453908627315</v>
      </c>
      <c r="M101" s="86" t="str">
        <f t="shared" si="9"/>
        <v>0.00929929589546572j</v>
      </c>
      <c r="N101" s="86" t="str">
        <f t="shared" si="10"/>
        <v>0.999644539086273+0.00929929589546572j</v>
      </c>
      <c r="O101" s="86" t="str">
        <f t="shared" si="11"/>
        <v>1.00065698681783+0.0323994821068559j</v>
      </c>
      <c r="P101" s="86" t="str">
        <f t="shared" si="12"/>
        <v>17.2953059449995+0.559991048760472j</v>
      </c>
      <c r="R101" s="86">
        <f t="shared" si="13"/>
        <v>6.9135802469135808</v>
      </c>
      <c r="S101" s="86" t="str">
        <f t="shared" si="14"/>
        <v>1+0.000258965035823764j</v>
      </c>
      <c r="T101" s="86" t="str">
        <f t="shared" si="15"/>
        <v>0.999644539086273+0.00929929589546572j</v>
      </c>
      <c r="U101" s="86" t="str">
        <f t="shared" si="16"/>
        <v>1.00027143531171-0.00904607054142236j</v>
      </c>
      <c r="V101" s="86" t="str">
        <f t="shared" si="17"/>
        <v>6.91545683672293-0.0625407346073645j</v>
      </c>
      <c r="X101" s="86" t="str">
        <f t="shared" si="18"/>
        <v>0.530404795879217+0.0153404167191959j</v>
      </c>
      <c r="Y101" s="86">
        <f t="shared" si="19"/>
        <v>-5.5042198542825638</v>
      </c>
      <c r="Z101" s="86">
        <f t="shared" si="20"/>
        <v>-178.34334796870891</v>
      </c>
      <c r="AB101" s="86" t="str">
        <f t="shared" si="21"/>
        <v>2.38266842500101-0.0215479377781713j</v>
      </c>
      <c r="AC101" s="86">
        <f t="shared" si="22"/>
        <v>7.541627374039253</v>
      </c>
      <c r="AD101" s="86">
        <f t="shared" si="23"/>
        <v>179.48185310957859</v>
      </c>
      <c r="AF101" s="86" t="str">
        <f t="shared" si="24"/>
        <v>1.55659018129778-0.0296827871571j</v>
      </c>
      <c r="AG101" s="86">
        <f t="shared" si="25"/>
        <v>3.8450646752158395</v>
      </c>
      <c r="AH101" s="86">
        <f t="shared" si="26"/>
        <v>178.90755296319176</v>
      </c>
      <c r="AJ101" s="86" t="str">
        <f t="shared" si="27"/>
        <v>9999.9736637274-16.2284328385335j</v>
      </c>
      <c r="AK101" s="86" t="str">
        <f t="shared" si="28"/>
        <v>20000-1.38114685772674E-06j</v>
      </c>
      <c r="AL101" s="86" t="str">
        <f t="shared" si="43"/>
        <v>10000-6435875.25769654j</v>
      </c>
      <c r="AM101" s="86" t="str">
        <f t="shared" si="44"/>
        <v>963.138014140566-1997341.62929508j</v>
      </c>
      <c r="AN101" s="86" t="str">
        <f t="shared" si="45"/>
        <v>10963.1380141406-1997341.62929508j</v>
      </c>
      <c r="AO101" s="86" t="str">
        <f t="shared" si="46"/>
        <v>19996.8961844817-200.218076379462j</v>
      </c>
      <c r="AP101" s="86" t="str">
        <f t="shared" si="47"/>
        <v>0.666667056834231+0.000360632353160912j</v>
      </c>
      <c r="AQ101" s="86" t="str">
        <f t="shared" si="29"/>
        <v>1+0.200956867799241j</v>
      </c>
      <c r="AR101" s="86">
        <f t="shared" si="51"/>
        <v>9.1673471605014052E-8</v>
      </c>
      <c r="AS101" s="86" t="str">
        <f t="shared" si="31"/>
        <v>0.0000168079357424485j</v>
      </c>
      <c r="AT101" s="86" t="str">
        <f t="shared" si="32"/>
        <v>9.16734716050141E-08+0.0000168079357424485j</v>
      </c>
      <c r="AU101" s="86" t="str">
        <f t="shared" si="33"/>
        <v>1.84203083037648-8.91430910582178j</v>
      </c>
      <c r="AW101" s="86" t="str">
        <f t="shared" si="48"/>
        <v>1.2169646560315-5.94513467195155j</v>
      </c>
      <c r="AX101" s="86">
        <f t="shared" si="34"/>
        <v>15.661501763931598</v>
      </c>
      <c r="AY101" s="86">
        <f t="shared" si="35"/>
        <v>101.56858893768512</v>
      </c>
      <c r="AZ101" s="86" t="str">
        <f t="shared" si="36"/>
        <v>2.77151786827441-14.1915077439241j</v>
      </c>
      <c r="BA101" s="86">
        <f t="shared" si="37"/>
        <v>23.203129137970855</v>
      </c>
      <c r="BB101" s="86">
        <f t="shared" si="38"/>
        <v>101.05044204726373</v>
      </c>
      <c r="BD101" s="86" t="str">
        <f t="shared" si="39"/>
        <v>1.71784706747723-9.2902611597155j</v>
      </c>
      <c r="BE101" s="86">
        <f t="shared" si="40"/>
        <v>19.506566439147463</v>
      </c>
      <c r="BF101" s="86">
        <f t="shared" si="41"/>
        <v>100.47614190087687</v>
      </c>
      <c r="BH101" s="86">
        <f t="shared" si="49"/>
        <v>-18.506566439147463</v>
      </c>
      <c r="BI101" s="159">
        <f t="shared" si="50"/>
        <v>-100.47614190087687</v>
      </c>
      <c r="BJ101" s="88"/>
      <c r="BK101" s="88"/>
      <c r="BL101" s="88"/>
      <c r="BM101" s="88"/>
      <c r="BN101" s="42"/>
      <c r="BO101" s="42"/>
      <c r="BP101" s="42"/>
    </row>
    <row r="102" spans="1:68" s="86" customFormat="1">
      <c r="A102" s="86">
        <v>38</v>
      </c>
      <c r="B102" s="86">
        <f t="shared" si="42"/>
        <v>575.43993733715718</v>
      </c>
      <c r="C102" s="86" t="str">
        <f t="shared" si="0"/>
        <v>3615.59575944117j</v>
      </c>
      <c r="D102" s="86">
        <f t="shared" si="1"/>
        <v>0.9999947019020563</v>
      </c>
      <c r="E102" s="86" t="str">
        <f t="shared" si="2"/>
        <v>-0.00361559575944117j</v>
      </c>
      <c r="F102" s="86" t="str">
        <f t="shared" si="3"/>
        <v>0.999994701902056-0.00361559575944117j</v>
      </c>
      <c r="G102" s="86">
        <f t="shared" si="4"/>
        <v>1.075470269936067E-5</v>
      </c>
      <c r="H102" s="86">
        <f t="shared" si="5"/>
        <v>-0.20715857229041043</v>
      </c>
      <c r="J102" s="86">
        <f t="shared" si="6"/>
        <v>17.283950617283953</v>
      </c>
      <c r="K102" s="86" t="str">
        <f t="shared" si="7"/>
        <v>1+0.0436583187952521j</v>
      </c>
      <c r="L102" s="86">
        <f t="shared" si="8"/>
        <v>0.99961024485851746</v>
      </c>
      <c r="M102" s="86" t="str">
        <f t="shared" si="9"/>
        <v>0.00973755820891471j</v>
      </c>
      <c r="N102" s="86" t="str">
        <f t="shared" si="10"/>
        <v>0.999610244858517+0.00973755820891471j</v>
      </c>
      <c r="O102" s="86" t="str">
        <f t="shared" si="11"/>
        <v>1.00072040175573+0.0339269688428486j</v>
      </c>
      <c r="P102" s="86" t="str">
        <f t="shared" si="12"/>
        <v>17.2964020056546+0.586392054073926j</v>
      </c>
      <c r="R102" s="86">
        <f t="shared" si="13"/>
        <v>6.9135802469135808</v>
      </c>
      <c r="S102" s="86" t="str">
        <f t="shared" si="14"/>
        <v>1+0.000271169681958088j</v>
      </c>
      <c r="T102" s="86" t="str">
        <f t="shared" si="15"/>
        <v>0.999610244858517+0.00973755820891471j</v>
      </c>
      <c r="U102" s="86" t="str">
        <f t="shared" si="16"/>
        <v>1.00029762746051-0.00947297883388357j</v>
      </c>
      <c r="V102" s="86" t="str">
        <f t="shared" si="17"/>
        <v>6.9156379182455-0.0654921993453679j</v>
      </c>
      <c r="X102" s="86" t="str">
        <f t="shared" si="18"/>
        <v>0.530443879774656+0.0160635478608696j</v>
      </c>
      <c r="Y102" s="86">
        <f t="shared" si="19"/>
        <v>-5.5032301680312958</v>
      </c>
      <c r="Z102" s="86">
        <f t="shared" si="20"/>
        <v>-178.2654295086914</v>
      </c>
      <c r="AB102" s="86" t="str">
        <f t="shared" si="21"/>
        <v>2.38273081527202-0.0225648426630953j</v>
      </c>
      <c r="AC102" s="86">
        <f t="shared" si="22"/>
        <v>7.5418891045127054</v>
      </c>
      <c r="AD102" s="86">
        <f t="shared" si="23"/>
        <v>179.45741600609347</v>
      </c>
      <c r="AF102" s="86" t="str">
        <f t="shared" si="24"/>
        <v>1.55656248803778-0.0310816746152942j</v>
      </c>
      <c r="AG102" s="86">
        <f t="shared" si="25"/>
        <v>3.8450625059363785</v>
      </c>
      <c r="AH102" s="86">
        <f t="shared" si="26"/>
        <v>178.85606125350645</v>
      </c>
      <c r="AJ102" s="86" t="str">
        <f t="shared" si="27"/>
        <v>9999.97112285866-16.9932509975807j</v>
      </c>
      <c r="AK102" s="86" t="str">
        <f t="shared" si="28"/>
        <v>20000-1.44623830377647E-06j</v>
      </c>
      <c r="AL102" s="86" t="str">
        <f t="shared" si="43"/>
        <v>10000-6146213.15565899j</v>
      </c>
      <c r="AM102" s="86" t="str">
        <f t="shared" si="44"/>
        <v>963.1379074402-1907446.54282024j</v>
      </c>
      <c r="AN102" s="86" t="str">
        <f t="shared" si="45"/>
        <v>10963.1379074402-1907446.54282024j</v>
      </c>
      <c r="AO102" s="86" t="str">
        <f t="shared" si="46"/>
        <v>19996.5968131955-209.649193536352j</v>
      </c>
      <c r="AP102" s="86" t="str">
        <f t="shared" si="47"/>
        <v>0.666667094476844+0.000377628389700747j</v>
      </c>
      <c r="AQ102" s="86" t="str">
        <f t="shared" si="29"/>
        <v>1+0.210427673199476j</v>
      </c>
      <c r="AR102" s="86">
        <f t="shared" si="51"/>
        <v>9.0870143165330794E-8</v>
      </c>
      <c r="AS102" s="86" t="str">
        <f t="shared" si="31"/>
        <v>0.0000176000693497229j</v>
      </c>
      <c r="AT102" s="86" t="str">
        <f t="shared" si="32"/>
        <v>9.08701431653308E-08+0.0000176000693497229j</v>
      </c>
      <c r="AU102" s="86" t="str">
        <f t="shared" si="33"/>
        <v>1.83736476834739-8.51320727340273j</v>
      </c>
      <c r="AW102" s="86" t="str">
        <f t="shared" si="48"/>
        <v>1.21385339181995-5.67783399348446j</v>
      </c>
      <c r="AX102" s="86">
        <f t="shared" si="34"/>
        <v>15.277747134761961</v>
      </c>
      <c r="AY102" s="86">
        <f t="shared" si="35"/>
        <v>102.06749529722256</v>
      </c>
      <c r="AZ102" s="86" t="str">
        <f t="shared" si="36"/>
        <v>2.7641664511817-13.5561404310769j</v>
      </c>
      <c r="BA102" s="86">
        <f t="shared" si="37"/>
        <v>22.819636239274665</v>
      </c>
      <c r="BB102" s="86">
        <f t="shared" si="38"/>
        <v>101.524911303316</v>
      </c>
      <c r="BD102" s="86" t="str">
        <f t="shared" si="39"/>
        <v>1.71296206697922-8.87563200371889j</v>
      </c>
      <c r="BE102" s="86">
        <f t="shared" si="40"/>
        <v>19.122809640698357</v>
      </c>
      <c r="BF102" s="86">
        <f t="shared" si="41"/>
        <v>100.92355655072899</v>
      </c>
      <c r="BH102" s="86">
        <f t="shared" si="49"/>
        <v>-18.122809640698357</v>
      </c>
      <c r="BI102" s="159">
        <f t="shared" si="50"/>
        <v>-100.92355655072899</v>
      </c>
      <c r="BJ102" s="88"/>
      <c r="BK102" s="88"/>
      <c r="BL102" s="88"/>
      <c r="BM102" s="88"/>
      <c r="BN102" s="42"/>
      <c r="BO102" s="42"/>
      <c r="BP102" s="42"/>
    </row>
    <row r="103" spans="1:68" s="86" customFormat="1">
      <c r="A103" s="86">
        <v>39</v>
      </c>
      <c r="B103" s="86">
        <f t="shared" si="42"/>
        <v>602.55958607435798</v>
      </c>
      <c r="C103" s="86" t="str">
        <f t="shared" si="0"/>
        <v>3785.99353792262j</v>
      </c>
      <c r="D103" s="86">
        <f t="shared" si="1"/>
        <v>0.99999419075112372</v>
      </c>
      <c r="E103" s="86" t="str">
        <f t="shared" si="2"/>
        <v>-0.00378599353792262j</v>
      </c>
      <c r="F103" s="86" t="str">
        <f t="shared" si="3"/>
        <v>0.999994190751124-0.00378599353792262j</v>
      </c>
      <c r="G103" s="86">
        <f t="shared" si="4"/>
        <v>1.1792308506967841E-5</v>
      </c>
      <c r="H103" s="86">
        <f t="shared" si="5"/>
        <v>-0.21692167470323157</v>
      </c>
      <c r="J103" s="86">
        <f t="shared" si="6"/>
        <v>17.283950617283953</v>
      </c>
      <c r="K103" s="86" t="str">
        <f t="shared" si="7"/>
        <v>1+0.0457158719704156j</v>
      </c>
      <c r="L103" s="86">
        <f t="shared" si="8"/>
        <v>0.99957264198552964</v>
      </c>
      <c r="M103" s="86" t="str">
        <f t="shared" si="9"/>
        <v>0.010196475188862j</v>
      </c>
      <c r="N103" s="86" t="str">
        <f t="shared" si="10"/>
        <v>0.99957264198553+0.010196475188862j</v>
      </c>
      <c r="O103" s="86" t="str">
        <f t="shared" si="11"/>
        <v>1.00078994092985+0.0355265247135244j</v>
      </c>
      <c r="P103" s="86" t="str">
        <f t="shared" si="12"/>
        <v>17.2976039173061+0.614038698752274j</v>
      </c>
      <c r="R103" s="86">
        <f t="shared" si="13"/>
        <v>6.9135802469135808</v>
      </c>
      <c r="S103" s="86" t="str">
        <f t="shared" si="14"/>
        <v>1+0.000283949515344196j</v>
      </c>
      <c r="T103" s="86" t="str">
        <f t="shared" si="15"/>
        <v>0.99957264198553+0.010196475188862j</v>
      </c>
      <c r="U103" s="86" t="str">
        <f t="shared" si="16"/>
        <v>1.00032634750262-0.00992009269885031j</v>
      </c>
      <c r="V103" s="86" t="str">
        <f t="shared" si="17"/>
        <v>6.91583647656132-0.0685833569303231j</v>
      </c>
      <c r="X103" s="86" t="str">
        <f t="shared" si="18"/>
        <v>0.530486737810477+0.0168207827434746j</v>
      </c>
      <c r="Y103" s="86">
        <f t="shared" si="19"/>
        <v>-5.502145132123287</v>
      </c>
      <c r="Z103" s="86">
        <f t="shared" si="20"/>
        <v>-178.18386211384606</v>
      </c>
      <c r="AB103" s="86" t="str">
        <f t="shared" si="21"/>
        <v>2.38279922704015-0.0236298776634244j</v>
      </c>
      <c r="AC103" s="86">
        <f t="shared" si="22"/>
        <v>7.5421760926466463</v>
      </c>
      <c r="AD103" s="86">
        <f t="shared" si="23"/>
        <v>179.43182460974126</v>
      </c>
      <c r="AF103" s="86" t="str">
        <f t="shared" si="24"/>
        <v>1.55653212197426-0.0325464867416323j</v>
      </c>
      <c r="AG103" s="86">
        <f t="shared" si="25"/>
        <v>3.8450601244700566</v>
      </c>
      <c r="AH103" s="86">
        <f t="shared" si="26"/>
        <v>178.80214188598885</v>
      </c>
      <c r="AJ103" s="86" t="str">
        <f t="shared" si="27"/>
        <v>9999.96833685298-17.7941132862954j</v>
      </c>
      <c r="AK103" s="86" t="str">
        <f t="shared" si="28"/>
        <v>20000-1.51439741516905E-06j</v>
      </c>
      <c r="AL103" s="86" t="str">
        <f t="shared" si="43"/>
        <v>10000-5869587.99576176j</v>
      </c>
      <c r="AM103" s="86" t="str">
        <f t="shared" si="44"/>
        <v>963.137790445599-1821597.40619851j</v>
      </c>
      <c r="AN103" s="86" t="str">
        <f t="shared" si="45"/>
        <v>10963.1377904456-1821597.40619851j</v>
      </c>
      <c r="AO103" s="86" t="str">
        <f t="shared" si="46"/>
        <v>19996.2685751298-219.524064304856j</v>
      </c>
      <c r="AP103" s="86" t="str">
        <f t="shared" si="47"/>
        <v>0.666667135751141+0.000395425418447353j</v>
      </c>
      <c r="AQ103" s="86" t="str">
        <f t="shared" si="29"/>
        <v>1+0.220344823907096j</v>
      </c>
      <c r="AR103" s="86">
        <f t="shared" si="51"/>
        <v>8.9989311046876447E-8</v>
      </c>
      <c r="AS103" s="86" t="str">
        <f t="shared" si="31"/>
        <v>0.0000184295350637705j</v>
      </c>
      <c r="AT103" s="86" t="str">
        <f t="shared" si="32"/>
        <v>8.99893110468764E-08+0.0000184295350637705j</v>
      </c>
      <c r="AU103" s="86" t="str">
        <f t="shared" si="33"/>
        <v>1.83310923604477-8.13015842474107j</v>
      </c>
      <c r="AW103" s="86" t="str">
        <f t="shared" si="48"/>
        <v>1.21101576678144-5.42257364839j</v>
      </c>
      <c r="AX103" s="86">
        <f t="shared" si="34"/>
        <v>14.895487867381974</v>
      </c>
      <c r="AY103" s="86">
        <f t="shared" si="35"/>
        <v>102.58920107285741</v>
      </c>
      <c r="AZ103" s="86" t="str">
        <f t="shared" si="36"/>
        <v>2.75747268108788-12.9495204523695j</v>
      </c>
      <c r="BA103" s="86">
        <f t="shared" si="37"/>
        <v>22.437663960028615</v>
      </c>
      <c r="BB103" s="86">
        <f t="shared" si="38"/>
        <v>102.02102568259863</v>
      </c>
      <c r="BD103" s="86" t="str">
        <f t="shared" si="39"/>
        <v>1.70849921985974-8.47982437608764j</v>
      </c>
      <c r="BE103" s="86">
        <f t="shared" si="40"/>
        <v>18.740547991852019</v>
      </c>
      <c r="BF103" s="86">
        <f t="shared" si="41"/>
        <v>101.3913429588462</v>
      </c>
      <c r="BH103" s="86">
        <f t="shared" si="49"/>
        <v>-17.740547991852019</v>
      </c>
      <c r="BI103" s="159">
        <f t="shared" si="50"/>
        <v>-101.3913429588462</v>
      </c>
      <c r="BJ103" s="88"/>
      <c r="BK103" s="88"/>
      <c r="BL103" s="88"/>
      <c r="BM103" s="88"/>
      <c r="BN103" s="42"/>
      <c r="BO103" s="42"/>
      <c r="BP103" s="42"/>
    </row>
    <row r="104" spans="1:68" s="86" customFormat="1">
      <c r="A104" s="86">
        <v>40</v>
      </c>
      <c r="B104" s="86">
        <f t="shared" si="42"/>
        <v>630.95734448019346</v>
      </c>
      <c r="C104" s="86" t="str">
        <f t="shared" si="0"/>
        <v>3964.421916295j</v>
      </c>
      <c r="D104" s="86">
        <f t="shared" si="1"/>
        <v>0.99999363028527111</v>
      </c>
      <c r="E104" s="86" t="str">
        <f t="shared" si="2"/>
        <v>-0.003964421916295j</v>
      </c>
      <c r="F104" s="86" t="str">
        <f t="shared" si="3"/>
        <v>0.999993630285271-0.003964421916295j</v>
      </c>
      <c r="G104" s="86">
        <f t="shared" si="4"/>
        <v>1.293002296714121E-5</v>
      </c>
      <c r="H104" s="86">
        <f t="shared" si="5"/>
        <v>-0.22714490087353395</v>
      </c>
      <c r="J104" s="86">
        <f t="shared" si="6"/>
        <v>17.283950617283953</v>
      </c>
      <c r="K104" s="86" t="str">
        <f t="shared" si="7"/>
        <v>1+0.0478703946392621j</v>
      </c>
      <c r="L104" s="86">
        <f t="shared" si="8"/>
        <v>0.99953141125518619</v>
      </c>
      <c r="M104" s="86" t="str">
        <f t="shared" si="9"/>
        <v>0.0106770202597501j</v>
      </c>
      <c r="N104" s="86" t="str">
        <f t="shared" si="10"/>
        <v>0.999531411255186+0.0106770202597501j</v>
      </c>
      <c r="O104" s="86" t="str">
        <f t="shared" si="11"/>
        <v>1.00086619642546+0.0372015582141972j</v>
      </c>
      <c r="P104" s="86" t="str">
        <f t="shared" si="12"/>
        <v>17.2989219135265+0.642989895060199j</v>
      </c>
      <c r="R104" s="86">
        <f t="shared" si="13"/>
        <v>6.9135802469135808</v>
      </c>
      <c r="S104" s="86" t="str">
        <f t="shared" si="14"/>
        <v>1+0.000297331643722125j</v>
      </c>
      <c r="T104" s="86" t="str">
        <f t="shared" si="15"/>
        <v>0.999531411255186+0.0106770202597501j</v>
      </c>
      <c r="U104" s="86" t="str">
        <f t="shared" si="16"/>
        <v>1.00035783951106-0.0103883771523478j</v>
      </c>
      <c r="V104" s="86" t="str">
        <f t="shared" si="17"/>
        <v>6.91605419908881-0.0718208790779601j</v>
      </c>
      <c r="X104" s="86" t="str">
        <f t="shared" si="18"/>
        <v>0.530533734796342+0.017613732120652j</v>
      </c>
      <c r="Y104" s="86">
        <f t="shared" si="19"/>
        <v>-5.5009555743335987</v>
      </c>
      <c r="Z104" s="86">
        <f t="shared" si="20"/>
        <v>-178.09847725120184</v>
      </c>
      <c r="AB104" s="86" t="str">
        <f t="shared" si="21"/>
        <v>2.38287424169267-0.0247453414684262j</v>
      </c>
      <c r="AC104" s="86">
        <f t="shared" si="22"/>
        <v>7.5424907765444189</v>
      </c>
      <c r="AD104" s="86">
        <f t="shared" si="23"/>
        <v>179.40502413372593</v>
      </c>
      <c r="AF104" s="86" t="str">
        <f t="shared" si="24"/>
        <v>1.5564988250362-0.03408033003968j</v>
      </c>
      <c r="AG104" s="86">
        <f t="shared" si="25"/>
        <v>3.8450575097591644</v>
      </c>
      <c r="AH104" s="86">
        <f t="shared" si="26"/>
        <v>178.74568031115874</v>
      </c>
      <c r="AJ104" s="86" t="str">
        <f t="shared" si="27"/>
        <v>9999.96528206027-18.6327183174028j</v>
      </c>
      <c r="AK104" s="86" t="str">
        <f t="shared" si="28"/>
        <v>20000-0.000001585768766518j</v>
      </c>
      <c r="AL104" s="86" t="str">
        <f t="shared" si="43"/>
        <v>10000-5605413.01895291j</v>
      </c>
      <c r="AM104" s="86" t="str">
        <f t="shared" si="44"/>
        <v>963.137662163603-1739612.12190113j</v>
      </c>
      <c r="AN104" s="86" t="str">
        <f t="shared" si="45"/>
        <v>10963.1376621636-1739612.12190113j</v>
      </c>
      <c r="AO104" s="86" t="str">
        <f t="shared" si="46"/>
        <v>19995.9086885086-229.863495363743j</v>
      </c>
      <c r="AP104" s="86" t="str">
        <f t="shared" si="47"/>
        <v>0.666667181007495+0.000414061188064408j</v>
      </c>
      <c r="AQ104" s="86" t="str">
        <f t="shared" si="29"/>
        <v>1+0.230729355528369j</v>
      </c>
      <c r="AR104" s="86">
        <f t="shared" si="51"/>
        <v>8.9023497834528563E-8</v>
      </c>
      <c r="AS104" s="86" t="str">
        <f t="shared" si="31"/>
        <v>0.0000192980922925791j</v>
      </c>
      <c r="AT104" s="86" t="str">
        <f t="shared" si="32"/>
        <v>8.90234978345286E-08+0.0000192980922925791j</v>
      </c>
      <c r="AU104" s="86" t="str">
        <f t="shared" si="33"/>
        <v>1.82922811481188-7.7643506644696j</v>
      </c>
      <c r="AW104" s="86" t="str">
        <f t="shared" si="48"/>
        <v>1.20842769668851-5.17881259695453j</v>
      </c>
      <c r="AX104" s="86">
        <f t="shared" si="34"/>
        <v>14.514855081249527</v>
      </c>
      <c r="AY104" s="86">
        <f t="shared" si="35"/>
        <v>103.13442196332883</v>
      </c>
      <c r="AZ104" s="86" t="str">
        <f t="shared" si="36"/>
        <v>2.75137974527443-12.3703620958309j</v>
      </c>
      <c r="BA104" s="86">
        <f t="shared" si="37"/>
        <v>22.057345857793926</v>
      </c>
      <c r="BB104" s="86">
        <f t="shared" si="38"/>
        <v>102.53944609705484</v>
      </c>
      <c r="BD104" s="86" t="str">
        <f t="shared" si="39"/>
        <v>1.70442064751901-8.1019993369746j</v>
      </c>
      <c r="BE104" s="86">
        <f t="shared" si="40"/>
        <v>18.359912591008658</v>
      </c>
      <c r="BF104" s="86">
        <f t="shared" si="41"/>
        <v>101.88010227448765</v>
      </c>
      <c r="BH104" s="86">
        <f t="shared" si="49"/>
        <v>-17.359912591008658</v>
      </c>
      <c r="BI104" s="159">
        <f t="shared" si="50"/>
        <v>-101.88010227448765</v>
      </c>
      <c r="BJ104" s="88"/>
      <c r="BK104" s="88"/>
      <c r="BL104" s="88"/>
      <c r="BM104" s="88"/>
      <c r="BN104" s="42"/>
      <c r="BO104" s="42"/>
      <c r="BP104" s="42"/>
    </row>
    <row r="105" spans="1:68" s="86" customFormat="1">
      <c r="A105" s="86">
        <v>41</v>
      </c>
      <c r="B105" s="86">
        <f t="shared" si="42"/>
        <v>660.69344800759632</v>
      </c>
      <c r="C105" s="86" t="str">
        <f t="shared" si="0"/>
        <v>4151.25936507115j</v>
      </c>
      <c r="D105" s="86">
        <f t="shared" si="1"/>
        <v>0.9999930157466842</v>
      </c>
      <c r="E105" s="86" t="str">
        <f t="shared" si="2"/>
        <v>-0.00415125936507115j</v>
      </c>
      <c r="F105" s="86" t="str">
        <f t="shared" si="3"/>
        <v>0.999993015746684-0.00415125936507115j</v>
      </c>
      <c r="G105" s="86">
        <f t="shared" si="4"/>
        <v>1.4177504863693444E-5</v>
      </c>
      <c r="H105" s="86">
        <f t="shared" si="5"/>
        <v>-0.2378499361979817</v>
      </c>
      <c r="J105" s="86">
        <f t="shared" si="6"/>
        <v>17.283950617283953</v>
      </c>
      <c r="K105" s="86" t="str">
        <f t="shared" si="7"/>
        <v>1+0.0501264568332341j</v>
      </c>
      <c r="L105" s="86">
        <f t="shared" si="8"/>
        <v>0.99948620265835364</v>
      </c>
      <c r="M105" s="86" t="str">
        <f t="shared" si="9"/>
        <v>0.0111802127221021j</v>
      </c>
      <c r="N105" s="86" t="str">
        <f t="shared" si="10"/>
        <v>0.999486202658354+0.0111802127221021j</v>
      </c>
      <c r="O105" s="86" t="str">
        <f t="shared" si="11"/>
        <v>1.00094981770019+0.0389556402516j</v>
      </c>
      <c r="P105" s="86" t="str">
        <f t="shared" si="12"/>
        <v>17.3003672195095+0.673307362373333j</v>
      </c>
      <c r="R105" s="86">
        <f t="shared" si="13"/>
        <v>6.9135802469135808</v>
      </c>
      <c r="S105" s="86" t="str">
        <f t="shared" si="14"/>
        <v>1+0.000311344452380336j</v>
      </c>
      <c r="T105" s="86" t="str">
        <f t="shared" si="15"/>
        <v>0.999486202658354+0.0111802127221021j</v>
      </c>
      <c r="U105" s="86" t="str">
        <f t="shared" si="16"/>
        <v>1.00039237114428-0.0108788445840082j</v>
      </c>
      <c r="V105" s="86" t="str">
        <f t="shared" si="17"/>
        <v>6.91629293630613-0.0752117650252419j</v>
      </c>
      <c r="X105" s="86" t="str">
        <f t="shared" si="18"/>
        <v>0.530585270877269+0.0184440831747053j</v>
      </c>
      <c r="Y105" s="86">
        <f t="shared" si="19"/>
        <v>-5.499651442946254</v>
      </c>
      <c r="Z105" s="86">
        <f t="shared" si="20"/>
        <v>-178.00909895196438</v>
      </c>
      <c r="AB105" s="86" t="str">
        <f t="shared" si="21"/>
        <v>2.38295649679787-0.0259136456123353j</v>
      </c>
      <c r="AC105" s="86">
        <f t="shared" si="22"/>
        <v>7.5428358297942601</v>
      </c>
      <c r="AD105" s="86">
        <f t="shared" si="23"/>
        <v>179.37695715186439</v>
      </c>
      <c r="AF105" s="86" t="str">
        <f t="shared" si="24"/>
        <v>1.55646231421318-0.0356864573527948j</v>
      </c>
      <c r="AG105" s="86">
        <f t="shared" si="25"/>
        <v>3.845054638595883</v>
      </c>
      <c r="AH105" s="86">
        <f t="shared" si="26"/>
        <v>178.68655656062634</v>
      </c>
      <c r="AJ105" s="86" t="str">
        <f t="shared" si="27"/>
        <v>9999.96193254883-19.5108447427387j</v>
      </c>
      <c r="AK105" s="86" t="str">
        <f t="shared" si="28"/>
        <v>20000-1.66050374602846E-06j</v>
      </c>
      <c r="AL105" s="86" t="str">
        <f t="shared" si="43"/>
        <v>10000-5353127.87468805j</v>
      </c>
      <c r="AM105" s="86" t="str">
        <f t="shared" si="44"/>
        <v>963.137521505237-1661316.78814812j</v>
      </c>
      <c r="AN105" s="86" t="str">
        <f t="shared" si="45"/>
        <v>10963.1375215052-1661316.78814812j</v>
      </c>
      <c r="AO105" s="86" t="str">
        <f t="shared" si="46"/>
        <v>19995.5141038307-240.689258178119j</v>
      </c>
      <c r="AP105" s="86" t="str">
        <f t="shared" si="47"/>
        <v>0.666667230630088+0.000433575226116621j</v>
      </c>
      <c r="AQ105" s="86" t="str">
        <f t="shared" si="29"/>
        <v>1+0.241603295047141j</v>
      </c>
      <c r="AR105" s="86">
        <f t="shared" si="51"/>
        <v>8.7964504705642113E-8</v>
      </c>
      <c r="AS105" s="86" t="str">
        <f t="shared" si="31"/>
        <v>0.0000202075833624806j</v>
      </c>
      <c r="AT105" s="86" t="str">
        <f t="shared" si="32"/>
        <v>8.79645047056421E-08+0.0000202075833624806j</v>
      </c>
      <c r="AU105" s="86" t="str">
        <f t="shared" si="33"/>
        <v>1.82568846325231-7.41500859013107j</v>
      </c>
      <c r="AW105" s="86" t="str">
        <f t="shared" si="48"/>
        <v>1.20606721504221-4.94603413916909j</v>
      </c>
      <c r="AX105" s="86">
        <f t="shared" si="34"/>
        <v>14.135990027647336</v>
      </c>
      <c r="AY105" s="86">
        <f t="shared" si="35"/>
        <v>103.70387135779126</v>
      </c>
      <c r="AZ105" s="86" t="str">
        <f t="shared" si="36"/>
        <v>2.74583592979081-11.8174377837123j</v>
      </c>
      <c r="BA105" s="86">
        <f t="shared" si="37"/>
        <v>21.678825857441591</v>
      </c>
      <c r="BB105" s="86">
        <f t="shared" si="38"/>
        <v>103.08082850965566</v>
      </c>
      <c r="BD105" s="86" t="str">
        <f t="shared" si="39"/>
        <v>1.70069173224832-7.74135600866273j</v>
      </c>
      <c r="BE105" s="86">
        <f t="shared" si="40"/>
        <v>17.981044666243228</v>
      </c>
      <c r="BF105" s="86">
        <f t="shared" si="41"/>
        <v>102.3904279184176</v>
      </c>
      <c r="BH105" s="86">
        <f t="shared" si="49"/>
        <v>-16.981044666243228</v>
      </c>
      <c r="BI105" s="159">
        <f t="shared" si="50"/>
        <v>-102.3904279184176</v>
      </c>
      <c r="BJ105" s="88"/>
      <c r="BK105" s="88"/>
      <c r="BL105" s="88"/>
      <c r="BM105" s="88"/>
      <c r="BN105" s="42"/>
      <c r="BO105" s="42"/>
      <c r="BP105" s="42"/>
    </row>
    <row r="106" spans="1:68" s="86" customFormat="1">
      <c r="A106" s="86">
        <v>42</v>
      </c>
      <c r="B106" s="86">
        <f t="shared" si="42"/>
        <v>691.83097091893671</v>
      </c>
      <c r="C106" s="86" t="str">
        <f t="shared" si="0"/>
        <v>4346.90219152965j</v>
      </c>
      <c r="D106" s="86">
        <f t="shared" si="1"/>
        <v>0.99999234191852282</v>
      </c>
      <c r="E106" s="86" t="str">
        <f t="shared" si="2"/>
        <v>-0.00434690219152965j</v>
      </c>
      <c r="F106" s="86" t="str">
        <f t="shared" si="3"/>
        <v>0.999992341918523-0.00434690219152965j</v>
      </c>
      <c r="G106" s="86">
        <f t="shared" si="4"/>
        <v>1.5545344924285797E-5</v>
      </c>
      <c r="H106" s="86">
        <f t="shared" si="5"/>
        <v>-0.2490594881385049</v>
      </c>
      <c r="J106" s="86">
        <f t="shared" si="6"/>
        <v>17.283950617283953</v>
      </c>
      <c r="K106" s="86" t="str">
        <f t="shared" si="7"/>
        <v>1+0.0524888439627205j</v>
      </c>
      <c r="L106" s="86">
        <f t="shared" si="8"/>
        <v>0.99943663241764835</v>
      </c>
      <c r="M106" s="86" t="str">
        <f t="shared" si="9"/>
        <v>0.011707119914595j</v>
      </c>
      <c r="N106" s="86" t="str">
        <f t="shared" si="10"/>
        <v>0.999436632417648+0.011707119914595j</v>
      </c>
      <c r="O106" s="86" t="str">
        <f t="shared" si="11"/>
        <v>1.00104151716967+0.0407925120606247j</v>
      </c>
      <c r="P106" s="86" t="str">
        <f t="shared" si="12"/>
        <v>17.3019521486116+0.705055764010797j</v>
      </c>
      <c r="R106" s="86">
        <f t="shared" si="13"/>
        <v>6.9135802469135808</v>
      </c>
      <c r="S106" s="86" t="str">
        <f t="shared" si="14"/>
        <v>1+0.000326017664364724j</v>
      </c>
      <c r="T106" s="86" t="str">
        <f t="shared" si="15"/>
        <v>0.999436632417648+0.011707119914595j</v>
      </c>
      <c r="U106" s="86" t="str">
        <f t="shared" si="16"/>
        <v>1.00043023592922-0.0113925572712919j</v>
      </c>
      <c r="V106" s="86" t="str">
        <f t="shared" si="17"/>
        <v>6.91655471753535-0.0787633589126354j</v>
      </c>
      <c r="X106" s="86" t="str">
        <f t="shared" si="18"/>
        <v>0.530641784970896+0.0193136031946718j</v>
      </c>
      <c r="Y106" s="86">
        <f t="shared" si="19"/>
        <v>-5.4982217229945896</v>
      </c>
      <c r="Z106" s="86">
        <f t="shared" si="20"/>
        <v>-177.9155435356148</v>
      </c>
      <c r="AB106" s="86" t="str">
        <f t="shared" si="21"/>
        <v>2.38304669154333-0.027137320463284j</v>
      </c>
      <c r="AC106" s="86">
        <f t="shared" si="22"/>
        <v>7.5432141842408029</v>
      </c>
      <c r="AD106" s="86">
        <f t="shared" si="23"/>
        <v>179.34756346567579</v>
      </c>
      <c r="AF106" s="86" t="str">
        <f t="shared" si="24"/>
        <v>1.55642227914091-0.0373682747508724j</v>
      </c>
      <c r="AG106" s="86">
        <f t="shared" si="25"/>
        <v>3.8450514853906488</v>
      </c>
      <c r="AH106" s="86">
        <f t="shared" si="26"/>
        <v>178.62464498869352</v>
      </c>
      <c r="AJ106" s="86" t="str">
        <f t="shared" si="27"/>
        <v>9999.95825988514-20.4303550232968j</v>
      </c>
      <c r="AK106" s="86" t="str">
        <f t="shared" si="28"/>
        <v>20000-1.73876087661186E-06j</v>
      </c>
      <c r="AL106" s="86" t="str">
        <f t="shared" si="43"/>
        <v>10000-5112197.43235179j</v>
      </c>
      <c r="AM106" s="86" t="str">
        <f t="shared" si="44"/>
        <v>963.137367276443-1586545.33003936j</v>
      </c>
      <c r="AN106" s="86" t="str">
        <f t="shared" si="45"/>
        <v>10963.1373672764-1586545.33003936j</v>
      </c>
      <c r="AO106" s="86" t="str">
        <f t="shared" si="46"/>
        <v>19995.0814781708-252.024132131935j</v>
      </c>
      <c r="AP106" s="86" t="str">
        <f t="shared" si="47"/>
        <v>0.66666728504016+0.000454008922886221j</v>
      </c>
      <c r="AQ106" s="86" t="str">
        <f t="shared" si="29"/>
        <v>1+0.252989707547026j</v>
      </c>
      <c r="AR106" s="86">
        <f t="shared" si="51"/>
        <v>8.6803341829952653E-8</v>
      </c>
      <c r="AS106" s="86" t="str">
        <f t="shared" si="31"/>
        <v>0.0000211599374259719j</v>
      </c>
      <c r="AT106" s="86" t="str">
        <f t="shared" si="32"/>
        <v>8.68033418299527E-08+0.0000211599374259719j</v>
      </c>
      <c r="AU106" s="86" t="str">
        <f t="shared" si="33"/>
        <v>1.8224602377792-7.0813916574768j</v>
      </c>
      <c r="AW106" s="86" t="str">
        <f t="shared" si="48"/>
        <v>1.20391428672422-4.72374482542602j</v>
      </c>
      <c r="AX106" s="86">
        <f t="shared" si="34"/>
        <v>13.759044623917935</v>
      </c>
      <c r="AY106" s="86">
        <f t="shared" si="35"/>
        <v>104.29825547238519</v>
      </c>
      <c r="AZ106" s="86" t="str">
        <f t="shared" si="36"/>
        <v>2.74079418076553-11.2895754857355j</v>
      </c>
      <c r="BA106" s="86">
        <f t="shared" si="37"/>
        <v>21.30225880815869</v>
      </c>
      <c r="BB106" s="86">
        <f t="shared" si="38"/>
        <v>103.64581893806103</v>
      </c>
      <c r="BD106" s="86" t="str">
        <f t="shared" si="39"/>
        <v>1.69728082354408-7.39712988711243j</v>
      </c>
      <c r="BE106" s="86">
        <f t="shared" si="40"/>
        <v>17.604096109308554</v>
      </c>
      <c r="BF106" s="86">
        <f t="shared" si="41"/>
        <v>102.92290046107873</v>
      </c>
      <c r="BH106" s="86">
        <f t="shared" si="49"/>
        <v>-16.604096109308554</v>
      </c>
      <c r="BI106" s="159">
        <f t="shared" si="50"/>
        <v>-102.92290046107873</v>
      </c>
      <c r="BJ106" s="88"/>
      <c r="BK106" s="88"/>
      <c r="BL106" s="88"/>
      <c r="BM106" s="88"/>
      <c r="BN106" s="42"/>
      <c r="BO106" s="42"/>
      <c r="BP106" s="42"/>
    </row>
    <row r="107" spans="1:68" s="86" customFormat="1">
      <c r="A107" s="86">
        <v>43</v>
      </c>
      <c r="B107" s="86">
        <f t="shared" si="42"/>
        <v>724.43596007499025</v>
      </c>
      <c r="C107" s="86" t="str">
        <f t="shared" si="0"/>
        <v>4551.76538033572j</v>
      </c>
      <c r="D107" s="86">
        <f t="shared" si="1"/>
        <v>0.99999160308063595</v>
      </c>
      <c r="E107" s="86" t="str">
        <f t="shared" si="2"/>
        <v>-0.00455176538033572j</v>
      </c>
      <c r="F107" s="86" t="str">
        <f t="shared" si="3"/>
        <v>0.999991603080636-0.00455176538033572j</v>
      </c>
      <c r="G107" s="86">
        <f t="shared" si="4"/>
        <v>1.7045155759067896E-5</v>
      </c>
      <c r="H107" s="86">
        <f t="shared" si="5"/>
        <v>-0.26079733440023556</v>
      </c>
      <c r="J107" s="86">
        <f t="shared" si="6"/>
        <v>17.283950617283953</v>
      </c>
      <c r="K107" s="86" t="str">
        <f t="shared" si="7"/>
        <v>1+0.0549625669675538j</v>
      </c>
      <c r="L107" s="86">
        <f t="shared" si="8"/>
        <v>0.99938227972953753</v>
      </c>
      <c r="M107" s="86" t="str">
        <f t="shared" si="9"/>
        <v>0.0122588594780276j</v>
      </c>
      <c r="N107" s="86" t="str">
        <f t="shared" si="10"/>
        <v>0.999382279729538+0.0122588594780276j</v>
      </c>
      <c r="O107" s="86" t="str">
        <f t="shared" si="11"/>
        <v>1.00114207634224+0.0427160935329838j</v>
      </c>
      <c r="P107" s="86" t="str">
        <f t="shared" si="12"/>
        <v>17.3036902083844+0.738302851187374j</v>
      </c>
      <c r="R107" s="86">
        <f t="shared" si="13"/>
        <v>6.9135802469135808</v>
      </c>
      <c r="S107" s="86" t="str">
        <f t="shared" si="14"/>
        <v>1+0.000341382403525179j</v>
      </c>
      <c r="T107" s="86" t="str">
        <f t="shared" si="15"/>
        <v>0.999382279729538+0.0122588594780276j</v>
      </c>
      <c r="U107" s="86" t="str">
        <f t="shared" si="16"/>
        <v>1.00047175576624-0.0119306300541726j</v>
      </c>
      <c r="V107" s="86" t="str">
        <f t="shared" si="17"/>
        <v>6.91684176826042-0.0824833682757612j</v>
      </c>
      <c r="X107" s="86" t="str">
        <f t="shared" si="18"/>
        <v>0.53070375854209+0.0202241434389128j</v>
      </c>
      <c r="Y107" s="86">
        <f t="shared" si="19"/>
        <v>-5.4966543446393548</v>
      </c>
      <c r="Z107" s="86">
        <f t="shared" si="20"/>
        <v>-177.81761933190506</v>
      </c>
      <c r="AB107" s="86" t="str">
        <f t="shared" si="21"/>
        <v>2.38314559270274-0.0284190215944602j</v>
      </c>
      <c r="AC107" s="86">
        <f t="shared" si="22"/>
        <v>7.5436290549650113</v>
      </c>
      <c r="AD107" s="86">
        <f t="shared" si="23"/>
        <v>179.31677996393969</v>
      </c>
      <c r="AF107" s="86" t="str">
        <f t="shared" si="24"/>
        <v>1.55637837945221-0.0391293487400668j</v>
      </c>
      <c r="AG107" s="86">
        <f t="shared" si="25"/>
        <v>3.8450480219137271</v>
      </c>
      <c r="AH107" s="86">
        <f t="shared" si="26"/>
        <v>178.55981400133138</v>
      </c>
      <c r="AJ107" s="86" t="str">
        <f t="shared" si="27"/>
        <v>9999.95423289258-21.3931993766444j</v>
      </c>
      <c r="AK107" s="86" t="str">
        <f t="shared" si="28"/>
        <v>20000-1.82070615213429E-06j</v>
      </c>
      <c r="AL107" s="86" t="str">
        <f t="shared" si="43"/>
        <v>10000-4882110.64617378j</v>
      </c>
      <c r="AM107" s="86" t="str">
        <f t="shared" si="44"/>
        <v>963.137198167998-1515139.14728741j</v>
      </c>
      <c r="AN107" s="86" t="str">
        <f t="shared" si="45"/>
        <v>10963.137198168-1515139.14728741j</v>
      </c>
      <c r="AO107" s="86" t="str">
        <f t="shared" si="46"/>
        <v>19994.6071470306-263.891949348409j</v>
      </c>
      <c r="AP107" s="86" t="str">
        <f t="shared" si="47"/>
        <v>0.666667344699597+0.000475405619136528j</v>
      </c>
      <c r="AQ107" s="86" t="str">
        <f t="shared" si="29"/>
        <v>1+0.264912745135539j</v>
      </c>
      <c r="AR107" s="86">
        <f t="shared" si="51"/>
        <v>8.5530152054588237E-8</v>
      </c>
      <c r="AS107" s="86" t="str">
        <f t="shared" si="31"/>
        <v>0.0000221571745537058j</v>
      </c>
      <c r="AT107" s="86" t="str">
        <f t="shared" si="32"/>
        <v>8.55301520545882E-08+0.0000221571745537058j</v>
      </c>
      <c r="AU107" s="86" t="str">
        <f t="shared" si="33"/>
        <v>1.81951603773208-6.76279261841016j</v>
      </c>
      <c r="AW107" s="86" t="str">
        <f t="shared" si="48"/>
        <v>1.20195063802337-4.51147341567022j</v>
      </c>
      <c r="AX107" s="86">
        <f t="shared" si="34"/>
        <v>13.384181966363942</v>
      </c>
      <c r="AY107" s="86">
        <f t="shared" si="35"/>
        <v>104.91826783300839</v>
      </c>
      <c r="AZ107" s="86" t="str">
        <f t="shared" si="36"/>
        <v>2.73621170522887-10.7856562482875j</v>
      </c>
      <c r="BA107" s="86">
        <f t="shared" si="37"/>
        <v>20.927811021328932</v>
      </c>
      <c r="BB107" s="86">
        <f t="shared" si="38"/>
        <v>104.23504779694808</v>
      </c>
      <c r="BD107" s="86" t="str">
        <f t="shared" si="39"/>
        <v>1.69415896957506-7.06859122930611j</v>
      </c>
      <c r="BE107" s="86">
        <f t="shared" si="40"/>
        <v>17.229229988277673</v>
      </c>
      <c r="BF107" s="86">
        <f t="shared" si="41"/>
        <v>103.47808183433973</v>
      </c>
      <c r="BH107" s="86">
        <f t="shared" si="49"/>
        <v>-16.229229988277673</v>
      </c>
      <c r="BI107" s="159">
        <f t="shared" si="50"/>
        <v>-103.47808183433973</v>
      </c>
      <c r="BJ107" s="88"/>
      <c r="BK107" s="88"/>
      <c r="BL107" s="88"/>
      <c r="BM107" s="88"/>
      <c r="BN107" s="42"/>
      <c r="BO107" s="42"/>
      <c r="BP107" s="42"/>
    </row>
    <row r="108" spans="1:68" s="86" customFormat="1">
      <c r="A108" s="86">
        <v>44</v>
      </c>
      <c r="B108" s="86">
        <f t="shared" si="42"/>
        <v>758.57757502918378</v>
      </c>
      <c r="C108" s="86" t="str">
        <f t="shared" si="0"/>
        <v>4766.28347377929j</v>
      </c>
      <c r="D108" s="86">
        <f t="shared" si="1"/>
        <v>0.99999079296100257</v>
      </c>
      <c r="E108" s="86" t="str">
        <f t="shared" si="2"/>
        <v>-0.00476628347377929j</v>
      </c>
      <c r="F108" s="86" t="str">
        <f t="shared" si="3"/>
        <v>0.999990792961003-0.00476628347377929j</v>
      </c>
      <c r="G108" s="86">
        <f t="shared" si="4"/>
        <v>1.8689670497095179E-5</v>
      </c>
      <c r="H108" s="86">
        <f t="shared" si="5"/>
        <v>-0.27308837338139946</v>
      </c>
      <c r="J108" s="86">
        <f t="shared" si="6"/>
        <v>17.283950617283953</v>
      </c>
      <c r="K108" s="86" t="str">
        <f t="shared" si="7"/>
        <v>1+0.0575528729458849j</v>
      </c>
      <c r="L108" s="86">
        <f t="shared" si="8"/>
        <v>0.99932268319212225</v>
      </c>
      <c r="M108" s="86" t="str">
        <f t="shared" si="9"/>
        <v>0.0128366017259871j</v>
      </c>
      <c r="N108" s="86" t="str">
        <f t="shared" si="10"/>
        <v>0.999322683192122+0.0128366017259871j</v>
      </c>
      <c r="O108" s="86" t="str">
        <f t="shared" si="11"/>
        <v>1.00125235255791+0.0447304919829361j</v>
      </c>
      <c r="P108" s="86" t="str">
        <f t="shared" si="12"/>
        <v>17.3055962170503+0.773119614519883j</v>
      </c>
      <c r="R108" s="86">
        <f t="shared" si="13"/>
        <v>6.9135802469135808</v>
      </c>
      <c r="S108" s="86" t="str">
        <f t="shared" si="14"/>
        <v>1+0.000357471260533447j</v>
      </c>
      <c r="T108" s="86" t="str">
        <f t="shared" si="15"/>
        <v>0.999322683192122+0.0128366017259871j</v>
      </c>
      <c r="U108" s="86" t="str">
        <f t="shared" si="16"/>
        <v>1.00051728367755-0.0124942331841389j</v>
      </c>
      <c r="V108" s="86" t="str">
        <f t="shared" si="17"/>
        <v>6.91715652912874-0.0863798837421949j</v>
      </c>
      <c r="X108" s="86" t="str">
        <f t="shared" si="18"/>
        <v>0.530771719748614+0.0211776431925494j</v>
      </c>
      <c r="Y108" s="86">
        <f t="shared" si="19"/>
        <v>-5.4949360829695282</v>
      </c>
      <c r="Z108" s="86">
        <f t="shared" si="20"/>
        <v>-177.71512640222849</v>
      </c>
      <c r="AB108" s="86" t="str">
        <f t="shared" si="21"/>
        <v>2.38325404118272-0.0297615365704916j</v>
      </c>
      <c r="AC108" s="86">
        <f t="shared" si="22"/>
        <v>7.5440839676866496</v>
      </c>
      <c r="AD108" s="86">
        <f t="shared" si="23"/>
        <v>179.28454047417807</v>
      </c>
      <c r="AF108" s="86" t="str">
        <f t="shared" si="24"/>
        <v>1.55633024187036-0.0409734138104514j</v>
      </c>
      <c r="AG108" s="86">
        <f t="shared" si="25"/>
        <v>3.8450442170058317</v>
      </c>
      <c r="AH108" s="86">
        <f t="shared" si="26"/>
        <v>178.49192577187341</v>
      </c>
      <c r="AJ108" s="86" t="str">
        <f t="shared" si="27"/>
        <v>9999.94981738677-22.4014199100194j</v>
      </c>
      <c r="AK108" s="86" t="str">
        <f t="shared" si="28"/>
        <v>20000-1.90651338951172E-06j</v>
      </c>
      <c r="AL108" s="86" t="str">
        <f t="shared" si="43"/>
        <v>10000-4662379.47123228j</v>
      </c>
      <c r="AM108" s="86" t="str">
        <f t="shared" si="44"/>
        <v>963.137012744341-1446946.77780506j</v>
      </c>
      <c r="AN108" s="86" t="str">
        <f t="shared" si="45"/>
        <v>10963.1370127443-1446946.77780506j</v>
      </c>
      <c r="AO108" s="86" t="str">
        <f t="shared" si="46"/>
        <v>19994.0870935041-276.317641227013j</v>
      </c>
      <c r="AP108" s="86" t="str">
        <f t="shared" si="47"/>
        <v>0.666667410114845+0.000497810698008214j</v>
      </c>
      <c r="AQ108" s="86" t="str">
        <f t="shared" si="29"/>
        <v>1+0.277397698173955j</v>
      </c>
      <c r="AR108" s="86">
        <f t="shared" si="51"/>
        <v>8.4134127226348752E-8</v>
      </c>
      <c r="AS108" s="86" t="str">
        <f t="shared" si="31"/>
        <v>0.0000232014100193323j</v>
      </c>
      <c r="AT108" s="86" t="str">
        <f t="shared" si="32"/>
        <v>8.41341272263488E-08+0.0000232014100193323j</v>
      </c>
      <c r="AU108" s="86" t="str">
        <f t="shared" si="33"/>
        <v>1.81683087290304-6.45853602842811j</v>
      </c>
      <c r="AW108" s="86" t="str">
        <f t="shared" si="48"/>
        <v>1.20015960159705-4.30876988490795j</v>
      </c>
      <c r="AX108" s="86">
        <f t="shared" si="34"/>
        <v>13.011576809758381</v>
      </c>
      <c r="AY108" s="86">
        <f t="shared" si="35"/>
        <v>105.5645830621939</v>
      </c>
      <c r="AZ108" s="86" t="str">
        <f t="shared" si="36"/>
        <v>2.7320496080669-10.3046118346067j</v>
      </c>
      <c r="BA108" s="86">
        <f t="shared" si="37"/>
        <v>20.555660777445084</v>
      </c>
      <c r="BB108" s="86">
        <f t="shared" si="38"/>
        <v>104.84912353637195</v>
      </c>
      <c r="BD108" s="86" t="str">
        <f t="shared" si="39"/>
        <v>1.69129967152823-6.75504351313738j</v>
      </c>
      <c r="BE108" s="86">
        <f t="shared" si="40"/>
        <v>16.856621026764266</v>
      </c>
      <c r="BF108" s="86">
        <f t="shared" si="41"/>
        <v>104.05650883406727</v>
      </c>
      <c r="BH108" s="86">
        <f t="shared" si="49"/>
        <v>-15.856621026764266</v>
      </c>
      <c r="BI108" s="159">
        <f t="shared" si="50"/>
        <v>-104.05650883406727</v>
      </c>
      <c r="BJ108" s="88"/>
      <c r="BK108" s="88"/>
      <c r="BL108" s="88"/>
      <c r="BM108" s="88"/>
      <c r="BN108" s="42"/>
      <c r="BO108" s="42"/>
      <c r="BP108" s="42"/>
    </row>
    <row r="109" spans="1:68" s="86" customFormat="1">
      <c r="A109" s="86">
        <v>45</v>
      </c>
      <c r="B109" s="86">
        <f t="shared" si="42"/>
        <v>794.32823472428174</v>
      </c>
      <c r="C109" s="86" t="str">
        <f t="shared" si="0"/>
        <v>4990.91149349751j</v>
      </c>
      <c r="D109" s="86">
        <f t="shared" si="1"/>
        <v>0.99998990468248827</v>
      </c>
      <c r="E109" s="86" t="str">
        <f t="shared" si="2"/>
        <v>-0.00499091149349751j</v>
      </c>
      <c r="F109" s="86" t="str">
        <f t="shared" si="3"/>
        <v>0.999989904682488-0.00499091149349751j</v>
      </c>
      <c r="G109" s="86">
        <f t="shared" si="4"/>
        <v>2.0492850878393293E-5</v>
      </c>
      <c r="H109" s="86">
        <f t="shared" si="5"/>
        <v>-0.28595867700245897</v>
      </c>
      <c r="J109" s="86">
        <f t="shared" si="6"/>
        <v>17.283950617283953</v>
      </c>
      <c r="K109" s="86" t="str">
        <f t="shared" si="7"/>
        <v>1+0.0602652562839824j</v>
      </c>
      <c r="L109" s="86">
        <f t="shared" si="8"/>
        <v>0.99925733688828078</v>
      </c>
      <c r="M109" s="86" t="str">
        <f t="shared" si="9"/>
        <v>0.0134415721272405j</v>
      </c>
      <c r="N109" s="86" t="str">
        <f t="shared" si="10"/>
        <v>0.999257336888281+0.0134415721272405j</v>
      </c>
      <c r="O109" s="86" t="str">
        <f t="shared" si="11"/>
        <v>1.00137328639223+0.0468400113772517j</v>
      </c>
      <c r="P109" s="86" t="str">
        <f t="shared" si="12"/>
        <v>17.3076864314706+0.809580443557437j</v>
      </c>
      <c r="R109" s="86">
        <f t="shared" si="13"/>
        <v>6.9135802469135808</v>
      </c>
      <c r="S109" s="86" t="str">
        <f t="shared" si="14"/>
        <v>1+0.000374318362012313j</v>
      </c>
      <c r="T109" s="86" t="str">
        <f t="shared" si="15"/>
        <v>0.999257336888281+0.0134415721272405j</v>
      </c>
      <c r="U109" s="86" t="str">
        <f t="shared" si="16"/>
        <v>1.00056720682298-0.0130845953629581j</v>
      </c>
      <c r="V109" s="86" t="str">
        <f t="shared" si="17"/>
        <v>6.91750167680085-0.0904614000402042j</v>
      </c>
      <c r="X109" s="86" t="str">
        <f t="shared" si="18"/>
        <v>0.530846247995004+0.0221761340307927j</v>
      </c>
      <c r="Y109" s="86">
        <f t="shared" si="19"/>
        <v>-5.4930524484512757</v>
      </c>
      <c r="Z109" s="86">
        <f t="shared" si="20"/>
        <v>-177.60785626213803</v>
      </c>
      <c r="AB109" s="86" t="str">
        <f t="shared" si="21"/>
        <v>2.38337295920647-0.0311677921858476j</v>
      </c>
      <c r="AC109" s="86">
        <f t="shared" si="22"/>
        <v>7.5445827888256574</v>
      </c>
      <c r="AD109" s="86">
        <f t="shared" si="23"/>
        <v>179.25077560546345</v>
      </c>
      <c r="AF109" s="86" t="str">
        <f t="shared" si="24"/>
        <v>1.55627745701957-0.0429043803372403j</v>
      </c>
      <c r="AG109" s="86">
        <f t="shared" si="25"/>
        <v>3.8450400362536676</v>
      </c>
      <c r="AH109" s="86">
        <f t="shared" si="26"/>
        <v>178.42083594272259</v>
      </c>
      <c r="AJ109" s="86" t="str">
        <f t="shared" si="27"/>
        <v>9999.94497588541-23.4571549478099j</v>
      </c>
      <c r="AK109" s="86" t="str">
        <f t="shared" si="28"/>
        <v>20000-0.000001996364597399j</v>
      </c>
      <c r="AL109" s="86" t="str">
        <f t="shared" si="43"/>
        <v>10000-4452537.82824536j</v>
      </c>
      <c r="AM109" s="86" t="str">
        <f t="shared" si="44"/>
        <v>963.136809431429-1381823.57643391j</v>
      </c>
      <c r="AN109" s="86" t="str">
        <f t="shared" si="45"/>
        <v>10963.1368094314-1381823.57643391j</v>
      </c>
      <c r="AO109" s="86" t="str">
        <f t="shared" si="46"/>
        <v>19993.516914509-289.327286719776j</v>
      </c>
      <c r="AP109" s="86" t="str">
        <f t="shared" si="47"/>
        <v>0.666667481841209+0.000521271681242499j</v>
      </c>
      <c r="AQ109" s="86" t="str">
        <f t="shared" si="29"/>
        <v>1+0.290471048921555j</v>
      </c>
      <c r="AR109" s="86">
        <f t="shared" si="51"/>
        <v>8.2603416440909622E-8</v>
      </c>
      <c r="AS109" s="86" t="str">
        <f t="shared" si="31"/>
        <v>0.000024294858786277j</v>
      </c>
      <c r="AT109" s="86" t="str">
        <f t="shared" si="32"/>
        <v>8.26034164409096E-08+0.000024294858786277j</v>
      </c>
      <c r="AU109" s="86" t="str">
        <f t="shared" si="33"/>
        <v>1.81438195150312-6.16797682054116j</v>
      </c>
      <c r="AW109" s="86" t="str">
        <f t="shared" si="48"/>
        <v>1.19852597505425-4.11520447306119j</v>
      </c>
      <c r="AX109" s="86">
        <f t="shared" si="34"/>
        <v>12.641415999410802</v>
      </c>
      <c r="AY109" s="86">
        <f t="shared" si="35"/>
        <v>106.23784993380059</v>
      </c>
      <c r="AZ109" s="86" t="str">
        <f t="shared" si="36"/>
        <v>2.72827256203222-9.84542247121937j</v>
      </c>
      <c r="BA109" s="86">
        <f t="shared" si="37"/>
        <v>20.18599878823645</v>
      </c>
      <c r="BB109" s="86">
        <f t="shared" si="38"/>
        <v>105.48862553926404</v>
      </c>
      <c r="BD109" s="86" t="str">
        <f t="shared" si="39"/>
        <v>1.68867865875159-6.455821966729j</v>
      </c>
      <c r="BE109" s="86">
        <f t="shared" si="40"/>
        <v>16.486456035664439</v>
      </c>
      <c r="BF109" s="86">
        <f t="shared" si="41"/>
        <v>104.65868587652315</v>
      </c>
      <c r="BH109" s="86">
        <f t="shared" si="49"/>
        <v>-15.486456035664439</v>
      </c>
      <c r="BI109" s="159">
        <f t="shared" si="50"/>
        <v>-104.65868587652315</v>
      </c>
      <c r="BJ109" s="88"/>
      <c r="BK109" s="88"/>
      <c r="BL109" s="88"/>
      <c r="BM109" s="88"/>
      <c r="BN109" s="42"/>
      <c r="BO109" s="42"/>
      <c r="BP109" s="42"/>
    </row>
    <row r="110" spans="1:68" s="86" customFormat="1">
      <c r="A110" s="86">
        <v>46</v>
      </c>
      <c r="B110" s="86">
        <f t="shared" si="42"/>
        <v>831.76377110267106</v>
      </c>
      <c r="C110" s="86" t="str">
        <f t="shared" si="0"/>
        <v>5226.12590563659j</v>
      </c>
      <c r="D110" s="86">
        <f t="shared" si="1"/>
        <v>0.99998893070446526</v>
      </c>
      <c r="E110" s="86" t="str">
        <f t="shared" si="2"/>
        <v>-0.00522612590563659j</v>
      </c>
      <c r="F110" s="86" t="str">
        <f t="shared" si="3"/>
        <v>0.999988930704465-0.00522612590563659j</v>
      </c>
      <c r="G110" s="86">
        <f t="shared" si="4"/>
        <v>2.2470005873890397E-5</v>
      </c>
      <c r="H110" s="86">
        <f t="shared" si="5"/>
        <v>-0.29943554602685801</v>
      </c>
      <c r="J110" s="86">
        <f t="shared" si="6"/>
        <v>17.283950617283953</v>
      </c>
      <c r="K110" s="86" t="str">
        <f t="shared" si="7"/>
        <v>1+0.0631054703105618j</v>
      </c>
      <c r="L110" s="86">
        <f t="shared" si="8"/>
        <v>0.99918568609091996</v>
      </c>
      <c r="M110" s="86" t="str">
        <f t="shared" si="9"/>
        <v>0.0140750539051188j</v>
      </c>
      <c r="N110" s="86" t="str">
        <f t="shared" si="10"/>
        <v>0.99918568609092+0.0140750539051188j</v>
      </c>
      <c r="O110" s="86" t="str">
        <f t="shared" si="11"/>
        <v>1.00150590979235+0.0490491620588327j</v>
      </c>
      <c r="P110" s="86" t="str">
        <f t="shared" si="12"/>
        <v>17.309978687769+0.847763294844022j</v>
      </c>
      <c r="R110" s="86">
        <f t="shared" si="13"/>
        <v>6.9135802469135808</v>
      </c>
      <c r="S110" s="86" t="str">
        <f t="shared" si="14"/>
        <v>1+0.000391959442922744j</v>
      </c>
      <c r="T110" s="86" t="str">
        <f t="shared" si="15"/>
        <v>0.99918568609092+0.0140750539051188j</v>
      </c>
      <c r="U110" s="86" t="str">
        <f t="shared" si="16"/>
        <v>1.00062194980944-0.0137030069884771j</v>
      </c>
      <c r="V110" s="86" t="str">
        <f t="shared" si="17"/>
        <v>6.9178801468307-0.094736838438854j</v>
      </c>
      <c r="X110" s="86" t="str">
        <f t="shared" si="18"/>
        <v>0.530927978935793+0.0232217443000037j</v>
      </c>
      <c r="Y110" s="86">
        <f t="shared" si="19"/>
        <v>-5.4909875671842201</v>
      </c>
      <c r="Z110" s="86">
        <f t="shared" si="20"/>
        <v>-177.49559160712417</v>
      </c>
      <c r="AB110" s="86" t="str">
        <f t="shared" si="21"/>
        <v>2.38350335819691-0.0326408621964078j</v>
      </c>
      <c r="AC110" s="86">
        <f t="shared" si="22"/>
        <v>7.5451297584825436</v>
      </c>
      <c r="AD110" s="86">
        <f t="shared" si="23"/>
        <v>179.21541258189364</v>
      </c>
      <c r="AF110" s="86" t="str">
        <f t="shared" si="24"/>
        <v>1.5562195759248-0.0449263428518726j</v>
      </c>
      <c r="AG110" s="86">
        <f t="shared" si="25"/>
        <v>3.8450354416256713</v>
      </c>
      <c r="AH110" s="86">
        <f t="shared" si="26"/>
        <v>178.3463933123264</v>
      </c>
      <c r="AJ110" s="86" t="str">
        <f t="shared" si="27"/>
        <v>9999.93966729011-24.5626435625131j</v>
      </c>
      <c r="AK110" s="86" t="str">
        <f t="shared" si="28"/>
        <v>20000-2.09045036225464E-06j</v>
      </c>
      <c r="AL110" s="86" t="str">
        <f t="shared" si="43"/>
        <v>10000-4252140.6149543j</v>
      </c>
      <c r="AM110" s="86" t="str">
        <f t="shared" si="44"/>
        <v>963.136586503354-1319631.40813263j</v>
      </c>
      <c r="AN110" s="86" t="str">
        <f t="shared" si="45"/>
        <v>10963.1365865034-1319631.40813263j</v>
      </c>
      <c r="AO110" s="86" t="str">
        <f t="shared" si="46"/>
        <v>19992.8917838035-302.94816236204j</v>
      </c>
      <c r="AP110" s="86" t="str">
        <f t="shared" si="47"/>
        <v>0.666667560487568+0.000545838329934567j</v>
      </c>
      <c r="AQ110" s="86" t="str">
        <f t="shared" si="29"/>
        <v>1+0.30416052770805j</v>
      </c>
      <c r="AR110" s="86">
        <f t="shared" si="51"/>
        <v>8.0925025440074369E-8</v>
      </c>
      <c r="AS110" s="86" t="str">
        <f t="shared" si="31"/>
        <v>0.0000254398402059759j</v>
      </c>
      <c r="AT110" s="86" t="str">
        <f t="shared" si="32"/>
        <v>8.09250254400744E-08+0.0000254398402059759j</v>
      </c>
      <c r="AU110" s="86" t="str">
        <f t="shared" si="33"/>
        <v>1.812148486773-5.89049894277267j</v>
      </c>
      <c r="AW110" s="86" t="str">
        <f t="shared" si="48"/>
        <v>1.1970358919627-3.93036677723627j</v>
      </c>
      <c r="AX110" s="86">
        <f t="shared" si="34"/>
        <v>12.273898839634763</v>
      </c>
      <c r="AY110" s="86">
        <f t="shared" si="35"/>
        <v>106.93868366762959</v>
      </c>
      <c r="AZ110" s="86" t="str">
        <f t="shared" si="36"/>
        <v>2.72484850801822-9.40711469608191j</v>
      </c>
      <c r="BA110" s="86">
        <f t="shared" si="37"/>
        <v>19.819028598117296</v>
      </c>
      <c r="BB110" s="86">
        <f t="shared" si="38"/>
        <v>106.15409624952325</v>
      </c>
      <c r="BD110" s="86" t="str">
        <f t="shared" si="39"/>
        <v>1.68627368278923-6.17029216418786j</v>
      </c>
      <c r="BE110" s="86">
        <f t="shared" si="40"/>
        <v>16.118934281260422</v>
      </c>
      <c r="BF110" s="86">
        <f t="shared" si="41"/>
        <v>105.28507697995599</v>
      </c>
      <c r="BH110" s="86">
        <f t="shared" si="49"/>
        <v>-15.118934281260422</v>
      </c>
      <c r="BI110" s="159">
        <f t="shared" si="50"/>
        <v>-105.28507697995599</v>
      </c>
      <c r="BJ110" s="88"/>
      <c r="BK110" s="88"/>
      <c r="BL110" s="88"/>
      <c r="BM110" s="88"/>
      <c r="BN110" s="42"/>
      <c r="BO110" s="42"/>
      <c r="BP110" s="42"/>
    </row>
    <row r="111" spans="1:68" s="86" customFormat="1">
      <c r="A111" s="86">
        <v>47</v>
      </c>
      <c r="B111" s="86">
        <f t="shared" si="42"/>
        <v>870.9635899560808</v>
      </c>
      <c r="C111" s="86" t="str">
        <f t="shared" si="0"/>
        <v>5472.42563150043j</v>
      </c>
      <c r="D111" s="86">
        <f t="shared" si="1"/>
        <v>0.99998786275879958</v>
      </c>
      <c r="E111" s="86" t="str">
        <f t="shared" si="2"/>
        <v>-0.00547242563150043j</v>
      </c>
      <c r="F111" s="86" t="str">
        <f t="shared" si="3"/>
        <v>0.9999878627588-0.00547242563150043j</v>
      </c>
      <c r="G111" s="86">
        <f t="shared" si="4"/>
        <v>2.4637921656620006E-5</v>
      </c>
      <c r="H111" s="86">
        <f t="shared" si="5"/>
        <v>-0.31354756799108985</v>
      </c>
      <c r="J111" s="86">
        <f t="shared" si="6"/>
        <v>17.283950617283953</v>
      </c>
      <c r="K111" s="86" t="str">
        <f t="shared" si="7"/>
        <v>1+0.0660795395003677j</v>
      </c>
      <c r="L111" s="86">
        <f t="shared" si="8"/>
        <v>0.99910712255387768</v>
      </c>
      <c r="M111" s="86" t="str">
        <f t="shared" si="9"/>
        <v>0.0147383907594052j</v>
      </c>
      <c r="N111" s="86" t="str">
        <f t="shared" si="10"/>
        <v>0.999107122553878+0.0147383907594052j</v>
      </c>
      <c r="O111" s="86" t="str">
        <f t="shared" si="11"/>
        <v>1.00165135501936+0.0513626709959095j</v>
      </c>
      <c r="P111" s="86" t="str">
        <f t="shared" si="12"/>
        <v>17.3124925558902+0.887749869065103j</v>
      </c>
      <c r="R111" s="86">
        <f t="shared" si="13"/>
        <v>6.9135802469135808</v>
      </c>
      <c r="S111" s="86" t="str">
        <f t="shared" si="14"/>
        <v>1+0.000410431922362532j</v>
      </c>
      <c r="T111" s="86" t="str">
        <f t="shared" si="15"/>
        <v>0.999107122553878+0.0147383907594052j</v>
      </c>
      <c r="U111" s="86" t="str">
        <f t="shared" si="16"/>
        <v>1.00068197832285-0.014350823626804j</v>
      </c>
      <c r="V111" s="86" t="str">
        <f t="shared" si="17"/>
        <v>6.91829515877526-0.0992155707532128j</v>
      </c>
      <c r="X111" s="86" t="str">
        <f t="shared" si="18"/>
        <v>0.531017609973325+0.024316703829186j</v>
      </c>
      <c r="Y111" s="86">
        <f t="shared" si="19"/>
        <v>-5.4887240500586953</v>
      </c>
      <c r="Z111" s="86">
        <f t="shared" si="20"/>
        <v>-177.37810604415293</v>
      </c>
      <c r="AB111" s="86" t="str">
        <f t="shared" si="21"/>
        <v>2.38364634742808-0.0341839755902745j</v>
      </c>
      <c r="AC111" s="86">
        <f t="shared" si="22"/>
        <v>7.5457295266232318</v>
      </c>
      <c r="AD111" s="86">
        <f t="shared" si="23"/>
        <v>179.17837506600551</v>
      </c>
      <c r="AF111" s="86" t="str">
        <f t="shared" si="24"/>
        <v>1.55615610617052-0.047043588699974j</v>
      </c>
      <c r="AG111" s="86">
        <f t="shared" si="25"/>
        <v>3.8450303910632586</v>
      </c>
      <c r="AH111" s="86">
        <f t="shared" si="26"/>
        <v>178.26843950662649</v>
      </c>
      <c r="AJ111" s="86" t="str">
        <f t="shared" si="27"/>
        <v>9999.9338465376-25.7202303186975j</v>
      </c>
      <c r="AK111" s="86" t="str">
        <f t="shared" si="28"/>
        <v>20000-2.18897025260018E-06j</v>
      </c>
      <c r="AL111" s="86" t="str">
        <f t="shared" si="43"/>
        <v>10000-4060762.76200201j</v>
      </c>
      <c r="AM111" s="86" t="str">
        <f t="shared" si="44"/>
        <v>963.136342067688-1260238.354974j</v>
      </c>
      <c r="AN111" s="86" t="str">
        <f t="shared" si="45"/>
        <v>10963.1363420677-1260238.354974j</v>
      </c>
      <c r="AO111" s="86" t="str">
        <f t="shared" si="46"/>
        <v>19992.2064114931-317.208794063916j</v>
      </c>
      <c r="AP111" s="86" t="str">
        <f t="shared" si="47"/>
        <v>0.666667646721543+0.000571562750030082j</v>
      </c>
      <c r="AQ111" s="86" t="str">
        <f t="shared" si="29"/>
        <v>1+0.318495171753325j</v>
      </c>
      <c r="AR111" s="86">
        <f t="shared" si="51"/>
        <v>7.9084706303055659E-8</v>
      </c>
      <c r="AS111" s="86" t="str">
        <f t="shared" si="31"/>
        <v>0.0000266387829375304j</v>
      </c>
      <c r="AT111" s="86" t="str">
        <f t="shared" si="32"/>
        <v>7.90847063030557E-08+0.0000266387829375304j</v>
      </c>
      <c r="AU111" s="86" t="str">
        <f t="shared" si="33"/>
        <v>1.81011152059891-5.62551405645826j</v>
      </c>
      <c r="AW111" s="86" t="str">
        <f t="shared" si="48"/>
        <v>1.19567670418647-3.75386488455504j</v>
      </c>
      <c r="AX111" s="86">
        <f t="shared" si="34"/>
        <v>11.909237380319668</v>
      </c>
      <c r="AY111" s="86">
        <f t="shared" si="35"/>
        <v>107.66765744749969</v>
      </c>
      <c r="AZ111" s="86" t="str">
        <f t="shared" si="36"/>
        <v>2.72174838305611-8.98875930407792j</v>
      </c>
      <c r="BA111" s="86">
        <f t="shared" si="37"/>
        <v>19.4549669069429</v>
      </c>
      <c r="BB111" s="86">
        <f t="shared" si="38"/>
        <v>106.84603251350525</v>
      </c>
      <c r="BD111" s="86" t="str">
        <f t="shared" si="39"/>
        <v>1.68406432856134-5.89784868492932j</v>
      </c>
      <c r="BE111" s="86">
        <f t="shared" si="40"/>
        <v>15.754267771382944</v>
      </c>
      <c r="BF111" s="86">
        <f t="shared" si="41"/>
        <v>105.93609695412621</v>
      </c>
      <c r="BH111" s="86">
        <f t="shared" si="49"/>
        <v>-14.754267771382944</v>
      </c>
      <c r="BI111" s="159">
        <f t="shared" si="50"/>
        <v>-105.93609695412621</v>
      </c>
      <c r="BJ111" s="88"/>
      <c r="BK111" s="88"/>
      <c r="BL111" s="88"/>
      <c r="BM111" s="88"/>
      <c r="BN111" s="42"/>
      <c r="BO111" s="42"/>
      <c r="BP111" s="42"/>
    </row>
    <row r="112" spans="1:68" s="86" customFormat="1">
      <c r="A112" s="86">
        <v>48</v>
      </c>
      <c r="B112" s="86">
        <f t="shared" si="42"/>
        <v>912.01083935590987</v>
      </c>
      <c r="C112" s="86" t="str">
        <f t="shared" si="0"/>
        <v>5730.33310582957j</v>
      </c>
      <c r="D112" s="86">
        <f t="shared" si="1"/>
        <v>0.99998669177966237</v>
      </c>
      <c r="E112" s="86" t="str">
        <f t="shared" si="2"/>
        <v>-0.00573033310582957j</v>
      </c>
      <c r="F112" s="86" t="str">
        <f t="shared" si="3"/>
        <v>0.999986691779662-0.00573033310582957j</v>
      </c>
      <c r="G112" s="86">
        <f t="shared" si="4"/>
        <v>2.7015004171873531E-5</v>
      </c>
      <c r="H112" s="86">
        <f t="shared" si="5"/>
        <v>-0.32832467786735958</v>
      </c>
      <c r="J112" s="86">
        <f t="shared" si="6"/>
        <v>17.283950617283953</v>
      </c>
      <c r="K112" s="86" t="str">
        <f t="shared" si="7"/>
        <v>1+0.0691937722528921j</v>
      </c>
      <c r="L112" s="86">
        <f t="shared" si="8"/>
        <v>0.99902097934849887</v>
      </c>
      <c r="M112" s="86" t="str">
        <f t="shared" si="9"/>
        <v>0.0154329897165027j</v>
      </c>
      <c r="N112" s="86" t="str">
        <f t="shared" si="10"/>
        <v>0.999020979348499+0.0154329897165027j</v>
      </c>
      <c r="O112" s="86" t="str">
        <f t="shared" si="11"/>
        <v>1.00181086447929+0.0537854925915008j</v>
      </c>
      <c r="P112" s="86" t="str">
        <f t="shared" si="12"/>
        <v>17.3152495095186+0.929625797877792j</v>
      </c>
      <c r="R112" s="86">
        <f t="shared" si="13"/>
        <v>6.9135802469135808</v>
      </c>
      <c r="S112" s="86" t="str">
        <f t="shared" si="14"/>
        <v>1+0.000429774982937218j</v>
      </c>
      <c r="T112" s="86" t="str">
        <f t="shared" si="15"/>
        <v>0.999020979348499+0.0154329897165027j</v>
      </c>
      <c r="U112" s="86" t="str">
        <f t="shared" si="16"/>
        <v>1.00074780311437-0.0150294697325888j</v>
      </c>
      <c r="V112" s="86" t="str">
        <f t="shared" si="17"/>
        <v>6.91875024375367-0.103907445064811j</v>
      </c>
      <c r="X112" s="86" t="str">
        <f t="shared" si="18"/>
        <v>0.531115906300482+0.0254633488855549j</v>
      </c>
      <c r="Y112" s="86">
        <f t="shared" si="19"/>
        <v>-5.4862428498299023</v>
      </c>
      <c r="Z112" s="86">
        <f t="shared" si="20"/>
        <v>-177.25516383191251</v>
      </c>
      <c r="AB112" s="86" t="str">
        <f t="shared" si="21"/>
        <v>2.38380314352042-0.0358005254495628j</v>
      </c>
      <c r="AC112" s="86">
        <f t="shared" si="22"/>
        <v>7.5463871927818644</v>
      </c>
      <c r="AD112" s="86">
        <f t="shared" si="23"/>
        <v>179.13958297132211</v>
      </c>
      <c r="AF112" s="86" t="str">
        <f t="shared" si="24"/>
        <v>1.55608650768458-0.0492606071039262j</v>
      </c>
      <c r="AG112" s="86">
        <f t="shared" si="25"/>
        <v>3.8450248380199703</v>
      </c>
      <c r="AH112" s="86">
        <f t="shared" si="26"/>
        <v>178.18680863413678</v>
      </c>
      <c r="AJ112" s="86" t="str">
        <f t="shared" si="27"/>
        <v>9999.92746421718-26.9323702399261j</v>
      </c>
      <c r="AK112" s="86" t="str">
        <f t="shared" si="28"/>
        <v>20000-2.29213324233182E-06j</v>
      </c>
      <c r="AL112" s="86" t="str">
        <f t="shared" si="43"/>
        <v>10000-3877998.33130383j</v>
      </c>
      <c r="AM112" s="86" t="str">
        <f t="shared" si="44"/>
        <v>963.136074049468-1203518.43632928j</v>
      </c>
      <c r="AN112" s="86" t="str">
        <f t="shared" si="45"/>
        <v>10963.1360740495-1203518.43632928j</v>
      </c>
      <c r="AO112" s="86" t="str">
        <f t="shared" si="46"/>
        <v>19991.4549996969-332.139010657716j</v>
      </c>
      <c r="AP112" s="86" t="str">
        <f t="shared" si="47"/>
        <v>0.666667741275164+0.000598499502787531j</v>
      </c>
      <c r="AQ112" s="86" t="str">
        <f t="shared" si="29"/>
        <v>1+0.333505386759281j</v>
      </c>
      <c r="AR112" s="86">
        <f t="shared" si="51"/>
        <v>7.7066836495369549E-8</v>
      </c>
      <c r="AS112" s="86" t="str">
        <f t="shared" si="31"/>
        <v>0.0000278942300992193j</v>
      </c>
      <c r="AT112" s="86" t="str">
        <f t="shared" si="32"/>
        <v>7.70668364953695E-08+0.0000278942300992193j</v>
      </c>
      <c r="AU112" s="86" t="str">
        <f t="shared" si="33"/>
        <v>1.80825376263952-5.37246029267989j</v>
      </c>
      <c r="AW112" s="86" t="str">
        <f t="shared" si="48"/>
        <v>1.19443687455755-3.5853245437729j</v>
      </c>
      <c r="AX112" s="86">
        <f t="shared" si="34"/>
        <v>11.54765660119825</v>
      </c>
      <c r="AY112" s="86">
        <f t="shared" si="35"/>
        <v>108.42529316122973</v>
      </c>
      <c r="AZ112" s="86" t="str">
        <f t="shared" si="36"/>
        <v>2.71894587373271-8.58946938571225j</v>
      </c>
      <c r="BA112" s="86">
        <f t="shared" si="37"/>
        <v>19.094043793980116</v>
      </c>
      <c r="BB112" s="86">
        <f t="shared" si="38"/>
        <v>107.56487613255183</v>
      </c>
      <c r="BD112" s="86" t="str">
        <f t="shared" si="39"/>
        <v>1.68203184108908-5.63791383382339j</v>
      </c>
      <c r="BE112" s="86">
        <f t="shared" si="40"/>
        <v>15.392681439218203</v>
      </c>
      <c r="BF112" s="86">
        <f t="shared" si="41"/>
        <v>106.61210179536654</v>
      </c>
      <c r="BH112" s="86">
        <f t="shared" si="49"/>
        <v>-14.392681439218203</v>
      </c>
      <c r="BI112" s="159">
        <f t="shared" si="50"/>
        <v>-106.61210179536654</v>
      </c>
      <c r="BJ112" s="88"/>
      <c r="BK112" s="88"/>
      <c r="BL112" s="88"/>
      <c r="BM112" s="88"/>
      <c r="BN112" s="42"/>
      <c r="BO112" s="42"/>
      <c r="BP112" s="42"/>
    </row>
    <row r="113" spans="1:68" s="86" customFormat="1">
      <c r="A113" s="86">
        <v>49</v>
      </c>
      <c r="B113" s="86">
        <f t="shared" si="42"/>
        <v>954.99258602143584</v>
      </c>
      <c r="C113" s="86" t="str">
        <f t="shared" si="0"/>
        <v>6000.39538495532j</v>
      </c>
      <c r="D113" s="86">
        <f t="shared" si="1"/>
        <v>0.99998540782657031</v>
      </c>
      <c r="E113" s="86" t="str">
        <f t="shared" si="2"/>
        <v>-0.00600039538495532j</v>
      </c>
      <c r="F113" s="86" t="str">
        <f t="shared" si="3"/>
        <v>0.99998540782657-0.00600039538495532j</v>
      </c>
      <c r="G113" s="86">
        <f t="shared" si="4"/>
        <v>2.9621435525019521E-5</v>
      </c>
      <c r="H113" s="86">
        <f t="shared" si="5"/>
        <v>-0.34379822158799056</v>
      </c>
      <c r="J113" s="86">
        <f t="shared" si="6"/>
        <v>17.283950617283953</v>
      </c>
      <c r="K113" s="86" t="str">
        <f t="shared" si="7"/>
        <v>1+0.0724547742733355j</v>
      </c>
      <c r="L113" s="86">
        <f t="shared" si="8"/>
        <v>0.99892652520205505</v>
      </c>
      <c r="M113" s="86" t="str">
        <f t="shared" si="9"/>
        <v>0.016160324113926j</v>
      </c>
      <c r="N113" s="86" t="str">
        <f t="shared" si="10"/>
        <v>0.998926525202055+0.016160324113926j</v>
      </c>
      <c r="O113" s="86" t="str">
        <f t="shared" si="11"/>
        <v>1.00198580153352+0.0563228200909186j</v>
      </c>
      <c r="P113" s="86" t="str">
        <f t="shared" si="12"/>
        <v>17.318273112925+0.973480841077606j</v>
      </c>
      <c r="R113" s="86">
        <f t="shared" si="13"/>
        <v>6.9135802469135808</v>
      </c>
      <c r="S113" s="86" t="str">
        <f t="shared" si="14"/>
        <v>1+0.000450029653871649j</v>
      </c>
      <c r="T113" s="86" t="str">
        <f t="shared" si="15"/>
        <v>0.998926525202055+0.016160324113926j</v>
      </c>
      <c r="U113" s="86" t="str">
        <f t="shared" si="16"/>
        <v>1.00081998437572-0.0157404426418188j</v>
      </c>
      <c r="V113" s="86" t="str">
        <f t="shared" si="17"/>
        <v>6.91924927469634-0.108822813326155j</v>
      </c>
      <c r="X113" s="86" t="str">
        <f t="shared" si="18"/>
        <v>0.53122370754367+0.0266641273888711j</v>
      </c>
      <c r="Y113" s="86">
        <f t="shared" si="19"/>
        <v>-5.4835231050529938</v>
      </c>
      <c r="Z113" s="86">
        <f t="shared" si="20"/>
        <v>-177.12651963322867</v>
      </c>
      <c r="AB113" s="86" t="str">
        <f t="shared" si="21"/>
        <v>2.38397508086285-0.0374940784613268j</v>
      </c>
      <c r="AC113" s="86">
        <f t="shared" si="22"/>
        <v>7.5471083496251312</v>
      </c>
      <c r="AD113" s="86">
        <f t="shared" si="23"/>
        <v>179.09895226313904</v>
      </c>
      <c r="AF113" s="86" t="str">
        <f t="shared" si="24"/>
        <v>1.55601018810999-0.0515820986485218j</v>
      </c>
      <c r="AG113" s="86">
        <f t="shared" si="25"/>
        <v>3.8450187309400592</v>
      </c>
      <c r="AH113" s="86">
        <f t="shared" si="26"/>
        <v>178.10132692374756</v>
      </c>
      <c r="AJ113" s="86" t="str">
        <f t="shared" si="27"/>
        <v>9999.92046615135-28.201634009057j</v>
      </c>
      <c r="AK113" s="86" t="str">
        <f t="shared" si="28"/>
        <v>20000-2.40015815398212E-06j</v>
      </c>
      <c r="AL113" s="86" t="str">
        <f t="shared" si="43"/>
        <v>10000-3703459.65499867j</v>
      </c>
      <c r="AM113" s="86" t="str">
        <f t="shared" si="44"/>
        <v>963.135780173489-1149351.34164646j</v>
      </c>
      <c r="AN113" s="86" t="str">
        <f t="shared" si="45"/>
        <v>10963.1357801735-1149351.34164646j</v>
      </c>
      <c r="AO113" s="86" t="str">
        <f t="shared" si="46"/>
        <v>19990.6311940166-347.769999183573j</v>
      </c>
      <c r="AP113" s="86" t="str">
        <f t="shared" si="47"/>
        <v>0.666667844951086+0.000626705720439511j</v>
      </c>
      <c r="AQ113" s="86" t="str">
        <f t="shared" si="29"/>
        <v>1+0.3492230114044j</v>
      </c>
      <c r="AR113" s="86">
        <f t="shared" si="51"/>
        <v>7.4854286248586099E-8</v>
      </c>
      <c r="AS113" s="86" t="str">
        <f t="shared" si="31"/>
        <v>0.0000292088446627932j</v>
      </c>
      <c r="AT113" s="86" t="str">
        <f t="shared" si="32"/>
        <v>7.48542862485861E-08+0.0000292088446627932j</v>
      </c>
      <c r="AU113" s="86" t="str">
        <f t="shared" si="33"/>
        <v>1.80655944359985-5.13080106428121j</v>
      </c>
      <c r="AW113" s="86" t="str">
        <f t="shared" si="48"/>
        <v>1.19330587897124-3.42438837398287j</v>
      </c>
      <c r="AX113" s="86">
        <f t="shared" si="34"/>
        <v>11.189394471420155</v>
      </c>
      <c r="AY113" s="86">
        <f t="shared" si="35"/>
        <v>109.2120513797088</v>
      </c>
      <c r="AZ113" s="86" t="str">
        <f t="shared" si="36"/>
        <v>2.71641719293841-8.20839845502613j</v>
      </c>
      <c r="BA113" s="86">
        <f t="shared" si="37"/>
        <v>18.736502821045288</v>
      </c>
      <c r="BB113" s="86">
        <f t="shared" si="38"/>
        <v>108.31100364284784</v>
      </c>
      <c r="BD113" s="86" t="str">
        <f t="shared" si="39"/>
        <v>1.68015896629316-5.3899364195297j</v>
      </c>
      <c r="BE113" s="86">
        <f t="shared" si="40"/>
        <v>15.034413202360209</v>
      </c>
      <c r="BF113" s="86">
        <f t="shared" si="41"/>
        <v>107.31337830345639</v>
      </c>
      <c r="BH113" s="86">
        <f t="shared" si="49"/>
        <v>-14.034413202360209</v>
      </c>
      <c r="BI113" s="159">
        <f t="shared" si="50"/>
        <v>-107.31337830345639</v>
      </c>
      <c r="BJ113" s="88"/>
      <c r="BK113" s="88"/>
      <c r="BL113" s="88"/>
      <c r="BM113" s="88"/>
      <c r="BN113" s="42"/>
      <c r="BO113" s="42"/>
      <c r="BP113" s="42"/>
    </row>
    <row r="114" spans="1:68" s="86" customFormat="1">
      <c r="A114" s="86">
        <v>50</v>
      </c>
      <c r="B114" s="86">
        <f t="shared" si="42"/>
        <v>1000</v>
      </c>
      <c r="C114" s="86" t="str">
        <f t="shared" si="0"/>
        <v>6283.18530717959j</v>
      </c>
      <c r="D114" s="86">
        <f t="shared" si="1"/>
        <v>0.99998399999999998</v>
      </c>
      <c r="E114" s="86" t="str">
        <f t="shared" si="2"/>
        <v>-0.00628318530717959j</v>
      </c>
      <c r="F114" s="86" t="str">
        <f t="shared" si="3"/>
        <v>0.999984-0.00628318530717959j</v>
      </c>
      <c r="G114" s="86">
        <f t="shared" si="4"/>
        <v>3.247934533237937E-5</v>
      </c>
      <c r="H114" s="86">
        <f t="shared" si="5"/>
        <v>-0.36000102256686728</v>
      </c>
      <c r="J114" s="86">
        <f t="shared" si="6"/>
        <v>17.283950617283953</v>
      </c>
      <c r="K114" s="86" t="str">
        <f t="shared" si="7"/>
        <v>1+0.0758694625841935j</v>
      </c>
      <c r="L114" s="86">
        <f t="shared" si="8"/>
        <v>0.99882295828994416</v>
      </c>
      <c r="M114" s="86" t="str">
        <f t="shared" si="9"/>
        <v>0.0169219367254473j</v>
      </c>
      <c r="N114" s="86" t="str">
        <f t="shared" si="10"/>
        <v>0.998822958289944+0.0169219367254473j</v>
      </c>
      <c r="O114" s="86" t="str">
        <f t="shared" si="11"/>
        <v>1.00217766238965+0.0589800976285511j</v>
      </c>
      <c r="P114" s="86" t="str">
        <f t="shared" si="12"/>
        <v>17.3215892264878+1.01940909481446j</v>
      </c>
      <c r="R114" s="86">
        <f t="shared" si="13"/>
        <v>6.9135802469135808</v>
      </c>
      <c r="S114" s="86" t="str">
        <f t="shared" si="14"/>
        <v>1+0.000471238898038469j</v>
      </c>
      <c r="T114" s="86" t="str">
        <f t="shared" si="15"/>
        <v>0.998822958289944+0.0169219367254473j</v>
      </c>
      <c r="U114" s="86" t="str">
        <f t="shared" si="16"/>
        <v>1.00089913654239-0.0164853168646398j</v>
      </c>
      <c r="V114" s="86" t="str">
        <f t="shared" si="17"/>
        <v>6.91979649955233-0.113972561039485j</v>
      </c>
      <c r="X114" s="86" t="str">
        <f t="shared" si="18"/>
        <v>0.531341935067633+0.0279216044003661j</v>
      </c>
      <c r="Y114" s="86">
        <f t="shared" si="19"/>
        <v>-5.4805419697373186</v>
      </c>
      <c r="Z114" s="86">
        <f t="shared" si="20"/>
        <v>-176.99191828369536</v>
      </c>
      <c r="AB114" s="86" t="str">
        <f t="shared" si="21"/>
        <v>2.38416362305414-0.0392683851431522j</v>
      </c>
      <c r="AC114" s="86">
        <f t="shared" si="22"/>
        <v>7.5478991307602916</v>
      </c>
      <c r="AD114" s="86">
        <f t="shared" si="23"/>
        <v>179.05639474655766</v>
      </c>
      <c r="AF114" s="86" t="str">
        <f t="shared" si="24"/>
        <v>1.55592649772464-0.0540129852089591j</v>
      </c>
      <c r="AG114" s="86">
        <f t="shared" si="25"/>
        <v>3.8450120126721847</v>
      </c>
      <c r="AH114" s="86">
        <f t="shared" si="26"/>
        <v>178.01181234429211</v>
      </c>
      <c r="AJ114" s="86" t="str">
        <f t="shared" si="27"/>
        <v>9999.91279293602-29.5307134128169j</v>
      </c>
      <c r="AK114" s="86" t="str">
        <f t="shared" si="28"/>
        <v>20000-2.51327412287184E-06j</v>
      </c>
      <c r="AL114" s="86" t="str">
        <f t="shared" si="43"/>
        <v>10000-3536776.51315322j</v>
      </c>
      <c r="AM114" s="86" t="str">
        <f t="shared" si="44"/>
        <v>963.135457945106-1097622.17525538j</v>
      </c>
      <c r="AN114" s="86" t="str">
        <f t="shared" si="45"/>
        <v>10963.1354579451-1097622.17525538j</v>
      </c>
      <c r="AO114" s="86" t="str">
        <f t="shared" si="46"/>
        <v>19989.7280304202-364.134361880215j</v>
      </c>
      <c r="AP114" s="86" t="str">
        <f t="shared" si="47"/>
        <v>0.666667958629402+0.000656241227296948j</v>
      </c>
      <c r="AQ114" s="86" t="str">
        <f t="shared" si="29"/>
        <v>1+0.365681384877852j</v>
      </c>
      <c r="AR114" s="86">
        <f t="shared" si="51"/>
        <v>7.2428273145116718E-8</v>
      </c>
      <c r="AS114" s="86" t="str">
        <f t="shared" si="31"/>
        <v>0.000030585415101995j</v>
      </c>
      <c r="AT114" s="86" t="str">
        <f t="shared" si="32"/>
        <v>7.24282731451167E-08+0.000030585415101995j</v>
      </c>
      <c r="AU114" s="86" t="str">
        <f t="shared" si="33"/>
        <v>1.80501418140864-4.90002393101615j</v>
      </c>
      <c r="AW114" s="86" t="str">
        <f t="shared" si="48"/>
        <v>1.19227411707571-3.27071510877525j</v>
      </c>
      <c r="AX114" s="86">
        <f t="shared" si="34"/>
        <v>10.834701860311389</v>
      </c>
      <c r="AY114" s="86">
        <f t="shared" si="35"/>
        <v>110.02832061515947</v>
      </c>
      <c r="AZ114" s="86" t="str">
        <f t="shared" si="36"/>
        <v>2.71414087805599-7.84473866294105j</v>
      </c>
      <c r="BA114" s="86">
        <f t="shared" si="37"/>
        <v>18.382600991071673</v>
      </c>
      <c r="BB114" s="86">
        <f t="shared" si="38"/>
        <v>109.08471536171717</v>
      </c>
      <c r="BD114" s="86" t="str">
        <f t="shared" si="39"/>
        <v>1.67842980451635-5.15339058850237j</v>
      </c>
      <c r="BE114" s="86">
        <f t="shared" si="40"/>
        <v>14.679713872983564</v>
      </c>
      <c r="BF114" s="86">
        <f t="shared" si="41"/>
        <v>108.04013295945158</v>
      </c>
      <c r="BH114" s="86">
        <f t="shared" si="49"/>
        <v>-13.679713872983564</v>
      </c>
      <c r="BI114" s="159">
        <f t="shared" si="50"/>
        <v>-108.04013295945158</v>
      </c>
      <c r="BJ114" s="88"/>
      <c r="BK114" s="88"/>
      <c r="BL114" s="88"/>
      <c r="BM114" s="88"/>
      <c r="BN114" s="42"/>
      <c r="BO114" s="42"/>
      <c r="BP114" s="42"/>
    </row>
    <row r="115" spans="1:68" s="86" customFormat="1">
      <c r="A115" s="86">
        <v>51</v>
      </c>
      <c r="B115" s="86">
        <f t="shared" si="42"/>
        <v>1047.1285480509</v>
      </c>
      <c r="C115" s="86" t="str">
        <f t="shared" si="0"/>
        <v>6579.30270784171j</v>
      </c>
      <c r="D115" s="86">
        <f t="shared" si="1"/>
        <v>0.99998245634886174</v>
      </c>
      <c r="E115" s="86" t="str">
        <f t="shared" si="2"/>
        <v>-0.00657930270784171j</v>
      </c>
      <c r="F115" s="86" t="str">
        <f t="shared" si="3"/>
        <v>0.999982456348862-0.00657930270784171j</v>
      </c>
      <c r="G115" s="86">
        <f t="shared" si="4"/>
        <v>3.5612998747525692E-5</v>
      </c>
      <c r="H115" s="86">
        <f t="shared" si="5"/>
        <v>-0.37696745135962567</v>
      </c>
      <c r="J115" s="86">
        <f t="shared" si="6"/>
        <v>17.283950617283953</v>
      </c>
      <c r="K115" s="86" t="str">
        <f t="shared" si="7"/>
        <v>1+0.0794450801971886j</v>
      </c>
      <c r="L115" s="86">
        <f t="shared" si="8"/>
        <v>0.99870939942897263</v>
      </c>
      <c r="M115" s="86" t="str">
        <f t="shared" si="9"/>
        <v>0.0177194430335268j</v>
      </c>
      <c r="N115" s="86" t="str">
        <f t="shared" si="10"/>
        <v>0.998709399428973+0.0177194430335268j</v>
      </c>
      <c r="O115" s="86" t="str">
        <f t="shared" si="11"/>
        <v>1.00238808918439+0.0617630329590053j</v>
      </c>
      <c r="P115" s="86" t="str">
        <f t="shared" si="12"/>
        <v>17.3252262328166+1.06750921163713j</v>
      </c>
      <c r="R115" s="86">
        <f t="shared" si="13"/>
        <v>6.9135802469135808</v>
      </c>
      <c r="S115" s="86" t="str">
        <f t="shared" si="14"/>
        <v>1+0.000493447703088128j</v>
      </c>
      <c r="T115" s="86" t="str">
        <f t="shared" si="15"/>
        <v>0.998709399428973+0.0177194430335268j</v>
      </c>
      <c r="U115" s="86" t="str">
        <f t="shared" si="16"/>
        <v>1.00098593356677-0.0172657487092532j</v>
      </c>
      <c r="V115" s="86" t="str">
        <f t="shared" si="17"/>
        <v>6.92039657774557-0.119368139224467j</v>
      </c>
      <c r="X115" s="86" t="str">
        <f t="shared" si="18"/>
        <v>0.531471600010034+0.0292384679033473j</v>
      </c>
      <c r="Y115" s="86">
        <f t="shared" si="19"/>
        <v>-5.4772744274976413</v>
      </c>
      <c r="Z115" s="86">
        <f t="shared" si="20"/>
        <v>-176.85109458123497</v>
      </c>
      <c r="AB115" s="86" t="str">
        <f t="shared" si="21"/>
        <v>2.38437037546361-0.0411273908573825j</v>
      </c>
      <c r="AC115" s="86">
        <f t="shared" si="22"/>
        <v>7.5487662632006645</v>
      </c>
      <c r="AD115" s="86">
        <f t="shared" si="23"/>
        <v>179.0118178406573</v>
      </c>
      <c r="AF115" s="86" t="str">
        <f t="shared" si="24"/>
        <v>1.55583472386311-0.0565584203411934j</v>
      </c>
      <c r="AG115" s="86">
        <f t="shared" si="25"/>
        <v>3.8450046198027614</v>
      </c>
      <c r="AH115" s="86">
        <f t="shared" si="26"/>
        <v>177.91807420484292</v>
      </c>
      <c r="AJ115" s="86" t="str">
        <f t="shared" si="27"/>
        <v>9999.90437943625-30.922427042038j</v>
      </c>
      <c r="AK115" s="86" t="str">
        <f t="shared" si="28"/>
        <v>20000-2.63172108313668E-06j</v>
      </c>
      <c r="AL115" s="86" t="str">
        <f t="shared" si="43"/>
        <v>10000-3377595.34847608j</v>
      </c>
      <c r="AM115" s="86" t="str">
        <f t="shared" si="44"/>
        <v>963.135104628944-1048221.21265867j</v>
      </c>
      <c r="AN115" s="86" t="str">
        <f t="shared" si="45"/>
        <v>10963.1351046289-1048221.21265867j</v>
      </c>
      <c r="AO115" s="86" t="str">
        <f t="shared" si="46"/>
        <v>19988.7378771168-381.266174829228j</v>
      </c>
      <c r="AP115" s="86" t="str">
        <f t="shared" si="47"/>
        <v>0.666668083275105+0.000687168666551613j</v>
      </c>
      <c r="AQ115" s="86" t="str">
        <f t="shared" si="29"/>
        <v>1+0.382915417596388j</v>
      </c>
      <c r="AR115" s="86">
        <f t="shared" si="51"/>
        <v>6.9768202673604948E-8</v>
      </c>
      <c r="AS115" s="86" t="str">
        <f t="shared" si="31"/>
        <v>0.000032026861307286j</v>
      </c>
      <c r="AT115" s="86" t="str">
        <f t="shared" si="32"/>
        <v>6.97682026736049E-08+0.000032026861307286j</v>
      </c>
      <c r="AU115" s="86" t="str">
        <f t="shared" si="33"/>
        <v>1.80360485916468-4.67963951548842j</v>
      </c>
      <c r="AW115" s="86" t="str">
        <f t="shared" si="48"/>
        <v>1.19133283079841-3.12397887429238j</v>
      </c>
      <c r="AX115" s="86">
        <f t="shared" si="34"/>
        <v>10.483842273874856</v>
      </c>
      <c r="AY115" s="86">
        <f t="shared" si="35"/>
        <v>110.87440592593366</v>
      </c>
      <c r="AZ115" s="86" t="str">
        <f t="shared" si="36"/>
        <v>2.7120976088797-7.49771909241037j</v>
      </c>
      <c r="BA115" s="86">
        <f t="shared" si="37"/>
        <v>18.032608537075507</v>
      </c>
      <c r="BB115" s="86">
        <f t="shared" si="38"/>
        <v>109.88622376659097</v>
      </c>
      <c r="BD115" s="86" t="str">
        <f t="shared" si="39"/>
        <v>1.67682967552506-4.92777471224942j</v>
      </c>
      <c r="BE115" s="86">
        <f t="shared" si="40"/>
        <v>14.328846893677593</v>
      </c>
      <c r="BF115" s="86">
        <f t="shared" si="41"/>
        <v>108.79248013077655</v>
      </c>
      <c r="BH115" s="86">
        <f t="shared" si="49"/>
        <v>-13.328846893677593</v>
      </c>
      <c r="BI115" s="159">
        <f t="shared" si="50"/>
        <v>-108.79248013077655</v>
      </c>
      <c r="BJ115" s="88"/>
      <c r="BK115" s="88"/>
      <c r="BL115" s="88"/>
      <c r="BM115" s="88"/>
      <c r="BN115" s="42"/>
      <c r="BO115" s="42"/>
      <c r="BP115" s="42"/>
    </row>
    <row r="116" spans="1:68" s="86" customFormat="1">
      <c r="A116" s="86">
        <v>52</v>
      </c>
      <c r="B116" s="86">
        <f t="shared" si="42"/>
        <v>1096.4781961431854</v>
      </c>
      <c r="C116" s="86" t="str">
        <f t="shared" si="0"/>
        <v>6889.37569164964j</v>
      </c>
      <c r="D116" s="86">
        <f t="shared" si="1"/>
        <v>0.9999807637690461</v>
      </c>
      <c r="E116" s="86" t="str">
        <f t="shared" si="2"/>
        <v>-0.00688937569164964j</v>
      </c>
      <c r="F116" s="86" t="str">
        <f t="shared" si="3"/>
        <v>0.999980763769046-0.00688937569164964j</v>
      </c>
      <c r="G116" s="86">
        <f t="shared" si="4"/>
        <v>3.9049002576372795E-5</v>
      </c>
      <c r="H116" s="86">
        <f t="shared" si="5"/>
        <v>-0.39473349861107188</v>
      </c>
      <c r="J116" s="86">
        <f t="shared" si="6"/>
        <v>17.283950617283953</v>
      </c>
      <c r="K116" s="86" t="str">
        <f t="shared" si="7"/>
        <v>1+0.0831892114766694j</v>
      </c>
      <c r="L116" s="86">
        <f t="shared" si="8"/>
        <v>0.99858488461393857</v>
      </c>
      <c r="M116" s="86" t="str">
        <f t="shared" si="9"/>
        <v>0.0185545346559675j</v>
      </c>
      <c r="N116" s="86" t="str">
        <f t="shared" si="10"/>
        <v>0.998584884613939+0.0185545346559675j</v>
      </c>
      <c r="O116" s="86" t="str">
        <f t="shared" si="11"/>
        <v>1.00261888438296+0.0646776109220076j</v>
      </c>
      <c r="P116" s="86" t="str">
        <f t="shared" si="12"/>
        <v>17.3292152856314+1.11788463321988j</v>
      </c>
      <c r="R116" s="86">
        <f t="shared" si="13"/>
        <v>6.9135802469135808</v>
      </c>
      <c r="S116" s="86" t="str">
        <f t="shared" si="14"/>
        <v>1+0.000516703176873723j</v>
      </c>
      <c r="T116" s="86" t="str">
        <f t="shared" si="15"/>
        <v>0.998584884613939+0.0185545346559675j</v>
      </c>
      <c r="U116" s="86" t="str">
        <f t="shared" si="16"/>
        <v>1.00108111470816-0.0180834812719949j</v>
      </c>
      <c r="V116" s="86" t="str">
        <f t="shared" si="17"/>
        <v>6.92105462020456-0.125021598917496j</v>
      </c>
      <c r="X116" s="86" t="str">
        <f t="shared" si="18"/>
        <v>0.531613812121529+0.030617534893948j</v>
      </c>
      <c r="Y116" s="86">
        <f t="shared" si="19"/>
        <v>-5.4736930888858124</v>
      </c>
      <c r="Z116" s="86">
        <f t="shared" si="20"/>
        <v>-176.70377310206683</v>
      </c>
      <c r="AB116" s="86" t="str">
        <f t="shared" si="21"/>
        <v>2.38459709902307-0.0430752476975937j</v>
      </c>
      <c r="AC116" s="86">
        <f t="shared" si="22"/>
        <v>7.5497171249498907</v>
      </c>
      <c r="AD116" s="86">
        <f t="shared" si="23"/>
        <v>178.96512433757132</v>
      </c>
      <c r="AF116" s="86" t="str">
        <f t="shared" si="24"/>
        <v>1.55573408479173-0.0592238001554476j</v>
      </c>
      <c r="AG116" s="86">
        <f t="shared" si="25"/>
        <v>3.8449964819006643</v>
      </c>
      <c r="AH116" s="86">
        <f t="shared" si="26"/>
        <v>177.81991273463348</v>
      </c>
      <c r="AJ116" s="86" t="str">
        <f t="shared" si="27"/>
        <v>9999.89515423347-32.3797262594719j</v>
      </c>
      <c r="AK116" s="86" t="str">
        <f t="shared" si="28"/>
        <v>20000-2.75575027665986E-06j</v>
      </c>
      <c r="AL116" s="86" t="str">
        <f t="shared" si="43"/>
        <v>10000-3225578.51637514j</v>
      </c>
      <c r="AM116" s="86" t="str">
        <f t="shared" si="44"/>
        <v>963.134717225786-1001043.66779133j</v>
      </c>
      <c r="AN116" s="86" t="str">
        <f t="shared" si="45"/>
        <v>10963.1347172258-1001043.66779133j</v>
      </c>
      <c r="AO116" s="86" t="str">
        <f t="shared" si="46"/>
        <v>19987.6523709637-399.201048179984j</v>
      </c>
      <c r="AP116" s="86" t="str">
        <f t="shared" si="47"/>
        <v>0.666668219946296+0.000719553633044118j</v>
      </c>
      <c r="AQ116" s="86" t="str">
        <f t="shared" si="29"/>
        <v>1+0.400961665254009j</v>
      </c>
      <c r="AR116" s="86">
        <f t="shared" si="51"/>
        <v>6.6851493401388012E-8</v>
      </c>
      <c r="AS116" s="86" t="str">
        <f t="shared" si="31"/>
        <v>0.000033536240779326j</v>
      </c>
      <c r="AT116" s="86" t="str">
        <f t="shared" si="32"/>
        <v>6.6851493401388E-08+0.000033536240779326j</v>
      </c>
      <c r="AU116" s="86" t="str">
        <f t="shared" si="33"/>
        <v>1.80231951381696-4.4691804676364j</v>
      </c>
      <c r="AW116" s="86" t="str">
        <f t="shared" si="48"/>
        <v>1.19047403001856-2.98386849968363j</v>
      </c>
      <c r="AX116" s="86">
        <f t="shared" si="34"/>
        <v>10.137091390836272</v>
      </c>
      <c r="AY116" s="86">
        <f t="shared" si="35"/>
        <v>111.75051696675435</v>
      </c>
      <c r="AZ116" s="86" t="str">
        <f t="shared" si="36"/>
        <v>2.71027004372364-7.16660413193251j</v>
      </c>
      <c r="BA116" s="86">
        <f t="shared" si="37"/>
        <v>17.686808515786161</v>
      </c>
      <c r="BB116" s="86">
        <f t="shared" si="38"/>
        <v>110.71564130432566</v>
      </c>
      <c r="BD116" s="86" t="str">
        <f t="shared" si="39"/>
        <v>1.67534499384385-4.71261032553825j</v>
      </c>
      <c r="BE116" s="86">
        <f t="shared" si="40"/>
        <v>13.98208787273693</v>
      </c>
      <c r="BF116" s="86">
        <f t="shared" si="41"/>
        <v>109.57042970138785</v>
      </c>
      <c r="BH116" s="86">
        <f t="shared" si="49"/>
        <v>-12.98208787273693</v>
      </c>
      <c r="BI116" s="159">
        <f t="shared" si="50"/>
        <v>-109.57042970138785</v>
      </c>
      <c r="BJ116" s="88"/>
      <c r="BK116" s="88"/>
      <c r="BL116" s="88"/>
      <c r="BM116" s="88"/>
      <c r="BN116" s="42"/>
      <c r="BO116" s="42"/>
      <c r="BP116" s="42"/>
    </row>
    <row r="117" spans="1:68" s="86" customFormat="1">
      <c r="A117" s="86">
        <v>53</v>
      </c>
      <c r="B117" s="86">
        <f t="shared" si="42"/>
        <v>1148.1536214968835</v>
      </c>
      <c r="C117" s="86" t="str">
        <f t="shared" si="0"/>
        <v>7214.06196497425j</v>
      </c>
      <c r="D117" s="86">
        <f t="shared" si="1"/>
        <v>0.99997890789218313</v>
      </c>
      <c r="E117" s="86" t="str">
        <f t="shared" si="2"/>
        <v>-0.00721406196497425j</v>
      </c>
      <c r="F117" s="86" t="str">
        <f t="shared" si="3"/>
        <v>0.999978907892183-0.00721406196497425j</v>
      </c>
      <c r="G117" s="86">
        <f t="shared" si="4"/>
        <v>4.2816531336022074E-5</v>
      </c>
      <c r="H117" s="86">
        <f t="shared" si="5"/>
        <v>-0.41333685144537302</v>
      </c>
      <c r="J117" s="86">
        <f t="shared" si="6"/>
        <v>17.283950617283953</v>
      </c>
      <c r="K117" s="86" t="str">
        <f t="shared" si="7"/>
        <v>1+0.0871097982270641j</v>
      </c>
      <c r="L117" s="86">
        <f t="shared" si="8"/>
        <v>0.99844835683415689</v>
      </c>
      <c r="M117" s="86" t="str">
        <f t="shared" si="9"/>
        <v>0.0194289829340634j</v>
      </c>
      <c r="N117" s="86" t="str">
        <f t="shared" si="10"/>
        <v>0.998448356834157+0.0194289829340634j</v>
      </c>
      <c r="O117" s="86" t="str">
        <f t="shared" si="11"/>
        <v>1.00287202663287+0.0677301076952916j</v>
      </c>
      <c r="P117" s="86" t="str">
        <f t="shared" si="12"/>
        <v>17.333590583778+1.17064383670874j</v>
      </c>
      <c r="R117" s="86">
        <f t="shared" si="13"/>
        <v>6.9135802469135808</v>
      </c>
      <c r="S117" s="86" t="str">
        <f t="shared" si="14"/>
        <v>1+0.000541054647373069j</v>
      </c>
      <c r="T117" s="86" t="str">
        <f t="shared" si="15"/>
        <v>0.998448356834157+0.0194289829340634j</v>
      </c>
      <c r="U117" s="86" t="str">
        <f t="shared" si="16"/>
        <v>1.001185490891-0.0189403498333578j</v>
      </c>
      <c r="V117" s="86" t="str">
        <f t="shared" si="17"/>
        <v>6.92177623332049-0.130945628477535j</v>
      </c>
      <c r="X117" s="86" t="str">
        <f t="shared" si="18"/>
        <v>0.531769789495046+0.0320617578020296j</v>
      </c>
      <c r="Y117" s="86">
        <f t="shared" si="19"/>
        <v>-5.4697679705006133</v>
      </c>
      <c r="Z117" s="86">
        <f t="shared" si="20"/>
        <v>-176.54966804942632</v>
      </c>
      <c r="AB117" s="86" t="str">
        <f t="shared" si="21"/>
        <v>2.38484572537228-0.0451163273420393j</v>
      </c>
      <c r="AC117" s="86">
        <f t="shared" si="22"/>
        <v>7.5507598082089249</v>
      </c>
      <c r="AD117" s="86">
        <f t="shared" si="23"/>
        <v>178.91621214508439</v>
      </c>
      <c r="AF117" s="86" t="str">
        <f t="shared" si="24"/>
        <v>1.55562372298215-0.0620147746945049j</v>
      </c>
      <c r="AG117" s="86">
        <f t="shared" si="25"/>
        <v>3.8449875206583206</v>
      </c>
      <c r="AH117" s="86">
        <f t="shared" si="26"/>
        <v>177.71711864141773</v>
      </c>
      <c r="AJ117" s="86" t="str">
        <f t="shared" si="27"/>
        <v>9999.88503901933-33.9057014476291j</v>
      </c>
      <c r="AK117" s="86" t="str">
        <f t="shared" si="28"/>
        <v>20000-0.0000028856247859897j</v>
      </c>
      <c r="AL117" s="86" t="str">
        <f t="shared" si="43"/>
        <v>10000-3080403.56876829j</v>
      </c>
      <c r="AM117" s="86" t="str">
        <f t="shared" si="44"/>
        <v>963.134292447021-955989.470755474j</v>
      </c>
      <c r="AN117" s="86" t="str">
        <f t="shared" si="45"/>
        <v>10963.134292447-955989.470755474j</v>
      </c>
      <c r="AO117" s="86" t="str">
        <f t="shared" si="46"/>
        <v>19986.4623479048-417.976187856781j</v>
      </c>
      <c r="AP117" s="86" t="str">
        <f t="shared" si="47"/>
        <v>0.666668369803148+0.000753464812276896j</v>
      </c>
      <c r="AQ117" s="86" t="str">
        <f t="shared" si="29"/>
        <v>1+0.419858406361501j</v>
      </c>
      <c r="AR117" s="86">
        <f t="shared" si="51"/>
        <v>6.3653385279913513E-8</v>
      </c>
      <c r="AS117" s="86" t="str">
        <f t="shared" si="31"/>
        <v>0.000035116755114341j</v>
      </c>
      <c r="AT117" s="86" t="str">
        <f t="shared" si="32"/>
        <v>6.36533852799135E-08+0.000035116755114341j</v>
      </c>
      <c r="AU117" s="86" t="str">
        <f t="shared" si="33"/>
        <v>1.80114723463505-4.26820047561619j</v>
      </c>
      <c r="AW117" s="86" t="str">
        <f t="shared" si="48"/>
        <v>1.18969042475554-2.85008685853034j</v>
      </c>
      <c r="AX117" s="86">
        <f t="shared" si="34"/>
        <v>9.7947363720652074</v>
      </c>
      <c r="AY117" s="86">
        <f t="shared" si="35"/>
        <v>112.65675561893131</v>
      </c>
      <c r="AZ117" s="86" t="str">
        <f t="shared" si="36"/>
        <v>2.70864267233188-6.85069192414474j</v>
      </c>
      <c r="BA117" s="86">
        <f t="shared" si="37"/>
        <v>17.345496180274118</v>
      </c>
      <c r="BB117" s="86">
        <f t="shared" si="38"/>
        <v>111.57296776401573</v>
      </c>
      <c r="BD117" s="86" t="str">
        <f t="shared" si="39"/>
        <v>1.6739631533629-4.50744111333689j</v>
      </c>
      <c r="BE117" s="86">
        <f t="shared" si="40"/>
        <v>13.639723892723525</v>
      </c>
      <c r="BF117" s="86">
        <f t="shared" si="41"/>
        <v>110.37387426034906</v>
      </c>
      <c r="BH117" s="86">
        <f t="shared" si="49"/>
        <v>-12.639723892723525</v>
      </c>
      <c r="BI117" s="159">
        <f t="shared" si="50"/>
        <v>-110.37387426034906</v>
      </c>
      <c r="BJ117" s="88"/>
      <c r="BK117" s="88"/>
      <c r="BL117" s="88"/>
      <c r="BM117" s="88"/>
      <c r="BN117" s="42"/>
      <c r="BO117" s="42"/>
      <c r="BP117" s="42"/>
    </row>
    <row r="118" spans="1:68" s="86" customFormat="1">
      <c r="A118" s="86">
        <v>54</v>
      </c>
      <c r="B118" s="86">
        <f t="shared" si="42"/>
        <v>1202.2644346174134</v>
      </c>
      <c r="C118" s="86" t="str">
        <f t="shared" si="0"/>
        <v>7554.0502309327j</v>
      </c>
      <c r="D118" s="86">
        <f t="shared" si="1"/>
        <v>0.99997687296366811</v>
      </c>
      <c r="E118" s="86" t="str">
        <f t="shared" si="2"/>
        <v>-0.0075540502309327j</v>
      </c>
      <c r="F118" s="86" t="str">
        <f t="shared" si="3"/>
        <v>0.999976872963668-0.0075540502309327j</v>
      </c>
      <c r="G118" s="86">
        <f t="shared" si="4"/>
        <v>4.6947575102600981E-5</v>
      </c>
      <c r="H118" s="86">
        <f t="shared" si="5"/>
        <v>-0.43281697346199788</v>
      </c>
      <c r="J118" s="86">
        <f t="shared" si="6"/>
        <v>17.283950617283953</v>
      </c>
      <c r="K118" s="86" t="str">
        <f t="shared" si="7"/>
        <v>1+0.0912151565385124j</v>
      </c>
      <c r="L118" s="86">
        <f t="shared" si="8"/>
        <v>0.99829865710045851</v>
      </c>
      <c r="M118" s="86" t="str">
        <f t="shared" si="9"/>
        <v>0.0203446426898515j</v>
      </c>
      <c r="N118" s="86" t="str">
        <f t="shared" si="10"/>
        <v>0.998298657100459+0.0203446426898515j</v>
      </c>
      <c r="O118" s="86" t="str">
        <f t="shared" si="11"/>
        <v>1.0031496882257+0.0709271058951242j</v>
      </c>
      <c r="P118" s="86" t="str">
        <f t="shared" si="12"/>
        <v>17.3383896730368+1.2259005957182j</v>
      </c>
      <c r="R118" s="86">
        <f t="shared" si="13"/>
        <v>6.9135802469135808</v>
      </c>
      <c r="S118" s="86" t="str">
        <f t="shared" si="14"/>
        <v>1+0.000566553767319952j</v>
      </c>
      <c r="T118" s="86" t="str">
        <f t="shared" si="15"/>
        <v>0.998298657100459+0.0203446426898515j</v>
      </c>
      <c r="U118" s="86" t="str">
        <f t="shared" si="16"/>
        <v>1.00129995168818-0.0198382877050677j</v>
      </c>
      <c r="V118" s="86" t="str">
        <f t="shared" si="17"/>
        <v>6.92256756722692-0.137153594010345j</v>
      </c>
      <c r="X118" s="86" t="str">
        <f t="shared" si="18"/>
        <v>0.531940869277525+0.0335742312639096j</v>
      </c>
      <c r="Y118" s="86">
        <f t="shared" si="19"/>
        <v>-5.4654662543765475</v>
      </c>
      <c r="Z118" s="86">
        <f t="shared" si="20"/>
        <v>-176.3884831423633</v>
      </c>
      <c r="AB118" s="86" t="str">
        <f t="shared" si="21"/>
        <v>2.38511837349329-0.0472552349815136j</v>
      </c>
      <c r="AC118" s="86">
        <f t="shared" si="22"/>
        <v>7.5519031887623713</v>
      </c>
      <c r="AD118" s="86">
        <f t="shared" si="23"/>
        <v>178.86497401120045</v>
      </c>
      <c r="AF118" s="86" t="str">
        <f t="shared" si="24"/>
        <v>1.55550269772332-0.0649372598391652j</v>
      </c>
      <c r="AG118" s="86">
        <f t="shared" si="25"/>
        <v>3.8449776489133041</v>
      </c>
      <c r="AH118" s="86">
        <f t="shared" si="26"/>
        <v>177.60947264699254</v>
      </c>
      <c r="AJ118" s="86" t="str">
        <f t="shared" si="27"/>
        <v>9999.87394793109-35.5035885496634j</v>
      </c>
      <c r="AK118" s="86" t="str">
        <f t="shared" si="28"/>
        <v>20000-3.02162009237308E-06j</v>
      </c>
      <c r="AL118" s="86" t="str">
        <f t="shared" si="43"/>
        <v>10000-2941762.57012768j</v>
      </c>
      <c r="AM118" s="86" t="str">
        <f t="shared" si="44"/>
        <v>963.133826686805-912963.055558651j</v>
      </c>
      <c r="AN118" s="86" t="str">
        <f t="shared" si="45"/>
        <v>10963.1338266868-912963.055558651j</v>
      </c>
      <c r="AO118" s="86" t="str">
        <f t="shared" si="46"/>
        <v>19985.1577668979-437.63045862025j</v>
      </c>
      <c r="AP118" s="86" t="str">
        <f t="shared" si="47"/>
        <v>0.666668534117762+0.000788974125964803j</v>
      </c>
      <c r="AQ118" s="86" t="str">
        <f t="shared" si="29"/>
        <v>1+0.439645723440283j</v>
      </c>
      <c r="AR118" s="86">
        <f t="shared" si="51"/>
        <v>6.014672945580824E-8</v>
      </c>
      <c r="AS118" s="86" t="str">
        <f t="shared" si="31"/>
        <v>0.0000367717567951388j</v>
      </c>
      <c r="AT118" s="86" t="str">
        <f t="shared" si="32"/>
        <v>6.01467294558082E-08+0.0000367717567951388j</v>
      </c>
      <c r="AU118" s="86" t="str">
        <f t="shared" si="33"/>
        <v>1.80007807060827-4.07627332102618j</v>
      </c>
      <c r="AW118" s="86" t="str">
        <f t="shared" si="48"/>
        <v>1.18897536329783-2.72235023987144j</v>
      </c>
      <c r="AX118" s="86">
        <f t="shared" si="34"/>
        <v>9.4570749182072618</v>
      </c>
      <c r="AY118" s="86">
        <f t="shared" si="35"/>
        <v>113.59310337414323</v>
      </c>
      <c r="AZ118" s="86" t="str">
        <f t="shared" si="36"/>
        <v>2.70720168434541-6.5493128863811j</v>
      </c>
      <c r="BA118" s="86">
        <f t="shared" si="37"/>
        <v>17.008978106969625</v>
      </c>
      <c r="BB118" s="86">
        <f t="shared" si="38"/>
        <v>112.45807738534373</v>
      </c>
      <c r="BD118" s="86" t="str">
        <f t="shared" si="39"/>
        <v>1.67267242023659-4.31183194437658j</v>
      </c>
      <c r="BE118" s="86">
        <f t="shared" si="40"/>
        <v>13.302052567120548</v>
      </c>
      <c r="BF118" s="86">
        <f t="shared" si="41"/>
        <v>111.2025760211358</v>
      </c>
      <c r="BH118" s="86">
        <f t="shared" si="49"/>
        <v>-12.302052567120548</v>
      </c>
      <c r="BI118" s="159">
        <f t="shared" si="50"/>
        <v>-111.2025760211358</v>
      </c>
      <c r="BJ118" s="88"/>
      <c r="BK118" s="88"/>
      <c r="BL118" s="88"/>
      <c r="BM118" s="88"/>
      <c r="BN118" s="42"/>
      <c r="BO118" s="42"/>
      <c r="BP118" s="42"/>
    </row>
    <row r="119" spans="1:68" s="86" customFormat="1">
      <c r="A119" s="86">
        <v>55</v>
      </c>
      <c r="B119" s="86">
        <f t="shared" si="42"/>
        <v>1258.925411794168</v>
      </c>
      <c r="C119" s="86" t="str">
        <f t="shared" si="0"/>
        <v>7910.06165022013j</v>
      </c>
      <c r="D119" s="86">
        <f t="shared" si="1"/>
        <v>0.99997464170892059</v>
      </c>
      <c r="E119" s="86" t="str">
        <f t="shared" si="2"/>
        <v>-0.00791006165022013j</v>
      </c>
      <c r="F119" s="86" t="str">
        <f t="shared" si="3"/>
        <v>0.999974641708921-0.00791006165022013j</v>
      </c>
      <c r="G119" s="86">
        <f t="shared" si="4"/>
        <v>5.147721134617918E-5</v>
      </c>
      <c r="H119" s="86">
        <f t="shared" si="5"/>
        <v>-0.45321518850816978</v>
      </c>
      <c r="J119" s="86">
        <f t="shared" si="6"/>
        <v>17.283950617283953</v>
      </c>
      <c r="K119" s="86" t="str">
        <f t="shared" si="7"/>
        <v>1+0.0955139944264081j</v>
      </c>
      <c r="L119" s="86">
        <f t="shared" si="8"/>
        <v>0.99813451460648972</v>
      </c>
      <c r="M119" s="86" t="str">
        <f t="shared" si="9"/>
        <v>0.0213034561604385j</v>
      </c>
      <c r="N119" s="86" t="str">
        <f t="shared" si="10"/>
        <v>0.99813451460649+0.0213034561604385j</v>
      </c>
      <c r="O119" s="86" t="str">
        <f t="shared" si="11"/>
        <v>1.00345425433818+0.0742755105902108j</v>
      </c>
      <c r="P119" s="86" t="str">
        <f t="shared" si="12"/>
        <v>17.3436537786846+1.28377425711475j</v>
      </c>
      <c r="R119" s="86">
        <f t="shared" si="13"/>
        <v>6.9135802469135808</v>
      </c>
      <c r="S119" s="86" t="str">
        <f t="shared" si="14"/>
        <v>1+0.00059325462376651j</v>
      </c>
      <c r="T119" s="86" t="str">
        <f t="shared" si="15"/>
        <v>0.99813451460649+0.0213034561604385j</v>
      </c>
      <c r="U119" s="86" t="str">
        <f t="shared" si="16"/>
        <v>1.00142547299191-0.0207793325794768j</v>
      </c>
      <c r="V119" s="86" t="str">
        <f t="shared" si="17"/>
        <v>6.92343536883296-0.143659583265519j</v>
      </c>
      <c r="X119" s="86" t="str">
        <f t="shared" si="18"/>
        <v>0.532128519467902+0.0351581992704641j</v>
      </c>
      <c r="Y119" s="86">
        <f t="shared" si="19"/>
        <v>-5.4607520260571265</v>
      </c>
      <c r="Z119" s="86">
        <f t="shared" si="20"/>
        <v>-176.21991155306188</v>
      </c>
      <c r="AB119" s="86" t="str">
        <f t="shared" si="21"/>
        <v>2.38541736798269-0.0494968244437428j</v>
      </c>
      <c r="AC119" s="86">
        <f t="shared" si="22"/>
        <v>7.5531570021561549</v>
      </c>
      <c r="AD119" s="86">
        <f t="shared" si="23"/>
        <v>178.81129722894036</v>
      </c>
      <c r="AF119" s="86" t="str">
        <f t="shared" si="24"/>
        <v>1.55536997700533-0.0679974497640543j</v>
      </c>
      <c r="AG119" s="86">
        <f t="shared" si="25"/>
        <v>3.8449667695304575</v>
      </c>
      <c r="AH119" s="86">
        <f t="shared" si="26"/>
        <v>177.49674499850909</v>
      </c>
      <c r="AJ119" s="86" t="str">
        <f t="shared" si="27"/>
        <v>9999.86178682295-37.1767759169015j</v>
      </c>
      <c r="AK119" s="86" t="str">
        <f t="shared" si="28"/>
        <v>20000-3.16402466008806E-06j</v>
      </c>
      <c r="AL119" s="86" t="str">
        <f t="shared" si="43"/>
        <v>10000-2809361.4443073j</v>
      </c>
      <c r="AM119" s="86" t="str">
        <f t="shared" si="44"/>
        <v>963.133315991392-871873.157405548j</v>
      </c>
      <c r="AN119" s="86" t="str">
        <f t="shared" si="45"/>
        <v>10963.1333159914-871873.157405548j</v>
      </c>
      <c r="AO119" s="86" t="str">
        <f t="shared" si="46"/>
        <v>19983.7276267455-458.204448320808j</v>
      </c>
      <c r="AP119" s="86" t="str">
        <f t="shared" si="47"/>
        <v>0.66666871428497+0.000826156884429352j</v>
      </c>
      <c r="AQ119" s="86" t="str">
        <f t="shared" si="29"/>
        <v>1+0.460365588042812j</v>
      </c>
      <c r="AR119" s="86">
        <f t="shared" si="51"/>
        <v>5.630175780329821E-8</v>
      </c>
      <c r="AS119" s="86" t="str">
        <f t="shared" si="31"/>
        <v>0.0000385047563021745j</v>
      </c>
      <c r="AT119" s="86" t="str">
        <f t="shared" si="32"/>
        <v>5.63017578032982E-08+0.0000385047563021745j</v>
      </c>
      <c r="AU119" s="86" t="str">
        <f t="shared" si="33"/>
        <v>1.79910294598854-3.89299197650568j</v>
      </c>
      <c r="AW119" s="86" t="str">
        <f t="shared" si="48"/>
        <v>1.18832277574811-2.60038774752003j</v>
      </c>
      <c r="AX119" s="86">
        <f t="shared" si="34"/>
        <v>9.1244140525708133</v>
      </c>
      <c r="AY119" s="86">
        <f t="shared" si="35"/>
        <v>114.55940868691191</v>
      </c>
      <c r="AZ119" s="86" t="str">
        <f t="shared" si="36"/>
        <v>2.70593485221428-6.26182830023737j</v>
      </c>
      <c r="BA119" s="86">
        <f t="shared" si="37"/>
        <v>16.677571054726961</v>
      </c>
      <c r="BB119" s="86">
        <f t="shared" si="38"/>
        <v>113.37070591585228</v>
      </c>
      <c r="BD119" s="86" t="str">
        <f t="shared" si="39"/>
        <v>1.67146183316119-4.12536794931259j</v>
      </c>
      <c r="BE119" s="86">
        <f t="shared" si="40"/>
        <v>12.969380822101277</v>
      </c>
      <c r="BF119" s="86">
        <f t="shared" si="41"/>
        <v>112.05615368542094</v>
      </c>
      <c r="BH119" s="86">
        <f t="shared" si="49"/>
        <v>-11.969380822101277</v>
      </c>
      <c r="BI119" s="159">
        <f t="shared" si="50"/>
        <v>-112.05615368542094</v>
      </c>
      <c r="BJ119" s="88"/>
      <c r="BK119" s="88"/>
      <c r="BL119" s="88"/>
      <c r="BM119" s="88"/>
      <c r="BN119" s="42"/>
      <c r="BO119" s="42"/>
      <c r="BP119" s="42"/>
    </row>
    <row r="120" spans="1:68" s="86" customFormat="1">
      <c r="A120" s="86">
        <v>56</v>
      </c>
      <c r="B120" s="86">
        <f t="shared" si="42"/>
        <v>1318.2567385564075</v>
      </c>
      <c r="C120" s="86" t="str">
        <f t="shared" si="0"/>
        <v>8282.8513707881j</v>
      </c>
      <c r="D120" s="86">
        <f t="shared" si="1"/>
        <v>0.99997219518673996</v>
      </c>
      <c r="E120" s="86" t="str">
        <f t="shared" si="2"/>
        <v>-0.0082828513707881j</v>
      </c>
      <c r="F120" s="86" t="str">
        <f t="shared" si="3"/>
        <v>0.99997219518674-0.0082828513707881j</v>
      </c>
      <c r="G120" s="86">
        <f t="shared" si="4"/>
        <v>5.6443902987373055E-5</v>
      </c>
      <c r="H120" s="86">
        <f t="shared" si="5"/>
        <v>-0.47457476840675616</v>
      </c>
      <c r="J120" s="86">
        <f t="shared" si="6"/>
        <v>17.283950617283953</v>
      </c>
      <c r="K120" s="86" t="str">
        <f t="shared" si="7"/>
        <v>1+0.100015430302266j</v>
      </c>
      <c r="L120" s="86">
        <f t="shared" si="8"/>
        <v>0.99795453594079242</v>
      </c>
      <c r="M120" s="86" t="str">
        <f t="shared" si="9"/>
        <v>0.022307457117746j</v>
      </c>
      <c r="N120" s="86" t="str">
        <f t="shared" si="10"/>
        <v>0.997954535940792+0.022307457117746j</v>
      </c>
      <c r="O120" s="86" t="str">
        <f t="shared" si="11"/>
        <v>1.00378834424348+0.0777825663015641j</v>
      </c>
      <c r="P120" s="86" t="str">
        <f t="shared" si="12"/>
        <v>17.3494281721095+1.34439003484185j</v>
      </c>
      <c r="R120" s="86">
        <f t="shared" si="13"/>
        <v>6.9135802469135808</v>
      </c>
      <c r="S120" s="86" t="str">
        <f t="shared" si="14"/>
        <v>1+0.000621213852809107j</v>
      </c>
      <c r="T120" s="86" t="str">
        <f t="shared" si="15"/>
        <v>0.997954535940792+0.022307457117746j</v>
      </c>
      <c r="U120" s="86" t="str">
        <f t="shared" si="16"/>
        <v>1.00156312544152-0.02176563343962j</v>
      </c>
      <c r="V120" s="86" t="str">
        <f t="shared" si="17"/>
        <v>6.92438704008952-0.150478453409719j</v>
      </c>
      <c r="X120" s="86" t="str">
        <f t="shared" si="18"/>
        <v>0.53233435191684+0.0368170627162042j</v>
      </c>
      <c r="Y120" s="86">
        <f t="shared" si="19"/>
        <v>-5.455585989665094</v>
      </c>
      <c r="Z120" s="86">
        <f t="shared" si="20"/>
        <v>-176.04363590238069</v>
      </c>
      <c r="AB120" s="86" t="str">
        <f t="shared" si="21"/>
        <v>2.38574525912676-0.0518462146532935j</v>
      </c>
      <c r="AC120" s="86">
        <f t="shared" si="22"/>
        <v>7.5545319273425724</v>
      </c>
      <c r="AD120" s="86">
        <f t="shared" si="23"/>
        <v>178.75506331940801</v>
      </c>
      <c r="AF120" s="86" t="str">
        <f t="shared" si="24"/>
        <v>1.55522442860216-0.0712018299677414j</v>
      </c>
      <c r="AG120" s="86">
        <f t="shared" si="25"/>
        <v>3.844954774124147</v>
      </c>
      <c r="AH120" s="86">
        <f t="shared" si="26"/>
        <v>177.37869495409097</v>
      </c>
      <c r="AJ120" s="86" t="str">
        <f t="shared" si="27"/>
        <v>9999.84845246703-38.9288114772292j</v>
      </c>
      <c r="AK120" s="86" t="str">
        <f t="shared" si="28"/>
        <v>20000-3.31314054831524E-06j</v>
      </c>
      <c r="AL120" s="86" t="str">
        <f t="shared" si="43"/>
        <v>10000-2682919.35076795j</v>
      </c>
      <c r="AM120" s="86" t="str">
        <f t="shared" si="44"/>
        <v>963.132756025631-832632.61911313j</v>
      </c>
      <c r="AN120" s="86" t="str">
        <f t="shared" si="45"/>
        <v>10963.1327560256-832632.61911313j</v>
      </c>
      <c r="AO120" s="86" t="str">
        <f t="shared" si="46"/>
        <v>19982.1598751898-479.740533141286j</v>
      </c>
      <c r="AP120" s="86" t="str">
        <f t="shared" si="47"/>
        <v>0.666668911834159+0.000865091946156633j</v>
      </c>
      <c r="AQ120" s="86" t="str">
        <f t="shared" si="29"/>
        <v>1+0.482061949779867j</v>
      </c>
      <c r="AR120" s="86">
        <f t="shared" si="51"/>
        <v>5.2085830221532487E-8</v>
      </c>
      <c r="AS120" s="86" t="str">
        <f t="shared" si="31"/>
        <v>0.0000403194295597497j</v>
      </c>
      <c r="AT120" s="86" t="str">
        <f t="shared" si="32"/>
        <v>5.20858302215325E-08+0.0000403194295597497j</v>
      </c>
      <c r="AU120" s="86" t="str">
        <f t="shared" si="33"/>
        <v>1.79821358326042-3.71796774382566j</v>
      </c>
      <c r="AW120" s="86" t="str">
        <f t="shared" si="48"/>
        <v>1.18772712250527-2.48394072641792j</v>
      </c>
      <c r="AX120" s="86">
        <f t="shared" si="34"/>
        <v>8.7970686099183126</v>
      </c>
      <c r="AY120" s="86">
        <f t="shared" si="35"/>
        <v>115.55537455342099</v>
      </c>
      <c r="AZ120" s="86" t="str">
        <f t="shared" si="36"/>
        <v>2.7048314275653-5.98762896734639j</v>
      </c>
      <c r="BA120" s="86">
        <f t="shared" si="37"/>
        <v>16.3516005372609</v>
      </c>
      <c r="BB120" s="86">
        <f t="shared" si="38"/>
        <v>114.310437872829</v>
      </c>
      <c r="BD120" s="86" t="str">
        <f t="shared" si="39"/>
        <v>1.67032111018119-3.94765364154965j</v>
      </c>
      <c r="BE120" s="86">
        <f t="shared" si="40"/>
        <v>12.642023384042485</v>
      </c>
      <c r="BF120" s="86">
        <f t="shared" si="41"/>
        <v>112.93406950751192</v>
      </c>
      <c r="BH120" s="86">
        <f t="shared" si="49"/>
        <v>-11.642023384042485</v>
      </c>
      <c r="BI120" s="159">
        <f t="shared" si="50"/>
        <v>-112.93406950751192</v>
      </c>
      <c r="BJ120" s="88"/>
      <c r="BK120" s="88"/>
      <c r="BL120" s="88"/>
      <c r="BM120" s="88"/>
      <c r="BN120" s="42"/>
      <c r="BO120" s="42"/>
      <c r="BP120" s="42"/>
    </row>
    <row r="121" spans="1:68" s="86" customFormat="1">
      <c r="A121" s="86">
        <v>57</v>
      </c>
      <c r="B121" s="86">
        <f t="shared" si="42"/>
        <v>1380.3842646028857</v>
      </c>
      <c r="C121" s="86" t="str">
        <f t="shared" si="0"/>
        <v>8673.21012961475j</v>
      </c>
      <c r="D121" s="86">
        <f t="shared" si="1"/>
        <v>0.99996951262851264</v>
      </c>
      <c r="E121" s="86" t="str">
        <f t="shared" si="2"/>
        <v>-0.00867321012961475j</v>
      </c>
      <c r="F121" s="86" t="str">
        <f t="shared" si="3"/>
        <v>0.999969512628513-0.00867321012961475j</v>
      </c>
      <c r="G121" s="86">
        <f t="shared" si="4"/>
        <v>6.1889825311267003E-5</v>
      </c>
      <c r="H121" s="86">
        <f t="shared" si="5"/>
        <v>-0.49694102482711333</v>
      </c>
      <c r="J121" s="86">
        <f t="shared" si="6"/>
        <v>17.283950617283953</v>
      </c>
      <c r="K121" s="86" t="str">
        <f t="shared" si="7"/>
        <v>1+0.104729012315098j</v>
      </c>
      <c r="L121" s="86">
        <f t="shared" si="8"/>
        <v>0.99775719325808432</v>
      </c>
      <c r="M121" s="86" t="str">
        <f t="shared" si="9"/>
        <v>0.0233587751824131j</v>
      </c>
      <c r="N121" s="86" t="str">
        <f t="shared" si="10"/>
        <v>0.997757193258084+0.0233587751824131j</v>
      </c>
      <c r="O121" s="86" t="str">
        <f t="shared" si="11"/>
        <v>1.00415483470622+0.0814558750686348j</v>
      </c>
      <c r="P121" s="86" t="str">
        <f t="shared" si="12"/>
        <v>17.3557625751692+1.40787932217393j</v>
      </c>
      <c r="R121" s="86">
        <f t="shared" si="13"/>
        <v>6.9135802469135808</v>
      </c>
      <c r="S121" s="86" t="str">
        <f t="shared" si="14"/>
        <v>1+0.000650490759721106j</v>
      </c>
      <c r="T121" s="86" t="str">
        <f t="shared" si="15"/>
        <v>0.997757193258084+0.0233587751824131j</v>
      </c>
      <c r="U121" s="86" t="str">
        <f t="shared" si="16"/>
        <v>1.0017140836844-0.0227994580964506j</v>
      </c>
      <c r="V121" s="86" t="str">
        <f t="shared" si="17"/>
        <v>6.92543070201561-0.157625883135955j</v>
      </c>
      <c r="X121" s="86" t="str">
        <f t="shared" si="18"/>
        <v>0.532560136657248+0.0385543873771807j</v>
      </c>
      <c r="Y121" s="86">
        <f t="shared" si="19"/>
        <v>-5.4499251581856223</v>
      </c>
      <c r="Z121" s="86">
        <f t="shared" si="20"/>
        <v>-175.85932832473495</v>
      </c>
      <c r="AB121" s="86" t="str">
        <f t="shared" si="21"/>
        <v>2.38610484496128-0.054308807585431j</v>
      </c>
      <c r="AC121" s="86">
        <f t="shared" si="22"/>
        <v>7.5560396785362505</v>
      </c>
      <c r="AD121" s="86">
        <f t="shared" si="23"/>
        <v>178.69614769091427</v>
      </c>
      <c r="AF121" s="86" t="str">
        <f t="shared" si="24"/>
        <v>1.5550648102721-0.0745571909018264j</v>
      </c>
      <c r="AG121" s="86">
        <f t="shared" si="25"/>
        <v>3.8449415415928629</v>
      </c>
      <c r="AH121" s="86">
        <f t="shared" si="26"/>
        <v>177.25507024115896</v>
      </c>
      <c r="AJ121" s="86" t="str">
        <f t="shared" si="27"/>
        <v>9999.83383167737-40.7634102391832j</v>
      </c>
      <c r="AK121" s="86" t="str">
        <f t="shared" si="28"/>
        <v>20000-0.0000034692840518459j</v>
      </c>
      <c r="AL121" s="86" t="str">
        <f t="shared" si="43"/>
        <v>10000-2562168.08887683j</v>
      </c>
      <c r="AM121" s="86" t="str">
        <f t="shared" si="44"/>
        <v>963.13214203614-795158.20623857j</v>
      </c>
      <c r="AN121" s="86" t="str">
        <f t="shared" si="45"/>
        <v>10963.1321420361-795158.20623857j</v>
      </c>
      <c r="AO121" s="86" t="str">
        <f t="shared" si="46"/>
        <v>19980.4413095859-502.282943579709j</v>
      </c>
      <c r="AP121" s="86" t="str">
        <f t="shared" si="47"/>
        <v>0.666669128442268+0.000905861884854045j</v>
      </c>
      <c r="AQ121" s="86" t="str">
        <f t="shared" si="29"/>
        <v>1+0.504780829543579j</v>
      </c>
      <c r="AR121" s="86">
        <f t="shared" si="51"/>
        <v>4.7463157551607588E-8</v>
      </c>
      <c r="AS121" s="86" t="str">
        <f t="shared" si="31"/>
        <v>0.0000422196257331413j</v>
      </c>
      <c r="AT121" s="86" t="str">
        <f t="shared" si="32"/>
        <v>4.74631575516076E-08+0.0000422196257331413j</v>
      </c>
      <c r="AU121" s="86" t="str">
        <f t="shared" si="33"/>
        <v>1.79740243288503-3.5508294306708j</v>
      </c>
      <c r="AW121" s="86" t="str">
        <f t="shared" si="48"/>
        <v>1.18718334724676-2.37276221482977j</v>
      </c>
      <c r="AX121" s="86">
        <f t="shared" si="34"/>
        <v>8.47535941699355</v>
      </c>
      <c r="AY121" s="86">
        <f t="shared" si="35"/>
        <v>116.58054661596746</v>
      </c>
      <c r="AZ121" s="86" t="str">
        <f t="shared" si="36"/>
        <v>2.70388205015167-5.72613392872062j</v>
      </c>
      <c r="BA121" s="86">
        <f t="shared" si="37"/>
        <v>16.031399095529796</v>
      </c>
      <c r="BB121" s="86">
        <f t="shared" si="38"/>
        <v>115.27669430688172</v>
      </c>
      <c r="BD121" s="86" t="str">
        <f t="shared" si="39"/>
        <v>1.66924056122878-3.77831207888122j</v>
      </c>
      <c r="BE121" s="86">
        <f t="shared" si="40"/>
        <v>12.320300958586436</v>
      </c>
      <c r="BF121" s="86">
        <f t="shared" si="41"/>
        <v>113.83561685712642</v>
      </c>
      <c r="BH121" s="86">
        <f t="shared" si="49"/>
        <v>-11.320300958586436</v>
      </c>
      <c r="BI121" s="159">
        <f t="shared" si="50"/>
        <v>-113.83561685712642</v>
      </c>
      <c r="BJ121" s="88"/>
      <c r="BK121" s="88"/>
      <c r="BL121" s="88"/>
      <c r="BM121" s="88"/>
      <c r="BN121" s="42"/>
      <c r="BO121" s="42"/>
      <c r="BP121" s="42"/>
    </row>
    <row r="122" spans="1:68" s="86" customFormat="1">
      <c r="A122" s="86">
        <v>58</v>
      </c>
      <c r="B122" s="86">
        <f t="shared" si="42"/>
        <v>1445.4397707459275</v>
      </c>
      <c r="C122" s="86" t="str">
        <f t="shared" si="0"/>
        <v>9081.96592996384j</v>
      </c>
      <c r="D122" s="86">
        <f t="shared" si="1"/>
        <v>0.99996657126190636</v>
      </c>
      <c r="E122" s="86" t="str">
        <f t="shared" si="2"/>
        <v>-0.00908196592996384j</v>
      </c>
      <c r="F122" s="86" t="str">
        <f t="shared" si="3"/>
        <v>0.999966571261906-0.00908196592996384j</v>
      </c>
      <c r="G122" s="86">
        <f t="shared" si="4"/>
        <v>6.7861224379896939E-5</v>
      </c>
      <c r="H122" s="86">
        <f t="shared" si="5"/>
        <v>-0.52036140549537513</v>
      </c>
      <c r="J122" s="86">
        <f t="shared" si="6"/>
        <v>17.283950617283953</v>
      </c>
      <c r="K122" s="86" t="str">
        <f t="shared" si="7"/>
        <v>1+0.109664738604313j</v>
      </c>
      <c r="L122" s="86">
        <f t="shared" si="8"/>
        <v>0.99754081130932648</v>
      </c>
      <c r="M122" s="86" t="str">
        <f t="shared" si="9"/>
        <v>0.0244596403410076j</v>
      </c>
      <c r="N122" s="86" t="str">
        <f t="shared" si="10"/>
        <v>0.997540811309326+0.0244596403410076j</v>
      </c>
      <c r="O122" s="86" t="str">
        <f t="shared" si="11"/>
        <v>1.00455688579986+0.0853034156706589j</v>
      </c>
      <c r="P122" s="86" t="str">
        <f t="shared" si="12"/>
        <v>17.3627116064173+1.47438002393731j</v>
      </c>
      <c r="R122" s="86">
        <f t="shared" si="13"/>
        <v>6.9135802469135808</v>
      </c>
      <c r="S122" s="86" t="str">
        <f t="shared" si="14"/>
        <v>1+0.000681147444747288j</v>
      </c>
      <c r="T122" s="86" t="str">
        <f t="shared" si="15"/>
        <v>0.997540811309326+0.0244596403410076j</v>
      </c>
      <c r="U122" s="86" t="str">
        <f t="shared" si="16"/>
        <v>1.00187963655448-0.0238832014292065j</v>
      </c>
      <c r="V122" s="86" t="str">
        <f t="shared" si="17"/>
        <v>6.92657526506801-0.16511842963402j</v>
      </c>
      <c r="X122" s="86" t="str">
        <f t="shared" si="18"/>
        <v>0.532807817709517+0.0403739123480915j</v>
      </c>
      <c r="Y122" s="86">
        <f t="shared" si="19"/>
        <v>-5.4437225170919437</v>
      </c>
      <c r="Z122" s="86">
        <f t="shared" si="20"/>
        <v>-175.66665061503275</v>
      </c>
      <c r="AB122" s="86" t="str">
        <f t="shared" si="21"/>
        <v>2.38649919551682-0.0568903078948525j</v>
      </c>
      <c r="AC122" s="86">
        <f t="shared" si="22"/>
        <v>7.557693106100781</v>
      </c>
      <c r="AD122" s="86">
        <f t="shared" si="23"/>
        <v>178.63441927165943</v>
      </c>
      <c r="AF122" s="86" t="str">
        <f t="shared" si="24"/>
        <v>1.55488975898631-0.078070642224366j</v>
      </c>
      <c r="AG122" s="86">
        <f t="shared" si="25"/>
        <v>3.8449269364350807</v>
      </c>
      <c r="AH122" s="86">
        <f t="shared" si="26"/>
        <v>177.12560648572679</v>
      </c>
      <c r="AJ122" s="86" t="str">
        <f t="shared" si="27"/>
        <v>9999.81780034944-42.6844621472512j</v>
      </c>
      <c r="AK122" s="86" t="str">
        <f t="shared" si="28"/>
        <v>20000-3.63278637198554E-06j</v>
      </c>
      <c r="AL122" s="86" t="str">
        <f t="shared" si="43"/>
        <v>10000-2446851.52901809j</v>
      </c>
      <c r="AM122" s="86" t="str">
        <f t="shared" si="44"/>
        <v>963.131468810941-759370.430527845j</v>
      </c>
      <c r="AN122" s="86" t="str">
        <f t="shared" si="45"/>
        <v>10963.1314688109-759370.430527845j</v>
      </c>
      <c r="AO122" s="86" t="str">
        <f t="shared" si="46"/>
        <v>19978.5574684082-525.877830868969j</v>
      </c>
      <c r="AP122" s="86" t="str">
        <f t="shared" si="47"/>
        <v>0.666669365948015+0.000948553164355872j</v>
      </c>
      <c r="AQ122" s="86" t="str">
        <f t="shared" si="29"/>
        <v>1+0.528570417123896j</v>
      </c>
      <c r="AR122" s="86">
        <f t="shared" si="51"/>
        <v>4.2394497761128036E-8</v>
      </c>
      <c r="AS122" s="86" t="str">
        <f t="shared" si="31"/>
        <v>0.0000442093753931966j</v>
      </c>
      <c r="AT122" s="86" t="str">
        <f t="shared" si="32"/>
        <v>4.2394497761128E-08+0.0000442093753931966j</v>
      </c>
      <c r="AU122" s="86" t="str">
        <f t="shared" si="33"/>
        <v>1.7966626092216-3.39122256439089j</v>
      </c>
      <c r="AW122" s="86" t="str">
        <f t="shared" si="48"/>
        <v>1.18668683401191-2.26661642123066j</v>
      </c>
      <c r="AX122" s="86">
        <f t="shared" si="34"/>
        <v>8.1596111574853953</v>
      </c>
      <c r="AY122" s="86">
        <f t="shared" si="35"/>
        <v>117.6343021306145</v>
      </c>
      <c r="AZ122" s="86" t="str">
        <f t="shared" si="36"/>
        <v>2.70307866861648-5.47678924517388j</v>
      </c>
      <c r="BA122" s="86">
        <f t="shared" si="37"/>
        <v>15.717304263586165</v>
      </c>
      <c r="BB122" s="86">
        <f t="shared" si="38"/>
        <v>116.26872140227394</v>
      </c>
      <c r="BD122" s="86" t="str">
        <f t="shared" si="39"/>
        <v>1.66821100564724-3.61698406417227j</v>
      </c>
      <c r="BE122" s="86">
        <f t="shared" si="40"/>
        <v>12.004538093920495</v>
      </c>
      <c r="BF122" s="86">
        <f t="shared" si="41"/>
        <v>114.75990861634131</v>
      </c>
      <c r="BH122" s="86">
        <f t="shared" si="49"/>
        <v>-11.004538093920495</v>
      </c>
      <c r="BI122" s="159">
        <f t="shared" si="50"/>
        <v>-114.75990861634131</v>
      </c>
      <c r="BJ122" s="88"/>
      <c r="BK122" s="88"/>
      <c r="BL122" s="88"/>
      <c r="BM122" s="88"/>
      <c r="BN122" s="42"/>
      <c r="BO122" s="42"/>
      <c r="BP122" s="42"/>
    </row>
    <row r="123" spans="1:68" s="86" customFormat="1">
      <c r="A123" s="86">
        <v>59</v>
      </c>
      <c r="B123" s="86">
        <f t="shared" si="42"/>
        <v>1513.5612484362086</v>
      </c>
      <c r="C123" s="86" t="str">
        <f t="shared" si="0"/>
        <v>9509.98579769078j</v>
      </c>
      <c r="D123" s="86">
        <f t="shared" si="1"/>
        <v>0.99996334611755566</v>
      </c>
      <c r="E123" s="86" t="str">
        <f t="shared" si="2"/>
        <v>-0.00950998579769078j</v>
      </c>
      <c r="F123" s="86" t="str">
        <f t="shared" si="3"/>
        <v>0.999963346117556-0.00950998579769078j</v>
      </c>
      <c r="G123" s="86">
        <f t="shared" si="4"/>
        <v>7.4408810203432539E-5</v>
      </c>
      <c r="H123" s="86">
        <f t="shared" si="5"/>
        <v>-0.54488559495014655</v>
      </c>
      <c r="J123" s="86">
        <f t="shared" si="6"/>
        <v>17.283950617283953</v>
      </c>
      <c r="K123" s="86" t="str">
        <f t="shared" si="7"/>
        <v>1+0.114833078507116j</v>
      </c>
      <c r="L123" s="86">
        <f t="shared" si="8"/>
        <v>0.99730355322047459</v>
      </c>
      <c r="M123" s="86" t="str">
        <f t="shared" si="9"/>
        <v>0.0256123876761265j</v>
      </c>
      <c r="N123" s="86" t="str">
        <f t="shared" si="10"/>
        <v>0.997303553220475+0.0256123876761265j</v>
      </c>
      <c r="O123" s="86" t="str">
        <f t="shared" si="11"/>
        <v>1.00499796941433+0.0893335641019826j</v>
      </c>
      <c r="P123" s="86" t="str">
        <f t="shared" si="12"/>
        <v>17.3703352738279+1.54403691040464j</v>
      </c>
      <c r="R123" s="86">
        <f t="shared" si="13"/>
        <v>6.9135802469135808</v>
      </c>
      <c r="S123" s="86" t="str">
        <f t="shared" si="14"/>
        <v>1+0.000713248934826809j</v>
      </c>
      <c r="T123" s="86" t="str">
        <f t="shared" si="15"/>
        <v>0.997303553220475+0.0256123876761265j</v>
      </c>
      <c r="U123" s="86" t="str">
        <f t="shared" si="16"/>
        <v>1.00206119826174-0.0250193944157548j</v>
      </c>
      <c r="V123" s="86" t="str">
        <f t="shared" si="17"/>
        <v>6.92783050650092-0.172973591022502j</v>
      </c>
      <c r="X123" s="86" t="str">
        <f t="shared" si="18"/>
        <v>0.533079530522807+0.0422795589717057j</v>
      </c>
      <c r="Y123" s="86">
        <f t="shared" si="19"/>
        <v>-5.4369266593541106</v>
      </c>
      <c r="Z123" s="86">
        <f t="shared" si="20"/>
        <v>-175.46525447216868</v>
      </c>
      <c r="AB123" s="86" t="str">
        <f t="shared" si="21"/>
        <v>2.38693167947248-0.0595967444261653j</v>
      </c>
      <c r="AC123" s="86">
        <f t="shared" si="22"/>
        <v>7.55950630737384</v>
      </c>
      <c r="AD123" s="86">
        <f t="shared" si="23"/>
        <v>178.56974011314529</v>
      </c>
      <c r="AF123" s="86" t="str">
        <f t="shared" si="24"/>
        <v>1.55469777908669-0.0817496277035942j</v>
      </c>
      <c r="AG123" s="86">
        <f t="shared" si="25"/>
        <v>3.8449108068109323</v>
      </c>
      <c r="AH123" s="86">
        <f t="shared" si="26"/>
        <v>176.99002661078916</v>
      </c>
      <c r="AJ123" s="86" t="str">
        <f t="shared" si="27"/>
        <v>9999.800222407-44.6960403045728j</v>
      </c>
      <c r="AK123" s="86" t="str">
        <f t="shared" si="28"/>
        <v>20000-3.80399431907632E-06j</v>
      </c>
      <c r="AL123" s="86" t="str">
        <f t="shared" si="43"/>
        <v>10000-2336725.06930749j</v>
      </c>
      <c r="AM123" s="86" t="str">
        <f t="shared" si="44"/>
        <v>963.130730635274-725193.381310467j</v>
      </c>
      <c r="AN123" s="86" t="str">
        <f t="shared" si="45"/>
        <v>10963.1307306353-725193.381310467j</v>
      </c>
      <c r="AO123" s="86" t="str">
        <f t="shared" si="46"/>
        <v>19976.4925127909-550.57333346786j</v>
      </c>
      <c r="AP123" s="86" t="str">
        <f t="shared" si="47"/>
        <v>0.666669626367497+0.000993256321744216j</v>
      </c>
      <c r="AQ123" s="86" t="str">
        <f t="shared" si="29"/>
        <v>1+0.553481173425603j</v>
      </c>
      <c r="AR123" s="86">
        <f t="shared" si="51"/>
        <v>3.6836822817199365E-8</v>
      </c>
      <c r="AS123" s="86" t="str">
        <f t="shared" si="31"/>
        <v>0.0000462928990657151j</v>
      </c>
      <c r="AT123" s="86" t="str">
        <f t="shared" si="32"/>
        <v>3.68368228171994E-08+0.0000462928990657151j</v>
      </c>
      <c r="AU123" s="86" t="str">
        <f t="shared" si="33"/>
        <v>1.79598783208342-3.23880864107493j</v>
      </c>
      <c r="AW123" s="86" t="str">
        <f t="shared" si="48"/>
        <v>1.18623336802266-2.16527822479155j</v>
      </c>
      <c r="AX123" s="86">
        <f t="shared" si="34"/>
        <v>7.8501499227274749</v>
      </c>
      <c r="AY123" s="86">
        <f t="shared" si="35"/>
        <v>118.71584016774659</v>
      </c>
      <c r="AZ123" s="86" t="str">
        <f t="shared" si="36"/>
        <v>2.70241447240618-5.23906683649072j</v>
      </c>
      <c r="BA123" s="86">
        <f t="shared" si="37"/>
        <v>15.409656230101309</v>
      </c>
      <c r="BB123" s="86">
        <f t="shared" si="38"/>
        <v>117.28558028089189</v>
      </c>
      <c r="BD123" s="86" t="str">
        <f t="shared" si="39"/>
        <v>1.66722369399194-3.46332738339362j</v>
      </c>
      <c r="BE123" s="86">
        <f t="shared" si="40"/>
        <v>11.695060729538389</v>
      </c>
      <c r="BF123" s="86">
        <f t="shared" si="41"/>
        <v>115.70586677853575</v>
      </c>
      <c r="BH123" s="86">
        <f t="shared" si="49"/>
        <v>-10.695060729538389</v>
      </c>
      <c r="BI123" s="159">
        <f t="shared" si="50"/>
        <v>-115.70586677853575</v>
      </c>
      <c r="BJ123" s="88"/>
      <c r="BK123" s="88"/>
      <c r="BL123" s="88"/>
      <c r="BM123" s="88"/>
      <c r="BN123" s="42"/>
      <c r="BO123" s="42"/>
      <c r="BP123" s="42"/>
    </row>
    <row r="124" spans="1:68" s="86" customFormat="1">
      <c r="A124" s="86">
        <v>60</v>
      </c>
      <c r="B124" s="86">
        <f t="shared" si="42"/>
        <v>1584.8931924611136</v>
      </c>
      <c r="C124" s="86" t="str">
        <f t="shared" si="0"/>
        <v>9958.17762032062j</v>
      </c>
      <c r="D124" s="86">
        <f t="shared" si="1"/>
        <v>0.99995980981709587</v>
      </c>
      <c r="E124" s="86" t="str">
        <f t="shared" si="2"/>
        <v>-0.00995817762032062j</v>
      </c>
      <c r="F124" s="86" t="str">
        <f t="shared" si="3"/>
        <v>0.999959809817096-0.00995817762032062j</v>
      </c>
      <c r="G124" s="86">
        <f t="shared" si="4"/>
        <v>8.1588187783373316E-5</v>
      </c>
      <c r="H124" s="86">
        <f t="shared" si="5"/>
        <v>-0.57056562005946454</v>
      </c>
      <c r="J124" s="86">
        <f t="shared" si="6"/>
        <v>17.283950617283953</v>
      </c>
      <c r="K124" s="86" t="str">
        <f t="shared" si="7"/>
        <v>1+0.120244994765371j</v>
      </c>
      <c r="L124" s="86">
        <f t="shared" si="8"/>
        <v>0.99704340489918986</v>
      </c>
      <c r="M124" s="86" t="str">
        <f t="shared" si="9"/>
        <v>0.0268194623194191j</v>
      </c>
      <c r="N124" s="86" t="str">
        <f t="shared" si="10"/>
        <v>0.99704340489919+0.0268194623194191j</v>
      </c>
      <c r="O124" s="86" t="str">
        <f t="shared" si="11"/>
        <v>1.00548190075428+0.0935551154111139j</v>
      </c>
      <c r="P124" s="86" t="str">
        <f t="shared" si="12"/>
        <v>17.3786995192098+1.61700199475999j</v>
      </c>
      <c r="R124" s="86">
        <f t="shared" si="13"/>
        <v>6.9135802469135808</v>
      </c>
      <c r="S124" s="86" t="str">
        <f t="shared" si="14"/>
        <v>1+0.000746863321524046j</v>
      </c>
      <c r="T124" s="86" t="str">
        <f t="shared" si="15"/>
        <v>0.99704340489919+0.0268194623194191j</v>
      </c>
      <c r="U124" s="86" t="str">
        <f t="shared" si="16"/>
        <v>1.00226032069601-0.0262107140523876j</v>
      </c>
      <c r="V124" s="86" t="str">
        <f t="shared" si="17"/>
        <v>6.9292071554292-0.181209874930087j</v>
      </c>
      <c r="X124" s="86" t="str">
        <f t="shared" si="18"/>
        <v>0.533377621232932+0.0442754402967585j</v>
      </c>
      <c r="Y124" s="86">
        <f t="shared" si="19"/>
        <v>-5.4294813897997694</v>
      </c>
      <c r="Z124" s="86">
        <f t="shared" si="20"/>
        <v>-175.25478185557432</v>
      </c>
      <c r="AB124" s="86" t="str">
        <f t="shared" si="21"/>
        <v>2.38740599346375-0.0624344938430564j</v>
      </c>
      <c r="AC124" s="86">
        <f t="shared" si="22"/>
        <v>7.5614947484290793</v>
      </c>
      <c r="AD124" s="86">
        <f t="shared" si="23"/>
        <v>178.50196496110763</v>
      </c>
      <c r="AF124" s="86" t="str">
        <f t="shared" si="24"/>
        <v>1.55448722926325-0.0856019407984013j</v>
      </c>
      <c r="AG124" s="86">
        <f t="shared" si="25"/>
        <v>3.8448929823054421</v>
      </c>
      <c r="AH124" s="86">
        <f t="shared" si="26"/>
        <v>176.84804020175784</v>
      </c>
      <c r="AJ124" s="86" t="str">
        <f t="shared" si="27"/>
        <v>9999.7809486474-46.8024095799366j</v>
      </c>
      <c r="AK124" s="86" t="str">
        <f t="shared" si="28"/>
        <v>20000-3.98327104812824E-06j</v>
      </c>
      <c r="AL124" s="86" t="str">
        <f t="shared" si="43"/>
        <v>10000-2231555.11675908j</v>
      </c>
      <c r="AM124" s="86" t="str">
        <f t="shared" si="44"/>
        <v>963.129921243051-692554.564482799j</v>
      </c>
      <c r="AN124" s="86" t="str">
        <f t="shared" si="45"/>
        <v>10963.1299212431-692554.564482799j</v>
      </c>
      <c r="AO124" s="86" t="str">
        <f t="shared" si="46"/>
        <v>19974.2290972403-576.419643185987j</v>
      </c>
      <c r="AP124" s="86" t="str">
        <f t="shared" si="47"/>
        <v>0.666669911911314+0.00104006615906828j</v>
      </c>
      <c r="AQ124" s="86" t="str">
        <f t="shared" si="29"/>
        <v>1+0.57956593750266j</v>
      </c>
      <c r="AR124" s="86">
        <f t="shared" si="51"/>
        <v>3.0742953419930481E-8</v>
      </c>
      <c r="AS124" s="86" t="str">
        <f t="shared" si="31"/>
        <v>0.0000484746161837491j</v>
      </c>
      <c r="AT124" s="86" t="str">
        <f t="shared" si="32"/>
        <v>3.07429534199305E-08+0.0000484746161837491j</v>
      </c>
      <c r="AU124" s="86" t="str">
        <f t="shared" si="33"/>
        <v>1.79537237343196-3.09326440837339j</v>
      </c>
      <c r="AW124" s="86" t="str">
        <f t="shared" si="48"/>
        <v>1.18581909990891-2.06853269841518j</v>
      </c>
      <c r="AX124" s="86">
        <f t="shared" si="34"/>
        <v>7.5473004596813027</v>
      </c>
      <c r="AY124" s="86">
        <f t="shared" si="35"/>
        <v>119.82417343797516</v>
      </c>
      <c r="AZ124" s="86" t="str">
        <f t="shared" si="36"/>
        <v>2.70188383426296-5.0124633771644j</v>
      </c>
      <c r="BA124" s="86">
        <f t="shared" si="37"/>
        <v>15.108795208110401</v>
      </c>
      <c r="BB124" s="86">
        <f t="shared" si="38"/>
        <v>118.32613839908275</v>
      </c>
      <c r="BD124" s="86" t="str">
        <f t="shared" si="39"/>
        <v>1.66627023343554-3.31701607938786j</v>
      </c>
      <c r="BE124" s="86">
        <f t="shared" si="40"/>
        <v>11.392193441986729</v>
      </c>
      <c r="BF124" s="86">
        <f t="shared" si="41"/>
        <v>116.67221363973289</v>
      </c>
      <c r="BH124" s="86">
        <f t="shared" si="49"/>
        <v>-10.392193441986729</v>
      </c>
      <c r="BI124" s="159">
        <f t="shared" si="50"/>
        <v>-116.67221363973289</v>
      </c>
      <c r="BJ124" s="88"/>
      <c r="BK124" s="88"/>
      <c r="BL124" s="88"/>
      <c r="BM124" s="88"/>
      <c r="BN124" s="42"/>
      <c r="BO124" s="42"/>
      <c r="BP124" s="42"/>
    </row>
    <row r="125" spans="1:68" s="86" customFormat="1">
      <c r="A125" s="86">
        <v>61</v>
      </c>
      <c r="B125" s="86">
        <f t="shared" si="42"/>
        <v>1659.5869074375614</v>
      </c>
      <c r="C125" s="86" t="str">
        <f t="shared" si="0"/>
        <v>10427.4920727993j</v>
      </c>
      <c r="D125" s="86">
        <f t="shared" si="1"/>
        <v>0.99995593234074653</v>
      </c>
      <c r="E125" s="86" t="str">
        <f t="shared" si="2"/>
        <v>-0.0104274920727993j</v>
      </c>
      <c r="F125" s="86" t="str">
        <f t="shared" si="3"/>
        <v>0.999955932340747-0.0104274920727993j</v>
      </c>
      <c r="G125" s="86">
        <f t="shared" si="4"/>
        <v>8.9460329968166276E-5</v>
      </c>
      <c r="H125" s="86">
        <f t="shared" si="5"/>
        <v>-0.59745596052531658</v>
      </c>
      <c r="J125" s="86">
        <f t="shared" si="6"/>
        <v>17.283950617283953</v>
      </c>
      <c r="K125" s="86" t="str">
        <f t="shared" si="7"/>
        <v>1+0.125911966779052j</v>
      </c>
      <c r="L125" s="86">
        <f t="shared" si="8"/>
        <v>0.99675815793713796</v>
      </c>
      <c r="M125" s="86" t="str">
        <f t="shared" si="9"/>
        <v>0.0280834246380391j</v>
      </c>
      <c r="N125" s="86" t="str">
        <f t="shared" si="10"/>
        <v>0.996758157937138+0.0280834246380391j</v>
      </c>
      <c r="O125" s="86" t="str">
        <f t="shared" si="11"/>
        <v>1.00601287316611+0.0979773070257164j</v>
      </c>
      <c r="P125" s="86" t="str">
        <f t="shared" si="12"/>
        <v>17.387876820155+1.69343493624695j</v>
      </c>
      <c r="R125" s="86">
        <f t="shared" si="13"/>
        <v>6.9135802469135808</v>
      </c>
      <c r="S125" s="86" t="str">
        <f t="shared" si="14"/>
        <v>1+0.000782061905459947j</v>
      </c>
      <c r="T125" s="86" t="str">
        <f t="shared" si="15"/>
        <v>0.996758157937138+0.0280834246380391j</v>
      </c>
      <c r="U125" s="86" t="str">
        <f t="shared" si="16"/>
        <v>1.0024787069595-0.0274599942771698j</v>
      </c>
      <c r="V125" s="86" t="str">
        <f t="shared" si="17"/>
        <v>6.93071698638667-0.189846874015001j</v>
      </c>
      <c r="X125" s="86" t="str">
        <f t="shared" si="18"/>
        <v>0.533704667939737+0.0463658711038151j</v>
      </c>
      <c r="Y125" s="86">
        <f t="shared" si="19"/>
        <v>-5.4213252967291057</v>
      </c>
      <c r="Z125" s="86">
        <f t="shared" si="20"/>
        <v>-175.03486547354854</v>
      </c>
      <c r="AB125" s="86" t="str">
        <f t="shared" si="21"/>
        <v>2.38792619431735-0.0654103066479469j</v>
      </c>
      <c r="AC125" s="86">
        <f t="shared" si="22"/>
        <v>7.5636753978804716</v>
      </c>
      <c r="AD125" s="86">
        <f t="shared" si="23"/>
        <v>178.43094079032284</v>
      </c>
      <c r="AF125" s="86" t="str">
        <f t="shared" si="24"/>
        <v>1.5542563082296-0.0896357409424103j</v>
      </c>
      <c r="AG125" s="86">
        <f t="shared" si="25"/>
        <v>3.8448732713425997</v>
      </c>
      <c r="AH125" s="86">
        <f t="shared" si="26"/>
        <v>176.69934283672103</v>
      </c>
      <c r="AJ125" s="86" t="str">
        <f t="shared" si="27"/>
        <v>9999.75981547563-49.0080356167115j</v>
      </c>
      <c r="AK125" s="86" t="str">
        <f t="shared" si="28"/>
        <v>20000-4.17099682911972E-06j</v>
      </c>
      <c r="AL125" s="86" t="str">
        <f t="shared" si="43"/>
        <v>10000-2131118.59180312j</v>
      </c>
      <c r="AM125" s="86" t="str">
        <f t="shared" si="44"/>
        <v>963.12903376369-661384.748738323j</v>
      </c>
      <c r="AN125" s="86" t="str">
        <f t="shared" si="45"/>
        <v>10963.1290337637-661384.748738323j</v>
      </c>
      <c r="AO125" s="86" t="str">
        <f t="shared" si="46"/>
        <v>19971.7482285938-603.469070422346j</v>
      </c>
      <c r="AP125" s="86" t="str">
        <f t="shared" si="47"/>
        <v>0.666670225003323+0.00108908194406251j</v>
      </c>
      <c r="AQ125" s="86" t="str">
        <f t="shared" si="29"/>
        <v>1+0.606880038636919j</v>
      </c>
      <c r="AR125" s="86">
        <f t="shared" si="51"/>
        <v>2.4061158495680859E-8</v>
      </c>
      <c r="AS125" s="86" t="str">
        <f t="shared" si="31"/>
        <v>0.0000507591544618139j</v>
      </c>
      <c r="AT125" s="86" t="str">
        <f t="shared" si="32"/>
        <v>2.40611584956809E-08+0.0000507591544618139j</v>
      </c>
      <c r="AU125" s="86" t="str">
        <f t="shared" si="33"/>
        <v>1.79481100875706-2.95428118056342j</v>
      </c>
      <c r="AW125" s="86" t="str">
        <f t="shared" si="48"/>
        <v>1.18544051303512-1.97617465332103j</v>
      </c>
      <c r="AX125" s="86">
        <f t="shared" si="34"/>
        <v>7.2513831394469372</v>
      </c>
      <c r="AY125" s="86">
        <f t="shared" si="35"/>
        <v>120.95812214593531</v>
      </c>
      <c r="AZ125" s="86" t="str">
        <f t="shared" si="36"/>
        <v>2.70148226281793-4.79649924668182j</v>
      </c>
      <c r="BA125" s="86">
        <f t="shared" si="37"/>
        <v>14.815058537327403</v>
      </c>
      <c r="BB125" s="86">
        <f t="shared" si="38"/>
        <v>119.38906293625814</v>
      </c>
      <c r="BD125" s="86" t="str">
        <f t="shared" si="39"/>
        <v>1.66534251613372-3.1777397598167j</v>
      </c>
      <c r="BE125" s="86">
        <f t="shared" si="40"/>
        <v>11.096256410789513</v>
      </c>
      <c r="BF125" s="86">
        <f t="shared" si="41"/>
        <v>117.65746498265629</v>
      </c>
      <c r="BH125" s="86">
        <f t="shared" si="49"/>
        <v>-10.096256410789513</v>
      </c>
      <c r="BI125" s="159">
        <f t="shared" si="50"/>
        <v>-117.65746498265629</v>
      </c>
      <c r="BJ125" s="88"/>
      <c r="BK125" s="88"/>
      <c r="BL125" s="88"/>
      <c r="BM125" s="88"/>
      <c r="BN125" s="42"/>
      <c r="BO125" s="42"/>
      <c r="BP125" s="42"/>
    </row>
    <row r="126" spans="1:68" s="86" customFormat="1">
      <c r="A126" s="86">
        <v>62</v>
      </c>
      <c r="B126" s="86">
        <f t="shared" si="42"/>
        <v>1737.8008287493756</v>
      </c>
      <c r="C126" s="86" t="str">
        <f t="shared" si="0"/>
        <v>10918.9246340026j</v>
      </c>
      <c r="D126" s="86">
        <f t="shared" si="1"/>
        <v>0.99995168077247354</v>
      </c>
      <c r="E126" s="86" t="str">
        <f t="shared" si="2"/>
        <v>-0.0109189246340026j</v>
      </c>
      <c r="F126" s="86" t="str">
        <f t="shared" si="3"/>
        <v>0.999951680772474-0.0109189246340026j</v>
      </c>
      <c r="G126" s="86">
        <f t="shared" si="4"/>
        <v>9.8092095922437482E-5</v>
      </c>
      <c r="H126" s="86">
        <f t="shared" si="5"/>
        <v>-0.62561366461294465</v>
      </c>
      <c r="J126" s="86">
        <f t="shared" si="6"/>
        <v>17.283950617283953</v>
      </c>
      <c r="K126" s="86" t="str">
        <f t="shared" si="7"/>
        <v>1+0.131846014955581j</v>
      </c>
      <c r="L126" s="86">
        <f t="shared" si="8"/>
        <v>0.99644539086273187</v>
      </c>
      <c r="M126" s="86" t="str">
        <f t="shared" si="9"/>
        <v>0.0294069556655268j</v>
      </c>
      <c r="N126" s="86" t="str">
        <f t="shared" si="10"/>
        <v>0.996445390862732+0.0294069556655268j</v>
      </c>
      <c r="O126" s="86" t="str">
        <f t="shared" si="11"/>
        <v>1.00659549667454+0.102609843699743j</v>
      </c>
      <c r="P126" s="86" t="str">
        <f t="shared" si="12"/>
        <v>17.3979468561032+1.77350347135358j</v>
      </c>
      <c r="R126" s="86">
        <f t="shared" si="13"/>
        <v>6.9135802469135808</v>
      </c>
      <c r="S126" s="86" t="str">
        <f t="shared" si="14"/>
        <v>1+0.000818919347550195j</v>
      </c>
      <c r="T126" s="86" t="str">
        <f t="shared" si="15"/>
        <v>0.996445390862732+0.0294069556655268j</v>
      </c>
      <c r="U126" s="86" t="str">
        <f t="shared" si="16"/>
        <v>1.00271822625498-0.028770238027921j</v>
      </c>
      <c r="V126" s="86" t="str">
        <f t="shared" si="17"/>
        <v>6.93237292225665-0.198905349328837j</v>
      </c>
      <c r="X126" s="86" t="str">
        <f t="shared" si="18"/>
        <v>0.534063504231955+0.0485553785422276j</v>
      </c>
      <c r="Y126" s="86">
        <f t="shared" si="19"/>
        <v>-5.412391288641941</v>
      </c>
      <c r="Z126" s="86">
        <f t="shared" si="20"/>
        <v>-174.80512942455994</v>
      </c>
      <c r="AB126" s="86" t="str">
        <f t="shared" si="21"/>
        <v>2.38849673451511-0.0685313359043678j</v>
      </c>
      <c r="AC126" s="86">
        <f t="shared" si="22"/>
        <v>7.5660668739500228</v>
      </c>
      <c r="AD126" s="86">
        <f t="shared" si="23"/>
        <v>178.35650629913758</v>
      </c>
      <c r="AF126" s="86" t="str">
        <f t="shared" si="24"/>
        <v>1.55400303896178-0.0938595705586627j</v>
      </c>
      <c r="AG126" s="86">
        <f t="shared" si="25"/>
        <v>3.8448514581891571</v>
      </c>
      <c r="AH126" s="86">
        <f t="shared" si="26"/>
        <v>176.54361537910015</v>
      </c>
      <c r="AJ126" s="86" t="str">
        <f t="shared" si="27"/>
        <v>9999.73664351625-51.3175942621012j</v>
      </c>
      <c r="AK126" s="86" t="str">
        <f t="shared" si="28"/>
        <v>20000-4.36756985360104E-06j</v>
      </c>
      <c r="AL126" s="86" t="str">
        <f t="shared" si="43"/>
        <v>10000-2035202.45510442j</v>
      </c>
      <c r="AM126" s="86" t="str">
        <f t="shared" si="44"/>
        <v>963.128060663804-631617.818718764j</v>
      </c>
      <c r="AN126" s="86" t="str">
        <f t="shared" si="45"/>
        <v>10963.1280606638-631617.818718764j</v>
      </c>
      <c r="AO126" s="86" t="str">
        <f t="shared" si="46"/>
        <v>19969.0291122349-631.776107902256j</v>
      </c>
      <c r="AP126" s="86" t="str">
        <f t="shared" si="47"/>
        <v>0.666670568301206+0.00114040762028224j</v>
      </c>
      <c r="AQ126" s="86" t="str">
        <f t="shared" si="29"/>
        <v>1+0.635481413698951j</v>
      </c>
      <c r="AR126" s="86">
        <f t="shared" si="51"/>
        <v>1.6734716050140551E-8</v>
      </c>
      <c r="AS126" s="86" t="str">
        <f t="shared" si="31"/>
        <v>0.0000531513597118905j</v>
      </c>
      <c r="AT126" s="86" t="str">
        <f t="shared" si="32"/>
        <v>1.67347160501406E-08+0.0000531513597118905j</v>
      </c>
      <c r="AU126" s="86" t="str">
        <f t="shared" si="33"/>
        <v>1.79429897273071-2.8215641844179j</v>
      </c>
      <c r="AW126" s="86" t="str">
        <f t="shared" si="48"/>
        <v>1.18509439365088-1.88800820422246j</v>
      </c>
      <c r="AX126" s="86">
        <f t="shared" si="34"/>
        <v>6.9627106823298153</v>
      </c>
      <c r="AY126" s="86">
        <f t="shared" si="35"/>
        <v>122.11631026867542</v>
      </c>
      <c r="AZ126" s="86" t="str">
        <f t="shared" si="36"/>
        <v>2.70120636489352-4.59071753249275j</v>
      </c>
      <c r="BA126" s="86">
        <f t="shared" si="37"/>
        <v>14.528777556279833</v>
      </c>
      <c r="BB126" s="86">
        <f t="shared" si="38"/>
        <v>120.47281656781303</v>
      </c>
      <c r="BD126" s="86" t="str">
        <f t="shared" si="39"/>
        <v>1.66443264993048-3.04520293780602j</v>
      </c>
      <c r="BE126" s="86">
        <f t="shared" si="40"/>
        <v>10.807562140518955</v>
      </c>
      <c r="BF126" s="86">
        <f t="shared" si="41"/>
        <v>118.65992564777555</v>
      </c>
      <c r="BH126" s="86">
        <f t="shared" si="49"/>
        <v>-9.8075621405189555</v>
      </c>
      <c r="BI126" s="159">
        <f t="shared" si="50"/>
        <v>-118.65992564777555</v>
      </c>
      <c r="BJ126" s="88"/>
      <c r="BK126" s="88"/>
      <c r="BL126" s="88"/>
      <c r="BM126" s="88"/>
      <c r="BN126" s="42"/>
      <c r="BO126" s="42"/>
      <c r="BP126" s="42"/>
    </row>
    <row r="127" spans="1:68" s="86" customFormat="1">
      <c r="A127" s="86">
        <v>63</v>
      </c>
      <c r="B127" s="86">
        <f t="shared" si="42"/>
        <v>1819.7008586099842</v>
      </c>
      <c r="C127" s="86" t="str">
        <f t="shared" si="0"/>
        <v>11433.5176982803j</v>
      </c>
      <c r="D127" s="86">
        <f t="shared" si="1"/>
        <v>0.99994701902056282</v>
      </c>
      <c r="E127" s="86" t="str">
        <f t="shared" si="2"/>
        <v>-0.0114335176982803j</v>
      </c>
      <c r="F127" s="86" t="str">
        <f t="shared" si="3"/>
        <v>0.999947019020563-0.0114335176982803j</v>
      </c>
      <c r="G127" s="86">
        <f t="shared" si="4"/>
        <v>1.0755679981484628E-4</v>
      </c>
      <c r="H127" s="86">
        <f t="shared" si="5"/>
        <v>-0.65509847035366875</v>
      </c>
      <c r="J127" s="86">
        <f t="shared" si="6"/>
        <v>17.283950617283953</v>
      </c>
      <c r="K127" s="86" t="str">
        <f t="shared" si="7"/>
        <v>1+0.138059726206735j</v>
      </c>
      <c r="L127" s="86">
        <f t="shared" si="8"/>
        <v>0.99610244858517427</v>
      </c>
      <c r="M127" s="86" t="str">
        <f t="shared" si="9"/>
        <v>0.0307928627886401j</v>
      </c>
      <c r="N127" s="86" t="str">
        <f t="shared" si="10"/>
        <v>0.996102448585174+0.0307928627886401j</v>
      </c>
      <c r="O127" s="86" t="str">
        <f t="shared" si="11"/>
        <v>1.0072348406591+0.107462924234774j</v>
      </c>
      <c r="P127" s="86" t="str">
        <f t="shared" si="12"/>
        <v>17.4089972459598+1.85738387566276j</v>
      </c>
      <c r="R127" s="86">
        <f t="shared" si="13"/>
        <v>6.9135802469135808</v>
      </c>
      <c r="S127" s="86" t="str">
        <f t="shared" si="14"/>
        <v>1+0.000857513827371022j</v>
      </c>
      <c r="T127" s="86" t="str">
        <f t="shared" si="15"/>
        <v>0.996102448585174+0.0307928627886401j</v>
      </c>
      <c r="U127" s="86" t="str">
        <f t="shared" si="16"/>
        <v>1.00298093027038-0.0301446305856559j</v>
      </c>
      <c r="V127" s="86" t="str">
        <f t="shared" si="17"/>
        <v>6.93418914754831-0.208407322567498j</v>
      </c>
      <c r="X127" s="86" t="str">
        <f t="shared" si="18"/>
        <v>0.534457245216653+0.0508487134253414j</v>
      </c>
      <c r="Y127" s="86">
        <f t="shared" si="19"/>
        <v>-5.4026060939052609</v>
      </c>
      <c r="Z127" s="86">
        <f t="shared" si="20"/>
        <v>-174.56519001543595</v>
      </c>
      <c r="AB127" s="86" t="str">
        <f t="shared" si="21"/>
        <v>2.38912250122254-0.0718051690213265j</v>
      </c>
      <c r="AC127" s="86">
        <f t="shared" si="22"/>
        <v>7.5686896061514979</v>
      </c>
      <c r="AD127" s="86">
        <f t="shared" si="23"/>
        <v>178.27849135898862</v>
      </c>
      <c r="AF127" s="86" t="str">
        <f t="shared" si="24"/>
        <v>1.55372525135103-0.098282372831899j</v>
      </c>
      <c r="AG127" s="86">
        <f t="shared" si="25"/>
        <v>3.8448272994766519</v>
      </c>
      <c r="AH127" s="86">
        <f t="shared" si="26"/>
        <v>176.38052323005161</v>
      </c>
      <c r="AJ127" s="86" t="str">
        <f t="shared" si="27"/>
        <v>9999.71123609145-53.7359814359057j</v>
      </c>
      <c r="AK127" s="86" t="str">
        <f t="shared" si="28"/>
        <v>20000-4.57340707931212E-06j</v>
      </c>
      <c r="AL127" s="86" t="str">
        <f t="shared" si="43"/>
        <v>10000-1943603.25567735j</v>
      </c>
      <c r="AM127" s="86" t="str">
        <f t="shared" si="44"/>
        <v>963.126993683256-603190.634774549j</v>
      </c>
      <c r="AN127" s="86" t="str">
        <f t="shared" si="45"/>
        <v>10963.1269936833-603190.634774549j</v>
      </c>
      <c r="AO127" s="86" t="str">
        <f t="shared" si="46"/>
        <v>19966.0489845092-661.397492188384j</v>
      </c>
      <c r="AP127" s="86" t="str">
        <f t="shared" si="47"/>
        <v>0.666670944719035+0.00119415202709457j</v>
      </c>
      <c r="AQ127" s="86" t="str">
        <f t="shared" si="29"/>
        <v>1+0.665430730039913j</v>
      </c>
      <c r="AR127" s="86">
        <f t="shared" si="51"/>
        <v>8.7014316533087248E-9</v>
      </c>
      <c r="AS127" s="86" t="str">
        <f t="shared" si="31"/>
        <v>0.0000556563061220428j</v>
      </c>
      <c r="AT127" s="86" t="str">
        <f t="shared" si="32"/>
        <v>8.70143165330872E-09+0.0000556563061220428j</v>
      </c>
      <c r="AU127" s="86" t="str">
        <f t="shared" si="33"/>
        <v>1.79383191875791-2.6948319345031j</v>
      </c>
      <c r="AW127" s="86" t="str">
        <f t="shared" si="48"/>
        <v>1.18477780361227-1.80384635418164j</v>
      </c>
      <c r="AX127" s="86">
        <f t="shared" si="34"/>
        <v>6.6815846888465833</v>
      </c>
      <c r="AY127" s="86">
        <f t="shared" si="35"/>
        <v>123.29716463076312</v>
      </c>
      <c r="AZ127" s="86" t="str">
        <f t="shared" si="36"/>
        <v>2.70105381720858-4.3946830839647j</v>
      </c>
      <c r="BA127" s="86">
        <f t="shared" si="37"/>
        <v>14.250274294998089</v>
      </c>
      <c r="BB127" s="86">
        <f t="shared" si="38"/>
        <v>121.57565598975172</v>
      </c>
      <c r="BD127" s="86" t="str">
        <f t="shared" si="39"/>
        <v>1.66353289079945-2.91912440386709j</v>
      </c>
      <c r="BE127" s="86">
        <f t="shared" si="40"/>
        <v>10.52641198832324</v>
      </c>
      <c r="BF127" s="86">
        <f t="shared" si="41"/>
        <v>119.67768786081464</v>
      </c>
      <c r="BH127" s="86">
        <f t="shared" si="49"/>
        <v>-9.5264119883232397</v>
      </c>
      <c r="BI127" s="159">
        <f t="shared" si="50"/>
        <v>-119.67768786081464</v>
      </c>
      <c r="BJ127" s="88"/>
      <c r="BK127" s="88"/>
      <c r="BL127" s="88"/>
      <c r="BM127" s="88"/>
      <c r="BN127" s="42"/>
      <c r="BO127" s="42"/>
      <c r="BP127" s="42"/>
    </row>
    <row r="128" spans="1:68" s="86" customFormat="1">
      <c r="A128" s="86">
        <v>64</v>
      </c>
      <c r="B128" s="86">
        <f t="shared" ref="B128:B191" si="52">Fstart*10^(Step*A128)</f>
        <v>1905.4607179632476</v>
      </c>
      <c r="C128" s="86" t="str">
        <f t="shared" ref="C128:C191" si="53">COMPLEX(0,2*PI()*B128,"j")</f>
        <v>11972.3627865145j</v>
      </c>
      <c r="D128" s="86">
        <f t="shared" ref="D128:D191" si="54">(IMPRODUCT(C128,C128))/wn^2 + 1</f>
        <v>0.99994190751123679</v>
      </c>
      <c r="E128" s="86" t="str">
        <f t="shared" ref="E128:E191" si="55">IMDIV(C128,wn*Qn)</f>
        <v>-0.0119723627865145j</v>
      </c>
      <c r="F128" s="86" t="str">
        <f t="shared" ref="F128:F191" si="56">IMSUM(D128,E128)</f>
        <v>0.999941907511237-0.0119723627865145j</v>
      </c>
      <c r="G128" s="86">
        <f t="shared" ref="G128:G191" si="57">20*LOG(IMABS(F128),10)</f>
        <v>1.1793483451227951E-4</v>
      </c>
      <c r="H128" s="86">
        <f t="shared" ref="H128:H191" si="58">(IMARGUMENT(F128)*(180/PI()))</f>
        <v>-0.68597293248206792</v>
      </c>
      <c r="J128" s="86">
        <f t="shared" ref="J128:J191" si="59">Vin/(Rout+DCR/1000)</f>
        <v>17.283950617283953</v>
      </c>
      <c r="K128" s="86" t="str">
        <f t="shared" ref="K128:K191" si="60">IMSUM(1,IMPRODUCT(C128,ncap*(Cap*10^-6)*(Rout+(ESR/(ncap*1000)))))</f>
        <v>1+0.144566280647163j</v>
      </c>
      <c r="L128" s="86">
        <f t="shared" ref="L128:L191" si="61">(IMPRODUCT(C128,C128))/Gdo^2 + 1</f>
        <v>0.99572641985529653</v>
      </c>
      <c r="M128" s="86" t="str">
        <f t="shared" ref="M128:M191" si="62">IMDIV(C128,Q*Gdo)</f>
        <v>0.0322440857021992j</v>
      </c>
      <c r="N128" s="86" t="str">
        <f t="shared" ref="N128:N191" si="63">IMSUM(L128,M128)</f>
        <v>0.995726419855297+0.0322440857021992j</v>
      </c>
      <c r="O128" s="86" t="str">
        <f t="shared" ref="O128:O191" si="64">IMDIV(K128,N128)</f>
        <v>1.00793648115711+0.112547270145394j</v>
      </c>
      <c r="P128" s="86" t="str">
        <f t="shared" ref="P128:P191" si="65">IMPRODUCT(J128,O128)</f>
        <v>17.4211243656784+1.94526145930311j</v>
      </c>
      <c r="R128" s="86">
        <f t="shared" ref="R128:R191" si="66">Vin/(1+((DCR*10^-3)/Rout))</f>
        <v>6.9135802469135808</v>
      </c>
      <c r="S128" s="86" t="str">
        <f t="shared" ref="S128:S191" si="67">IMSUM(1,IMPRODUCT(C128,ncap*(Cap*10^-6)*(ESR/(ncap*1000))))</f>
        <v>1+0.000897927208988587j</v>
      </c>
      <c r="T128" s="86" t="str">
        <f t="shared" ref="T128:T191" si="68">IMSUM(L128,M128)</f>
        <v>0.995726419855297+0.0322440857021992j</v>
      </c>
      <c r="U128" s="86" t="str">
        <f t="shared" ref="U128:U191" si="69">IMDIV(S128,T128)</f>
        <v>1.00326907121617-0.0315865543772976j</v>
      </c>
      <c r="V128" s="86" t="str">
        <f t="shared" ref="V128:V191" si="70">IMPRODUCT(R128,U128)</f>
        <v>6.93618123309945-0.218376178410946j</v>
      </c>
      <c r="X128" s="86" t="str">
        <f t="shared" ref="X128:X191" si="71">IMPRODUCT(Fm,Dmax,P128,F128)</f>
        <v>0.534889316343371+0.053250862235398j</v>
      </c>
      <c r="Y128" s="86">
        <f t="shared" ref="Y128:Y191" si="72">20*LOG(IMABS(X128),10)</f>
        <v>-5.3918897211930217</v>
      </c>
      <c r="Z128" s="86">
        <f t="shared" ref="Z128:Z191" si="73">IF((IMARGUMENT(X128)*(180/PI()))&lt;0,(IMARGUMENT(X128)*(180/PI()))+180,(IMARGUMENT(X128)*(180/PI()))-180)</f>
        <v>-174.31465678335135</v>
      </c>
      <c r="AB128" s="86" t="str">
        <f t="shared" ref="AB128:AB191" si="74">IMPRODUCT(Fm,V128)</f>
        <v>2.38980885925422-0.0752398630136942j</v>
      </c>
      <c r="AC128" s="86">
        <f t="shared" ref="AC128:AC191" si="75">20*LOG(IMABS(AB128),10)</f>
        <v>7.5715660130857518</v>
      </c>
      <c r="AD128" s="86">
        <f t="shared" ref="AD128:AD191" si="76">IF((IMARGUMENT(AB128)*(180/PI()))&lt;0,(IMARGUMENT(AB128)*(180/PI()))+180,(IMARGUMENT(AB128)*(180/PI()))-180)</f>
        <v>178.19671641350524</v>
      </c>
      <c r="AF128" s="86" t="str">
        <f t="shared" ref="AF128:AF191" si="77">IMDIV(AB128,IMSUM(1,X128))</f>
        <v>1.55342056310433-0.102913510265036j</v>
      </c>
      <c r="AG128" s="86">
        <f t="shared" ref="AG128:AG191" si="78">20*LOG(IMABS(AF128),10)</f>
        <v>3.8448005201556184</v>
      </c>
      <c r="AH128" s="86">
        <f t="shared" ref="AH128:AH191" si="79">IF((IMARGUMENT(AF128)*(180/PI()))&lt;0,(IMARGUMENT(AF128)*(180/PI()))+180,(IMARGUMENT(AF128)*(180/PI()))-180)</f>
        <v>176.20971553771176</v>
      </c>
      <c r="AJ128" s="86" t="str">
        <f t="shared" ref="AJ128:AJ191" si="80">IMDIV(_Rfb1,IMSUM(1,IMPRODUCT(C128,_Cfb1*_Rfb1)))</f>
        <v>9999.68337755253-56.2683234587786j</v>
      </c>
      <c r="AK128" s="86" t="str">
        <f t="shared" ref="AK128:AK191" si="81">IMDIV(_Rfb2,IMSUM(1,IMPRODUCT(C128,_Cfb2*_Rfb2)))</f>
        <v>20000-0.0000047889451146058j</v>
      </c>
      <c r="AL128" s="86" t="str">
        <f t="shared" si="43"/>
        <v>10000-1856126.699339j</v>
      </c>
      <c r="AM128" s="86" t="str">
        <f t="shared" si="44"/>
        <v>963.125823765061-576042.899037136j</v>
      </c>
      <c r="AN128" s="86" t="str">
        <f t="shared" si="45"/>
        <v>10963.1258237651-576042.899037136j</v>
      </c>
      <c r="AO128" s="86" t="str">
        <f t="shared" si="46"/>
        <v>19962.7829302118-692.392262116864j</v>
      </c>
      <c r="AP128" s="86" t="str">
        <f t="shared" si="47"/>
        <v>0.666671357452005+0.00125042912998171j</v>
      </c>
      <c r="AQ128" s="86" t="str">
        <f t="shared" ref="AQ128:AQ191" si="82">IMSUM(1,IMPRODUCT(C128,_res1*_Cap1))</f>
        <v>1+0.696791514175144j</v>
      </c>
      <c r="AR128" s="86">
        <f t="shared" ref="AR128:AR191" si="83">(IMPRODUCT(C128,C128))*_res1*_Cap1*_cap2 + (1/Roerr)</f>
        <v>-1.0688953123482805E-10</v>
      </c>
      <c r="AS128" s="86" t="str">
        <f t="shared" ref="AS128:AS191" si="84">IMPRODUCT(C128,(_Cap1+_cap2+(_Cap1*_res1/Roerr)))</f>
        <v>0.000058279307019451j</v>
      </c>
      <c r="AT128" s="86" t="str">
        <f t="shared" ref="AT128:AT191" si="85">IMSUM(AR128,AS128)</f>
        <v>-1.06889531234828E-10+0.000058279307019451j</v>
      </c>
      <c r="AU128" s="86" t="str">
        <f t="shared" ref="AU128:AU191" si="86">IMPRODUCT(EA_BW,IMDIV(AQ128,AT128))</f>
        <v>1.79340588208162-2.57381563659037j</v>
      </c>
      <c r="AW128" s="86" t="str">
        <f t="shared" si="48"/>
        <v>1.18448805544245-1.72351059826836j</v>
      </c>
      <c r="AX128" s="86">
        <f t="shared" ref="AX128:AX191" si="87">20*LOG(IMABS(AW128),10)</f>
        <v>6.4082920393022338</v>
      </c>
      <c r="AY128" s="86">
        <f t="shared" ref="AY128:AY191" si="88">IF((IMARGUMENT(AW128)*(180/PI()))&lt;0,(IMARGUMENT(AW128)*(180/PI()))+180,(IMARGUMENT(AW128)*(180/PI()))-180)</f>
        <v>124.49891710283265</v>
      </c>
      <c r="AZ128" s="86" t="str">
        <f t="shared" ref="AZ128:AZ191" si="89">IMPRODUCT(AW128,Fm,V128)</f>
        <v>2.70102334726081-4.20798161579312j</v>
      </c>
      <c r="BA128" s="86">
        <f t="shared" ref="BA128:BA191" si="90">20*LOG(IMABS(AZ128),10)</f>
        <v>13.979858052387993</v>
      </c>
      <c r="BB128" s="86">
        <f t="shared" ref="BB128:BB191" si="91">IF((IMARGUMENT(AZ128)*(180/PI()))&lt;0,(IMARGUMENT(AZ128)*(180/PI()))+180,(IMARGUMENT(AZ128)*(180/PI()))-180)</f>
        <v>122.69563351633785</v>
      </c>
      <c r="BD128" s="86" t="str">
        <f t="shared" ref="BD128:BD191" si="92">IMDIV(AZ128,IMSUM(1,X128))</f>
        <v>1.66263557642897-2.79923662773091j</v>
      </c>
      <c r="BE128" s="86">
        <f t="shared" ref="BE128:BE191" si="93">20*LOG(IMABS(BD128),10)</f>
        <v>10.253092559457857</v>
      </c>
      <c r="BF128" s="86">
        <f t="shared" ref="BF128:BF191" si="94">IF((IMARGUMENT(BD128)*(180/PI()))&lt;0,(IMARGUMENT(BD128)*(180/PI()))+180,(IMARGUMENT(BD128)*(180/PI()))-180)</f>
        <v>120.70863264054428</v>
      </c>
      <c r="BH128" s="86">
        <f t="shared" si="49"/>
        <v>-9.2530925594578566</v>
      </c>
      <c r="BI128" s="159">
        <f t="shared" si="50"/>
        <v>-120.70863264054428</v>
      </c>
      <c r="BJ128" s="88"/>
      <c r="BK128" s="88"/>
      <c r="BL128" s="88"/>
      <c r="BM128" s="88"/>
      <c r="BN128" s="42"/>
      <c r="BO128" s="42"/>
      <c r="BP128" s="42"/>
    </row>
    <row r="129" spans="1:68" s="86" customFormat="1">
      <c r="A129" s="86">
        <v>65</v>
      </c>
      <c r="B129" s="86">
        <f t="shared" si="52"/>
        <v>1995.2623149688804</v>
      </c>
      <c r="C129" s="86" t="str">
        <f t="shared" si="53"/>
        <v>12536.6028613816j</v>
      </c>
      <c r="D129" s="86">
        <f t="shared" si="54"/>
        <v>0.9999363028527114</v>
      </c>
      <c r="E129" s="86" t="str">
        <f t="shared" si="55"/>
        <v>-0.0125366028613816j</v>
      </c>
      <c r="F129" s="86" t="str">
        <f t="shared" si="56"/>
        <v>0.999936302852711-0.0125366028613816j</v>
      </c>
      <c r="G129" s="86">
        <f t="shared" si="57"/>
        <v>1.2931435559786314E-4</v>
      </c>
      <c r="H129" s="86">
        <f t="shared" si="58"/>
        <v>-0.71830255538103116</v>
      </c>
      <c r="J129" s="86">
        <f t="shared" si="59"/>
        <v>17.283950617283953</v>
      </c>
      <c r="K129" s="86" t="str">
        <f t="shared" si="60"/>
        <v>1+0.151379479551183j</v>
      </c>
      <c r="L129" s="86">
        <f t="shared" si="61"/>
        <v>0.9953141125518622</v>
      </c>
      <c r="M129" s="86" t="str">
        <f t="shared" si="62"/>
        <v>0.0337637026445728j</v>
      </c>
      <c r="N129" s="86" t="str">
        <f t="shared" si="63"/>
        <v>0.995314112551862+0.0337637026445728j</v>
      </c>
      <c r="O129" s="86" t="str">
        <f t="shared" si="64"/>
        <v>1.00870655334532+0.117874156458609j</v>
      </c>
      <c r="P129" s="86" t="str">
        <f t="shared" si="65"/>
        <v>17.4344342553512+2.0373310992846j</v>
      </c>
      <c r="R129" s="86">
        <f t="shared" si="66"/>
        <v>6.9135802469135808</v>
      </c>
      <c r="S129" s="86" t="str">
        <f t="shared" si="67"/>
        <v>1+0.00094024521460362j</v>
      </c>
      <c r="T129" s="86" t="str">
        <f t="shared" si="68"/>
        <v>0.995314112551862+0.0337637026445728j</v>
      </c>
      <c r="U129" s="86" t="str">
        <f t="shared" si="69"/>
        <v>1.00358512168919-0.0330996054382892j</v>
      </c>
      <c r="V129" s="86" t="str">
        <f t="shared" si="70"/>
        <v>6.93836627340675-0.22883677833879j</v>
      </c>
      <c r="X129" s="86" t="str">
        <f t="shared" si="71"/>
        <v>0.535363485351328+0.0557670598943159j</v>
      </c>
      <c r="Y129" s="86">
        <f t="shared" si="72"/>
        <v>-5.3801548785611564</v>
      </c>
      <c r="Z129" s="86">
        <f t="shared" si="73"/>
        <v>-174.05313375180273</v>
      </c>
      <c r="AB129" s="86" t="str">
        <f t="shared" si="74"/>
        <v>2.39056169838987-0.078843983716507j</v>
      </c>
      <c r="AC129" s="86">
        <f t="shared" si="75"/>
        <v>7.5747206980057431</v>
      </c>
      <c r="AD129" s="86">
        <f t="shared" si="76"/>
        <v>178.11099182100736</v>
      </c>
      <c r="AF129" s="86" t="str">
        <f t="shared" si="77"/>
        <v>1.55308635870806-0.107762784045736j</v>
      </c>
      <c r="AG129" s="86">
        <f t="shared" si="78"/>
        <v>3.8447708087804826</v>
      </c>
      <c r="AH129" s="86">
        <f t="shared" si="79"/>
        <v>176.03082436010024</v>
      </c>
      <c r="AJ129" s="86" t="str">
        <f t="shared" si="80"/>
        <v>9999.65283145044-58.9199878608046j</v>
      </c>
      <c r="AK129" s="86" t="str">
        <f t="shared" si="81"/>
        <v>20000-5.01464114455264E-06j</v>
      </c>
      <c r="AL129" s="86" t="str">
        <f t="shared" ref="AL129:AL192" si="95">IMDIV(IMSUM(1,IMPRODUCT(C129,10000,0.000000000045)),IMPRODUCT(C129,0.000000000045))</f>
        <v>10000-1772587.23658518j</v>
      </c>
      <c r="AM129" s="86" t="str">
        <f t="shared" ref="AM129:AM192" si="96">IMDIV(AL129,IMSUM(1,IMPRODUCT(C129,AL129,0.0000000001)))</f>
        <v>963.124540978539-550117.027519154j</v>
      </c>
      <c r="AN129" s="86" t="str">
        <f t="shared" ref="AN129:AN192" si="97">IMSUM(10000,AM129)</f>
        <v>10963.1245409785-550117.027519154j</v>
      </c>
      <c r="AO129" s="86" t="str">
        <f t="shared" ref="AO129:AO192" si="98">IMDIV(IMPRODUCT(AN129,AK129),IMSUM(AN129,AK129))</f>
        <v>19959.2036839554-724.821813167052j</v>
      </c>
      <c r="AP129" s="86" t="str">
        <f t="shared" ref="AP129:AP192" si="99">IMDIV(AK129,IMSUM(AJ129,AK129))</f>
        <v>0.66667181000353+0.00130935826163453j</v>
      </c>
      <c r="AQ129" s="86" t="str">
        <f t="shared" si="82"/>
        <v>1+0.729630286532409j</v>
      </c>
      <c r="AR129" s="86">
        <f t="shared" si="83"/>
        <v>-9.7650216547142805E-9</v>
      </c>
      <c r="AS129" s="86" t="str">
        <f t="shared" si="84"/>
        <v>0.0000610259261406906j</v>
      </c>
      <c r="AT129" s="86" t="str">
        <f t="shared" si="85"/>
        <v>-9.76502165471428E-09+0.0000610259261406906j</v>
      </c>
      <c r="AU129" s="86" t="str">
        <f t="shared" si="86"/>
        <v>1.79301724612854-2.45825861792547j</v>
      </c>
      <c r="AW129" s="86" t="str">
        <f t="shared" ref="AW129:AW192" si="100">IMDIV(IMPRODUCT(AP129,AU129),IMPRODUCT(IMSUM(1,IMPRODUCT(C129,1/1500000)),IMSUM(1,IMPRODUCT(C129,1/35000000))))</f>
        <v>1.18422268951976-1.64683054518776j</v>
      </c>
      <c r="AX129" s="86">
        <f t="shared" si="87"/>
        <v>6.1431012369170537</v>
      </c>
      <c r="AY129" s="86">
        <f t="shared" si="88"/>
        <v>125.71961018312319</v>
      </c>
      <c r="AZ129" s="86" t="str">
        <f t="shared" si="89"/>
        <v>2.70111472324154-4.03021885951358j</v>
      </c>
      <c r="BA129" s="86">
        <f t="shared" si="90"/>
        <v>13.717821934922787</v>
      </c>
      <c r="BB129" s="86">
        <f t="shared" si="91"/>
        <v>123.83060200413048</v>
      </c>
      <c r="BD129" s="86" t="str">
        <f t="shared" si="92"/>
        <v>1.66173306036471-2.68528518878765j</v>
      </c>
      <c r="BE129" s="86">
        <f t="shared" si="93"/>
        <v>9.9878720456975305</v>
      </c>
      <c r="BF129" s="86">
        <f t="shared" si="94"/>
        <v>121.75043454322326</v>
      </c>
      <c r="BH129" s="86">
        <f t="shared" ref="BH129:BH192" si="101">1-BE129</f>
        <v>-8.9878720456975305</v>
      </c>
      <c r="BI129" s="159">
        <f t="shared" ref="BI129:BI192" si="102">+-1*BF129</f>
        <v>-121.75043454322326</v>
      </c>
      <c r="BJ129" s="88"/>
      <c r="BK129" s="88"/>
      <c r="BL129" s="88"/>
      <c r="BM129" s="88"/>
      <c r="BN129" s="42"/>
      <c r="BO129" s="42"/>
      <c r="BP129" s="42"/>
    </row>
    <row r="130" spans="1:68" s="86" customFormat="1">
      <c r="A130" s="86">
        <v>66</v>
      </c>
      <c r="B130" s="86">
        <f t="shared" si="52"/>
        <v>2089.2961308540398</v>
      </c>
      <c r="C130" s="86" t="str">
        <f t="shared" si="53"/>
        <v>13127.4347517293j</v>
      </c>
      <c r="D130" s="86">
        <f t="shared" si="54"/>
        <v>0.99993015746684155</v>
      </c>
      <c r="E130" s="86" t="str">
        <f t="shared" si="55"/>
        <v>-0.0131274347517293j</v>
      </c>
      <c r="F130" s="86" t="str">
        <f t="shared" si="56"/>
        <v>0.999930157466842-0.0131274347517293j</v>
      </c>
      <c r="G130" s="86">
        <f t="shared" si="57"/>
        <v>1.4179203168333376E-4</v>
      </c>
      <c r="H130" s="86">
        <f t="shared" si="58"/>
        <v>-0.75215593232161493</v>
      </c>
      <c r="J130" s="86">
        <f t="shared" si="59"/>
        <v>17.283950617283953</v>
      </c>
      <c r="K130" s="86" t="str">
        <f t="shared" si="60"/>
        <v>1+0.158513774627131j</v>
      </c>
      <c r="L130" s="86">
        <f t="shared" si="61"/>
        <v>0.99486202658353584</v>
      </c>
      <c r="M130" s="86" t="str">
        <f t="shared" si="62"/>
        <v>0.0353549369270339j</v>
      </c>
      <c r="N130" s="86" t="str">
        <f t="shared" si="63"/>
        <v>0.994862026583536+0.0353549369270339j</v>
      </c>
      <c r="O130" s="86" t="str">
        <f t="shared" si="64"/>
        <v>1.00955180982776+0.123455444859906j</v>
      </c>
      <c r="P130" s="86" t="str">
        <f t="shared" si="65"/>
        <v>17.4490436266526+2.13379781239344j</v>
      </c>
      <c r="R130" s="86">
        <f t="shared" si="66"/>
        <v>6.9135802469135808</v>
      </c>
      <c r="S130" s="86" t="str">
        <f t="shared" si="67"/>
        <v>1+0.000984557606379698j</v>
      </c>
      <c r="T130" s="86" t="str">
        <f t="shared" si="68"/>
        <v>0.994862026583536+0.0353549369270339j</v>
      </c>
      <c r="U130" s="86" t="str">
        <f t="shared" si="69"/>
        <v>1.00393179655648-0.0346876117670581j</v>
      </c>
      <c r="V130" s="86" t="str">
        <f t="shared" si="70"/>
        <v>6.94076303792134-0.23981558752534j</v>
      </c>
      <c r="X130" s="86" t="str">
        <f t="shared" si="71"/>
        <v>0.535883897711966+0.0584028033615426j</v>
      </c>
      <c r="Y130" s="86">
        <f t="shared" si="72"/>
        <v>-5.3673063490958715</v>
      </c>
      <c r="Z130" s="86">
        <f t="shared" si="73"/>
        <v>-173.78022095431459</v>
      </c>
      <c r="AB130" s="86" t="str">
        <f t="shared" si="74"/>
        <v>2.39138748550212-0.0826266495056987j</v>
      </c>
      <c r="AC130" s="86">
        <f t="shared" si="75"/>
        <v>7.5781806639923701</v>
      </c>
      <c r="AD130" s="86">
        <f t="shared" si="76"/>
        <v>178.02111713330709</v>
      </c>
      <c r="AF130" s="86" t="str">
        <f t="shared" si="77"/>
        <v>1.55271976624935-0.112840454247695j</v>
      </c>
      <c r="AG130" s="86">
        <f t="shared" si="78"/>
        <v>3.8447378120049738</v>
      </c>
      <c r="AH130" s="86">
        <f t="shared" si="79"/>
        <v>175.84346377818542</v>
      </c>
      <c r="AJ130" s="86" t="str">
        <f t="shared" si="80"/>
        <v>9999.61933853002-61.6965946920812j</v>
      </c>
      <c r="AK130" s="86" t="str">
        <f t="shared" si="81"/>
        <v>20000-5.25097390069172E-06j</v>
      </c>
      <c r="AL130" s="86" t="str">
        <f t="shared" si="95"/>
        <v>10000-1692807.66901506j</v>
      </c>
      <c r="AM130" s="86" t="str">
        <f t="shared" si="96"/>
        <v>963.123134435021-525358.027971052j</v>
      </c>
      <c r="AN130" s="86" t="str">
        <f t="shared" si="97"/>
        <v>10963.123134435-525358.027971052j</v>
      </c>
      <c r="AO130" s="86" t="str">
        <f t="shared" si="98"/>
        <v>19955.2814141565-758.749946611173j</v>
      </c>
      <c r="AP130" s="86" t="str">
        <f t="shared" si="99"/>
        <v>0.666672306214996+0.00137106437433556j</v>
      </c>
      <c r="AQ130" s="86" t="str">
        <f t="shared" si="82"/>
        <v>1+0.764016702550645j</v>
      </c>
      <c r="AR130" s="86">
        <f t="shared" si="83"/>
        <v>-2.0354952943579547E-8</v>
      </c>
      <c r="AS130" s="86" t="str">
        <f t="shared" si="84"/>
        <v>0.0000639019894331629j</v>
      </c>
      <c r="AT130" s="86" t="str">
        <f t="shared" si="85"/>
        <v>-2.03549529435795E-08+0.0000639019894331629j</v>
      </c>
      <c r="AU130" s="86" t="str">
        <f t="shared" si="86"/>
        <v>1.79266271181012-2.34791578315524j</v>
      </c>
      <c r="AW130" s="86" t="str">
        <f t="shared" si="100"/>
        <v>1.1839794532001-1.57364355607968j</v>
      </c>
      <c r="AX130" s="86">
        <f t="shared" si="87"/>
        <v>5.8862587800420325</v>
      </c>
      <c r="AY130" s="86">
        <f t="shared" si="88"/>
        <v>126.95710613310072</v>
      </c>
      <c r="AZ130" s="86" t="str">
        <f t="shared" si="89"/>
        <v>2.70132875291926-3.86101976195151j</v>
      </c>
      <c r="BA130" s="86">
        <f t="shared" si="90"/>
        <v>13.464439444034394</v>
      </c>
      <c r="BB130" s="86">
        <f t="shared" si="91"/>
        <v>124.9782232664078</v>
      </c>
      <c r="BD130" s="86" t="str">
        <f t="shared" si="92"/>
        <v>1.66081764612489-2.57702823387487j</v>
      </c>
      <c r="BE130" s="86">
        <f t="shared" si="93"/>
        <v>9.7309965920469779</v>
      </c>
      <c r="BF130" s="86">
        <f t="shared" si="94"/>
        <v>122.80056991128598</v>
      </c>
      <c r="BH130" s="86">
        <f t="shared" si="101"/>
        <v>-8.7309965920469779</v>
      </c>
      <c r="BI130" s="159">
        <f t="shared" si="102"/>
        <v>-122.80056991128598</v>
      </c>
      <c r="BJ130" s="88"/>
      <c r="BK130" s="88"/>
      <c r="BL130" s="88"/>
      <c r="BM130" s="88"/>
      <c r="BN130" s="42"/>
      <c r="BO130" s="42"/>
      <c r="BP130" s="42"/>
    </row>
    <row r="131" spans="1:68" s="86" customFormat="1">
      <c r="A131" s="86">
        <v>67</v>
      </c>
      <c r="B131" s="86">
        <f t="shared" si="52"/>
        <v>2187.7616239495537</v>
      </c>
      <c r="C131" s="86" t="str">
        <f t="shared" si="53"/>
        <v>13746.1116912112j</v>
      </c>
      <c r="D131" s="86">
        <f t="shared" si="54"/>
        <v>0.99992341918522842</v>
      </c>
      <c r="E131" s="86" t="str">
        <f t="shared" si="55"/>
        <v>-0.0137461116912112j</v>
      </c>
      <c r="F131" s="86" t="str">
        <f t="shared" si="56"/>
        <v>0.999923419185228-0.0137461116912112j</v>
      </c>
      <c r="G131" s="86">
        <f t="shared" si="57"/>
        <v>1.5547386724193145E-4</v>
      </c>
      <c r="H131" s="86">
        <f t="shared" si="58"/>
        <v>-0.78760489129873057</v>
      </c>
      <c r="J131" s="86">
        <f t="shared" si="59"/>
        <v>17.283950617283953</v>
      </c>
      <c r="K131" s="86" t="str">
        <f t="shared" si="60"/>
        <v>1+0.165984298671375j</v>
      </c>
      <c r="L131" s="86">
        <f t="shared" si="61"/>
        <v>0.99436632417648374</v>
      </c>
      <c r="M131" s="86" t="str">
        <f t="shared" si="62"/>
        <v>0.0370211637708361j</v>
      </c>
      <c r="N131" s="86" t="str">
        <f t="shared" si="63"/>
        <v>0.994366324176484+0.0370211637708361j</v>
      </c>
      <c r="O131" s="86" t="str">
        <f t="shared" si="64"/>
        <v>1.0104796854449+0.129303619424059j</v>
      </c>
      <c r="P131" s="86" t="str">
        <f t="shared" si="65"/>
        <v>17.4650809829983+2.23487737276151j</v>
      </c>
      <c r="R131" s="86">
        <f t="shared" si="66"/>
        <v>6.9135802469135808</v>
      </c>
      <c r="S131" s="86" t="str">
        <f t="shared" si="67"/>
        <v>1+0.00103095837684084j</v>
      </c>
      <c r="T131" s="86" t="str">
        <f t="shared" si="68"/>
        <v>0.994366324176484+0.0370211637708361j</v>
      </c>
      <c r="U131" s="86" t="str">
        <f t="shared" si="69"/>
        <v>1.00431207707424-0.0363546538399636j</v>
      </c>
      <c r="V131" s="86" t="str">
        <f t="shared" si="70"/>
        <v>6.94339213779721-0.251340816671353j</v>
      </c>
      <c r="X131" s="86" t="str">
        <f t="shared" si="71"/>
        <v>0.536455115990055+0.0611638661255275j</v>
      </c>
      <c r="Y131" s="86">
        <f t="shared" si="72"/>
        <v>-5.3532403211933204</v>
      </c>
      <c r="Z131" s="86">
        <f t="shared" si="73"/>
        <v>-173.49551626346795</v>
      </c>
      <c r="AB131" s="86" t="str">
        <f t="shared" si="74"/>
        <v>2.39229332200841-0.0865975801651575j</v>
      </c>
      <c r="AC131" s="86">
        <f t="shared" si="75"/>
        <v>7.5819755507812889</v>
      </c>
      <c r="AD131" s="86">
        <f t="shared" si="76"/>
        <v>177.92688030266905</v>
      </c>
      <c r="AF131" s="86" t="str">
        <f t="shared" si="77"/>
        <v>1.55231763186569-0.118157260889397j</v>
      </c>
      <c r="AG131" s="86">
        <f t="shared" si="78"/>
        <v>3.8447011281420993</v>
      </c>
      <c r="AH131" s="86">
        <f t="shared" si="79"/>
        <v>175.64722895526154</v>
      </c>
      <c r="AJ131" s="86" t="str">
        <f t="shared" si="80"/>
        <v>9999.58261453093-64.6040283578728j</v>
      </c>
      <c r="AK131" s="86" t="str">
        <f t="shared" si="81"/>
        <v>20000-5.49844467648448E-06j</v>
      </c>
      <c r="AL131" s="86" t="str">
        <f t="shared" si="95"/>
        <v>10000-1616618.77346962j</v>
      </c>
      <c r="AM131" s="86" t="str">
        <f t="shared" si="96"/>
        <v>963.121592195433-501713.38323515j</v>
      </c>
      <c r="AN131" s="86" t="str">
        <f t="shared" si="97"/>
        <v>10963.1215921954-501713.38323515j</v>
      </c>
      <c r="AO131" s="86" t="str">
        <f t="shared" si="98"/>
        <v>19950.9834883174-794.242912105569j</v>
      </c>
      <c r="AP131" s="86" t="str">
        <f t="shared" si="99"/>
        <v>0.666672850298353+0.00143567830415268j</v>
      </c>
      <c r="AQ131" s="86" t="str">
        <f t="shared" si="82"/>
        <v>1+0.800023700428492j</v>
      </c>
      <c r="AR131" s="86">
        <f t="shared" si="83"/>
        <v>-3.196658170047351E-8</v>
      </c>
      <c r="AS131" s="86" t="str">
        <f t="shared" si="84"/>
        <v>0.0000669135974127117j</v>
      </c>
      <c r="AT131" s="86" t="str">
        <f t="shared" si="85"/>
        <v>-3.19665817004735E-08+0.0000669135974127117j</v>
      </c>
      <c r="AU131" s="86" t="str">
        <f t="shared" si="86"/>
        <v>1.79233926951846-2.24255309476437j</v>
      </c>
      <c r="AW131" s="86" t="str">
        <f t="shared" si="100"/>
        <v>1.18375628169597-1.50379439972743j</v>
      </c>
      <c r="AX131" s="86">
        <f t="shared" si="87"/>
        <v>5.6379856568646343</v>
      </c>
      <c r="AY131" s="86">
        <f t="shared" si="88"/>
        <v>128.20909973067589</v>
      </c>
      <c r="AZ131" s="86" t="str">
        <f t="shared" si="89"/>
        <v>2.70166729150447-3.70002772964175j</v>
      </c>
      <c r="BA131" s="86">
        <f t="shared" si="90"/>
        <v>13.219961207645927</v>
      </c>
      <c r="BB131" s="86">
        <f t="shared" si="91"/>
        <v>126.13598003334499</v>
      </c>
      <c r="BD131" s="86" t="str">
        <f t="shared" si="92"/>
        <v>1.65988152069582-2.47423596120358j</v>
      </c>
      <c r="BE131" s="86">
        <f t="shared" si="93"/>
        <v>9.4826867850067345</v>
      </c>
      <c r="BF131" s="86">
        <f t="shared" si="94"/>
        <v>123.85632868593754</v>
      </c>
      <c r="BH131" s="86">
        <f t="shared" si="101"/>
        <v>-8.4826867850067345</v>
      </c>
      <c r="BI131" s="159">
        <f t="shared" si="102"/>
        <v>-123.85632868593754</v>
      </c>
      <c r="BJ131" s="88"/>
      <c r="BK131" s="88"/>
      <c r="BL131" s="88"/>
      <c r="BM131" s="88"/>
      <c r="BN131" s="42"/>
      <c r="BO131" s="42"/>
      <c r="BP131" s="42"/>
    </row>
    <row r="132" spans="1:68" s="86" customFormat="1">
      <c r="A132" s="86">
        <v>68</v>
      </c>
      <c r="B132" s="86">
        <f t="shared" si="52"/>
        <v>2290.867652767774</v>
      </c>
      <c r="C132" s="86" t="str">
        <f t="shared" si="53"/>
        <v>14393.9459765635j</v>
      </c>
      <c r="D132" s="86">
        <f t="shared" si="54"/>
        <v>0.99991603080636005</v>
      </c>
      <c r="E132" s="86" t="str">
        <f t="shared" si="55"/>
        <v>-0.0143939459765635j</v>
      </c>
      <c r="F132" s="86" t="str">
        <f t="shared" si="56"/>
        <v>0.99991603080636-0.0143939459765635j</v>
      </c>
      <c r="G132" s="86">
        <f t="shared" si="57"/>
        <v>1.7047610535565234E-4</v>
      </c>
      <c r="H132" s="86">
        <f t="shared" si="58"/>
        <v>-0.82472464777844356</v>
      </c>
      <c r="J132" s="86">
        <f t="shared" si="59"/>
        <v>17.283950617283953</v>
      </c>
      <c r="K132" s="86" t="str">
        <f t="shared" si="60"/>
        <v>1+0.173806897667004j</v>
      </c>
      <c r="L132" s="86">
        <f t="shared" si="61"/>
        <v>0.99382279729537537</v>
      </c>
      <c r="M132" s="86" t="str">
        <f t="shared" si="62"/>
        <v>0.0387659174665102j</v>
      </c>
      <c r="N132" s="86" t="str">
        <f t="shared" si="63"/>
        <v>0.993822797295375+0.0387659174665102j</v>
      </c>
      <c r="O132" s="86" t="str">
        <f t="shared" si="64"/>
        <v>1.01149836942125+0.135431825197412j</v>
      </c>
      <c r="P132" s="86" t="str">
        <f t="shared" si="65"/>
        <v>17.4826878665401+2.3407969787207j</v>
      </c>
      <c r="R132" s="86">
        <f t="shared" si="66"/>
        <v>6.9135802469135808</v>
      </c>
      <c r="S132" s="86" t="str">
        <f t="shared" si="67"/>
        <v>1+0.00107954594824226j</v>
      </c>
      <c r="T132" s="86" t="str">
        <f t="shared" si="68"/>
        <v>0.993822797295375+0.0387659174665102j</v>
      </c>
      <c r="U132" s="86" t="str">
        <f t="shared" si="69"/>
        <v>1.0047292374823-0.0381050875983588j</v>
      </c>
      <c r="V132" s="86" t="str">
        <f t="shared" si="70"/>
        <v>6.94627620975417-0.263442580926925j</v>
      </c>
      <c r="X132" s="86" t="str">
        <f t="shared" si="71"/>
        <v>0.537082163605502+0.0640563136609958j</v>
      </c>
      <c r="Y132" s="86">
        <f t="shared" si="72"/>
        <v>-5.337843671707919</v>
      </c>
      <c r="Z132" s="86">
        <f t="shared" si="73"/>
        <v>-173.19861756695491</v>
      </c>
      <c r="AB132" s="86" t="str">
        <f t="shared" si="74"/>
        <v>2.3932870072196-0.090767151642408j</v>
      </c>
      <c r="AC132" s="86">
        <f t="shared" si="75"/>
        <v>7.586137895512703</v>
      </c>
      <c r="AD132" s="86">
        <f t="shared" si="76"/>
        <v>177.82805680756192</v>
      </c>
      <c r="AF132" s="86" t="str">
        <f t="shared" si="77"/>
        <v>1.5518764915677-0.123724445870418j</v>
      </c>
      <c r="AG132" s="86">
        <f t="shared" si="78"/>
        <v>3.8446602996196355</v>
      </c>
      <c r="AH132" s="86">
        <f t="shared" si="79"/>
        <v>175.44169513839617</v>
      </c>
      <c r="AJ132" s="86" t="str">
        <f t="shared" si="80"/>
        <v>9999.54234777668-67.6484500018005j</v>
      </c>
      <c r="AK132" s="86" t="str">
        <f t="shared" si="81"/>
        <v>20000-0.0000057575783906254j</v>
      </c>
      <c r="AL132" s="86" t="str">
        <f t="shared" si="95"/>
        <v>10000-1543858.94308655j</v>
      </c>
      <c r="AM132" s="86" t="str">
        <f t="shared" si="96"/>
        <v>963.119901169031-479132.939849703j</v>
      </c>
      <c r="AN132" s="86" t="str">
        <f t="shared" si="97"/>
        <v>10963.119901169-479132.939849703j</v>
      </c>
      <c r="AO132" s="86" t="str">
        <f t="shared" si="98"/>
        <v>19946.2742182158-831.369442175366j</v>
      </c>
      <c r="AP132" s="86" t="str">
        <f t="shared" si="99"/>
        <v>0.666673446871848+0.00150333704748755j</v>
      </c>
      <c r="AQ132" s="86" t="str">
        <f t="shared" si="82"/>
        <v>1+0.837727655835996j</v>
      </c>
      <c r="AR132" s="86">
        <f t="shared" si="83"/>
        <v>-4.469847945411833E-8</v>
      </c>
      <c r="AS132" s="86" t="str">
        <f t="shared" si="84"/>
        <v>0.0000700671381036353j</v>
      </c>
      <c r="AT132" s="86" t="str">
        <f t="shared" si="85"/>
        <v>-4.46984794541183E-08+0.0000700671381036353j</v>
      </c>
      <c r="AU132" s="86" t="str">
        <f t="shared" si="86"/>
        <v>1.7920441735792-2.1419470769263j</v>
      </c>
      <c r="AW132" s="86" t="str">
        <f t="shared" si="100"/>
        <v>1.18355128055038-1.43713492344823j</v>
      </c>
      <c r="AX132" s="86">
        <f t="shared" si="87"/>
        <v>5.3984740603454551</v>
      </c>
      <c r="AY132" s="86">
        <f t="shared" si="88"/>
        <v>129.47313458184507</v>
      </c>
      <c r="AZ132" s="86" t="str">
        <f t="shared" si="89"/>
        <v>2.70213325859212-3.54690391846847j</v>
      </c>
      <c r="BA132" s="86">
        <f t="shared" si="90"/>
        <v>12.984611955858167</v>
      </c>
      <c r="BB132" s="86">
        <f t="shared" si="91"/>
        <v>127.30119138940699</v>
      </c>
      <c r="BD132" s="86" t="str">
        <f t="shared" si="92"/>
        <v>1.65891668680632-2.37669012925558j</v>
      </c>
      <c r="BE132" s="86">
        <f t="shared" si="93"/>
        <v>9.243134359965099</v>
      </c>
      <c r="BF132" s="86">
        <f t="shared" si="94"/>
        <v>124.9148297202411</v>
      </c>
      <c r="BH132" s="86">
        <f t="shared" si="101"/>
        <v>-8.243134359965099</v>
      </c>
      <c r="BI132" s="159">
        <f t="shared" si="102"/>
        <v>-124.9148297202411</v>
      </c>
      <c r="BJ132" s="88"/>
      <c r="BK132" s="88"/>
      <c r="BL132" s="88"/>
      <c r="BM132" s="88"/>
      <c r="BN132" s="42"/>
      <c r="BO132" s="42"/>
      <c r="BP132" s="42"/>
    </row>
    <row r="133" spans="1:68" s="86" customFormat="1">
      <c r="A133" s="86">
        <v>69</v>
      </c>
      <c r="B133" s="86">
        <f t="shared" si="52"/>
        <v>2398.8329190194918</v>
      </c>
      <c r="C133" s="86" t="str">
        <f t="shared" si="53"/>
        <v>15072.311751162j</v>
      </c>
      <c r="D133" s="86">
        <f t="shared" si="54"/>
        <v>0.99990792961002606</v>
      </c>
      <c r="E133" s="86" t="str">
        <f t="shared" si="55"/>
        <v>-0.015072311751162j</v>
      </c>
      <c r="F133" s="86" t="str">
        <f t="shared" si="56"/>
        <v>0.999907929610026-0.015072311751162j</v>
      </c>
      <c r="G133" s="86">
        <f t="shared" si="57"/>
        <v>1.8692621771733848E-4</v>
      </c>
      <c r="H133" s="86">
        <f t="shared" si="58"/>
        <v>-0.86359396468834448</v>
      </c>
      <c r="J133" s="86">
        <f t="shared" si="59"/>
        <v>17.283950617283953</v>
      </c>
      <c r="K133" s="86" t="str">
        <f t="shared" si="60"/>
        <v>1+0.181998164395281j</v>
      </c>
      <c r="L133" s="86">
        <f t="shared" si="61"/>
        <v>0.99322683192122241</v>
      </c>
      <c r="M133" s="86" t="str">
        <f t="shared" si="62"/>
        <v>0.0405928988705678j</v>
      </c>
      <c r="N133" s="86" t="str">
        <f t="shared" si="63"/>
        <v>0.993226831921222+0.0405928988705678j</v>
      </c>
      <c r="O133" s="86" t="str">
        <f t="shared" si="64"/>
        <v>1.01261688578705+0.141853909930489j</v>
      </c>
      <c r="P133" s="86" t="str">
        <f t="shared" si="65"/>
        <v>17.5020202481712+2.45179597410722j</v>
      </c>
      <c r="R133" s="86">
        <f t="shared" si="66"/>
        <v>6.9135802469135808</v>
      </c>
      <c r="S133" s="86" t="str">
        <f t="shared" si="67"/>
        <v>1+0.00113042338133715j</v>
      </c>
      <c r="T133" s="86" t="str">
        <f t="shared" si="68"/>
        <v>0.993226831921222+0.0405928988705678j</v>
      </c>
      <c r="U133" s="86" t="str">
        <f t="shared" si="69"/>
        <v>1.005186874342-0.0399435702699548j</v>
      </c>
      <c r="V133" s="86" t="str">
        <f t="shared" si="70"/>
        <v>6.94944011890766-0.276153078409564j</v>
      </c>
      <c r="X133" s="86" t="str">
        <f t="shared" si="71"/>
        <v>0.537770573546586+0.0670865199299801j</v>
      </c>
      <c r="Y133" s="86">
        <f t="shared" si="72"/>
        <v>-5.3209932004505687</v>
      </c>
      <c r="Z133" s="86">
        <f t="shared" si="73"/>
        <v>-172.88912533673209</v>
      </c>
      <c r="AB133" s="86" t="str">
        <f t="shared" si="74"/>
        <v>2.39437710822342-0.0951464575556657j</v>
      </c>
      <c r="AC133" s="86">
        <f t="shared" si="75"/>
        <v>7.5907034199281886</v>
      </c>
      <c r="AD133" s="86">
        <f t="shared" si="76"/>
        <v>177.72440868640558</v>
      </c>
      <c r="AF133" s="86" t="str">
        <f t="shared" si="77"/>
        <v>1.55139254014918-0.129553775801635j</v>
      </c>
      <c r="AG133" s="86">
        <f t="shared" si="78"/>
        <v>3.8446148041240793</v>
      </c>
      <c r="AH133" s="86">
        <f t="shared" si="79"/>
        <v>175.22641659726369</v>
      </c>
      <c r="AJ133" s="86" t="str">
        <f t="shared" si="80"/>
        <v>9999.49819653135-70.8363104614522j</v>
      </c>
      <c r="AK133" s="86" t="str">
        <f t="shared" si="81"/>
        <v>20000-0.0000060289247004648j</v>
      </c>
      <c r="AL133" s="86" t="str">
        <f t="shared" si="95"/>
        <v>10000-1474373.84451055j</v>
      </c>
      <c r="AM133" s="86" t="str">
        <f t="shared" si="96"/>
        <v>963.11804700228-457568.801666691j</v>
      </c>
      <c r="AN133" s="86" t="str">
        <f t="shared" si="97"/>
        <v>10963.1180470023-457568.801666691j</v>
      </c>
      <c r="AO133" s="86" t="str">
        <f t="shared" si="98"/>
        <v>19941.1145835711-870.200776807577j</v>
      </c>
      <c r="AP133" s="86" t="str">
        <f t="shared" si="99"/>
        <v>0.666674100999225+0.00157418405054703j</v>
      </c>
      <c r="AQ133" s="86" t="str">
        <f t="shared" si="82"/>
        <v>1+0.877208543917628j</v>
      </c>
      <c r="AR133" s="86">
        <f t="shared" si="83"/>
        <v>-5.8658727736512444E-8</v>
      </c>
      <c r="AS133" s="86" t="str">
        <f t="shared" si="84"/>
        <v>0.0000733693005885414j</v>
      </c>
      <c r="AT133" s="86" t="str">
        <f t="shared" si="85"/>
        <v>-5.86587277365124E-08+0.0000733693005885414j</v>
      </c>
      <c r="AU133" s="86" t="str">
        <f t="shared" si="86"/>
        <v>1.7917749189447-2.04588434172123j</v>
      </c>
      <c r="AW133" s="86" t="str">
        <f t="shared" si="100"/>
        <v>1.18336270955647-1.37352373897058j</v>
      </c>
      <c r="AX133" s="86">
        <f t="shared" si="87"/>
        <v>5.1678844212404531</v>
      </c>
      <c r="AY133" s="86">
        <f t="shared" si="88"/>
        <v>130.74662279941415</v>
      </c>
      <c r="AZ133" s="86" t="str">
        <f t="shared" si="89"/>
        <v>2.70273066435559-3.40132656801037j</v>
      </c>
      <c r="BA133" s="86">
        <f t="shared" si="90"/>
        <v>12.758587841168644</v>
      </c>
      <c r="BB133" s="86">
        <f t="shared" si="91"/>
        <v>128.47103148581976</v>
      </c>
      <c r="BD133" s="86" t="str">
        <f t="shared" si="92"/>
        <v>1.65791489335981-2.28418358952266j</v>
      </c>
      <c r="BE133" s="86">
        <f t="shared" si="93"/>
        <v>9.0124992253645289</v>
      </c>
      <c r="BF133" s="86">
        <f t="shared" si="94"/>
        <v>125.97303939667786</v>
      </c>
      <c r="BH133" s="86">
        <f t="shared" si="101"/>
        <v>-8.0124992253645289</v>
      </c>
      <c r="BI133" s="159">
        <f t="shared" si="102"/>
        <v>-125.97303939667786</v>
      </c>
      <c r="BJ133" s="88"/>
      <c r="BK133" s="88"/>
      <c r="BL133" s="88"/>
      <c r="BM133" s="88"/>
      <c r="BN133" s="42"/>
      <c r="BO133" s="42"/>
      <c r="BP133" s="42"/>
    </row>
    <row r="134" spans="1:68" s="86" customFormat="1">
      <c r="A134" s="86">
        <v>70</v>
      </c>
      <c r="B134" s="86">
        <f t="shared" si="52"/>
        <v>2511.8864315095811</v>
      </c>
      <c r="C134" s="86" t="str">
        <f t="shared" si="53"/>
        <v>15782.6479197648j</v>
      </c>
      <c r="D134" s="86">
        <f t="shared" si="54"/>
        <v>0.99989904682488318</v>
      </c>
      <c r="E134" s="86" t="str">
        <f t="shared" si="55"/>
        <v>-0.0157826479197648j</v>
      </c>
      <c r="F134" s="86" t="str">
        <f t="shared" si="56"/>
        <v>0.999899046824883-0.0157826479197648j</v>
      </c>
      <c r="G134" s="86">
        <f t="shared" si="57"/>
        <v>2.0496399079836114E-4</v>
      </c>
      <c r="H134" s="86">
        <f t="shared" si="58"/>
        <v>-0.90429531999893054</v>
      </c>
      <c r="J134" s="86">
        <f t="shared" si="59"/>
        <v>17.283950617283953</v>
      </c>
      <c r="K134" s="86" t="str">
        <f t="shared" si="60"/>
        <v>1+0.19057547363116j</v>
      </c>
      <c r="L134" s="86">
        <f t="shared" si="61"/>
        <v>0.99257336888280734</v>
      </c>
      <c r="M134" s="86" t="str">
        <f t="shared" si="62"/>
        <v>0.0425059832555147j</v>
      </c>
      <c r="N134" s="86" t="str">
        <f t="shared" si="63"/>
        <v>0.992573368882807+0.0425059832555147j</v>
      </c>
      <c r="O134" s="86" t="str">
        <f t="shared" si="64"/>
        <v>1.01384518314911+0.148584469295743j</v>
      </c>
      <c r="P134" s="86" t="str">
        <f t="shared" si="65"/>
        <v>17.5232500791204+2.56812662980297j</v>
      </c>
      <c r="R134" s="86">
        <f t="shared" si="66"/>
        <v>6.9135802469135808</v>
      </c>
      <c r="S134" s="86" t="str">
        <f t="shared" si="67"/>
        <v>1+0.00118369859398236j</v>
      </c>
      <c r="T134" s="86" t="str">
        <f t="shared" si="68"/>
        <v>0.992573368882807+0.0425059832555147j</v>
      </c>
      <c r="U134" s="86" t="str">
        <f t="shared" si="69"/>
        <v>1.00568893891716-0.041875089446203j</v>
      </c>
      <c r="V134" s="86" t="str">
        <f t="shared" si="70"/>
        <v>6.95291118263716-0.289506791233008j</v>
      </c>
      <c r="X134" s="86" t="str">
        <f t="shared" si="71"/>
        <v>0.538526442665391+0.0702611850104255j</v>
      </c>
      <c r="Y134" s="86">
        <f t="shared" si="72"/>
        <v>-5.302554814836169</v>
      </c>
      <c r="Z134" s="86">
        <f t="shared" si="73"/>
        <v>-172.56664564193289</v>
      </c>
      <c r="AB134" s="86" t="str">
        <f t="shared" si="74"/>
        <v>2.39557303701666-0.0997473784567971j</v>
      </c>
      <c r="AC134" s="86">
        <f t="shared" si="75"/>
        <v>7.5957113468291348</v>
      </c>
      <c r="AD134" s="86">
        <f t="shared" si="76"/>
        <v>177.61568346685107</v>
      </c>
      <c r="AF134" s="86" t="str">
        <f t="shared" si="77"/>
        <v>1.55086159686566-0.135657565740735j</v>
      </c>
      <c r="AG134" s="86">
        <f t="shared" si="78"/>
        <v>3.8445640441912325</v>
      </c>
      <c r="AH134" s="86">
        <f t="shared" si="79"/>
        <v>175.00092549518766</v>
      </c>
      <c r="AJ134" s="86" t="str">
        <f t="shared" si="80"/>
        <v>9999.44978610163-74.1743638217424j</v>
      </c>
      <c r="AK134" s="86" t="str">
        <f t="shared" si="81"/>
        <v>20000-6.31305916790592E-06j</v>
      </c>
      <c r="AL134" s="86" t="str">
        <f t="shared" si="95"/>
        <v>10000-1408016.09053149j</v>
      </c>
      <c r="AM134" s="86" t="str">
        <f t="shared" si="96"/>
        <v>963.116013957073-436975.228257655j</v>
      </c>
      <c r="AN134" s="86" t="str">
        <f t="shared" si="97"/>
        <v>10963.1160139571-436975.228257655j</v>
      </c>
      <c r="AO134" s="86" t="str">
        <f t="shared" si="98"/>
        <v>19935.4619327052-910.810676099149j</v>
      </c>
      <c r="AP134" s="86" t="str">
        <f t="shared" si="99"/>
        <v>0.666674818232679+0.00164836951232995j</v>
      </c>
      <c r="AQ134" s="86" t="str">
        <f t="shared" si="82"/>
        <v>1+0.918550108930311j</v>
      </c>
      <c r="AR134" s="86">
        <f t="shared" si="83"/>
        <v>-7.3965835590904371E-8</v>
      </c>
      <c r="AS134" s="86" t="str">
        <f t="shared" si="84"/>
        <v>0.0000768270891967895j</v>
      </c>
      <c r="AT134" s="86" t="str">
        <f t="shared" si="85"/>
        <v>-7.39658355909044E-08+0.0000768270891967895j</v>
      </c>
      <c r="AU134" s="86" t="str">
        <f t="shared" si="86"/>
        <v>1.79152921992964-1.95416113672067j</v>
      </c>
      <c r="AW134" s="86" t="str">
        <f t="shared" si="100"/>
        <v>1.18318896798672-1.31282592263421j</v>
      </c>
      <c r="AX134" s="86">
        <f t="shared" si="87"/>
        <v>4.9463428525053326</v>
      </c>
      <c r="AY134" s="86">
        <f t="shared" si="88"/>
        <v>132.02686772305782</v>
      </c>
      <c r="AZ134" s="86" t="str">
        <f t="shared" si="89"/>
        <v>2.70346464525167-3.26299038033471j</v>
      </c>
      <c r="BA134" s="86">
        <f t="shared" si="90"/>
        <v>12.542054199334469</v>
      </c>
      <c r="BB134" s="86">
        <f t="shared" si="91"/>
        <v>129.64255118990894</v>
      </c>
      <c r="BD134" s="86" t="str">
        <f t="shared" si="92"/>
        <v>1.65686756337983-2.19651984199149j</v>
      </c>
      <c r="BE134" s="86">
        <f t="shared" si="93"/>
        <v>8.790906896696562</v>
      </c>
      <c r="BF134" s="86">
        <f t="shared" si="94"/>
        <v>127.02779321824562</v>
      </c>
      <c r="BH134" s="86">
        <f t="shared" si="101"/>
        <v>-7.790906896696562</v>
      </c>
      <c r="BI134" s="159">
        <f t="shared" si="102"/>
        <v>-127.02779321824562</v>
      </c>
      <c r="BJ134" s="88"/>
      <c r="BK134" s="88"/>
      <c r="BL134" s="88"/>
      <c r="BM134" s="88"/>
      <c r="BN134" s="42"/>
      <c r="BO134" s="42"/>
      <c r="BP134" s="42"/>
    </row>
    <row r="135" spans="1:68" s="86" customFormat="1">
      <c r="A135" s="86">
        <v>71</v>
      </c>
      <c r="B135" s="86">
        <f t="shared" si="52"/>
        <v>2630.2679918953822</v>
      </c>
      <c r="C135" s="86" t="str">
        <f t="shared" si="53"/>
        <v>16526.4612006218j</v>
      </c>
      <c r="D135" s="86">
        <f t="shared" si="54"/>
        <v>0.99988930704465295</v>
      </c>
      <c r="E135" s="86" t="str">
        <f t="shared" si="55"/>
        <v>-0.0165264612006218j</v>
      </c>
      <c r="F135" s="86" t="str">
        <f t="shared" si="56"/>
        <v>0.999889307044653-0.0165264612006218j</v>
      </c>
      <c r="G135" s="86">
        <f t="shared" si="57"/>
        <v>2.2474271726629339E-4</v>
      </c>
      <c r="H135" s="86">
        <f t="shared" si="58"/>
        <v>-0.94691508226121013</v>
      </c>
      <c r="J135" s="86">
        <f t="shared" si="59"/>
        <v>17.283950617283953</v>
      </c>
      <c r="K135" s="86" t="str">
        <f t="shared" si="60"/>
        <v>1+0.199557018997508j</v>
      </c>
      <c r="L135" s="86">
        <f t="shared" si="61"/>
        <v>0.99185686090919978</v>
      </c>
      <c r="M135" s="86" t="str">
        <f t="shared" si="62"/>
        <v>0.0445092285298228j</v>
      </c>
      <c r="N135" s="86" t="str">
        <f t="shared" si="63"/>
        <v>0.9918568609092+0.0445092285298228j</v>
      </c>
      <c r="O135" s="86" t="str">
        <f t="shared" si="64"/>
        <v>1.01519423504883+0.155638895965345j</v>
      </c>
      <c r="P135" s="86" t="str">
        <f t="shared" si="65"/>
        <v>17.5465670255353+2.69005499199362j</v>
      </c>
      <c r="R135" s="86">
        <f t="shared" si="66"/>
        <v>6.9135802469135808</v>
      </c>
      <c r="S135" s="86" t="str">
        <f t="shared" si="67"/>
        <v>1+0.00123948459004663j</v>
      </c>
      <c r="T135" s="86" t="str">
        <f t="shared" si="68"/>
        <v>0.9918568609092+0.0445092285298228j</v>
      </c>
      <c r="U135" s="86" t="str">
        <f t="shared" si="69"/>
        <v>1.00623977293323-0.043904995907693j</v>
      </c>
      <c r="V135" s="86" t="str">
        <f t="shared" si="70"/>
        <v>6.95671941780999-0.303540712448248j</v>
      </c>
      <c r="X135" s="86" t="str">
        <f t="shared" si="71"/>
        <v>0.539356492279793+0.073587353941819j</v>
      </c>
      <c r="Y135" s="86">
        <f t="shared" si="72"/>
        <v>-5.2823826638829852</v>
      </c>
      <c r="Z135" s="86">
        <f t="shared" si="73"/>
        <v>-172.23079366095914</v>
      </c>
      <c r="AB135" s="86" t="str">
        <f t="shared" si="74"/>
        <v>2.39688513568426-0.104582660022136j</v>
      </c>
      <c r="AC135" s="86">
        <f t="shared" si="75"/>
        <v>7.6012047489340464</v>
      </c>
      <c r="AD135" s="86">
        <f t="shared" si="76"/>
        <v>177.50161297617962</v>
      </c>
      <c r="AF135" s="86" t="str">
        <f t="shared" si="77"/>
        <v>1.55027906752364-0.142048703837764j</v>
      </c>
      <c r="AG135" s="86">
        <f t="shared" si="78"/>
        <v>3.8445073349495051</v>
      </c>
      <c r="AH135" s="86">
        <f t="shared" si="79"/>
        <v>174.76473068666118</v>
      </c>
      <c r="AJ135" s="86" t="str">
        <f t="shared" si="80"/>
        <v>9999.39670565972-77.669681592284j</v>
      </c>
      <c r="AK135" s="86" t="str">
        <f t="shared" si="81"/>
        <v>20000-6.61058448024872E-06j</v>
      </c>
      <c r="AL135" s="86" t="str">
        <f t="shared" si="95"/>
        <v>10000-1344644.92745647j</v>
      </c>
      <c r="AM135" s="86" t="str">
        <f t="shared" si="96"/>
        <v>963.11378477719-417308.537892123j</v>
      </c>
      <c r="AN135" s="86" t="str">
        <f t="shared" si="97"/>
        <v>10963.1137847772-417308.537892123j</v>
      </c>
      <c r="AO135" s="86" t="str">
        <f t="shared" si="98"/>
        <v>19929.269658697-953.275418604988j</v>
      </c>
      <c r="AP135" s="86" t="str">
        <f t="shared" si="99"/>
        <v>0.666675604659976+0.0017260507017478j</v>
      </c>
      <c r="AQ135" s="86" t="str">
        <f t="shared" si="82"/>
        <v>1+0.961840041876189j</v>
      </c>
      <c r="AR135" s="86">
        <f t="shared" si="83"/>
        <v>-9.0749745599255525E-8</v>
      </c>
      <c r="AS135" s="86" t="str">
        <f t="shared" si="84"/>
        <v>0.0000804478383616108j</v>
      </c>
      <c r="AT135" s="86" t="str">
        <f t="shared" si="85"/>
        <v>-9.07497455992555E-08+0.0000804478383616108j</v>
      </c>
      <c r="AU135" s="86" t="str">
        <f t="shared" si="86"/>
        <v>1.79130499080882-1.86658291298307j</v>
      </c>
      <c r="AW135" s="86" t="str">
        <f t="shared" si="100"/>
        <v>1.18302858100638-1.25491272927904j</v>
      </c>
      <c r="AX135" s="86">
        <f t="shared" si="87"/>
        <v>4.7339390890120452</v>
      </c>
      <c r="AY135" s="86">
        <f t="shared" si="88"/>
        <v>133.31108922629292</v>
      </c>
      <c r="AZ135" s="86" t="str">
        <f t="shared" si="89"/>
        <v>2.70434150958019-3.13160594327375j</v>
      </c>
      <c r="BA135" s="86">
        <f t="shared" si="90"/>
        <v>12.335143837946074</v>
      </c>
      <c r="BB135" s="86">
        <f t="shared" si="91"/>
        <v>130.81270220247256</v>
      </c>
      <c r="BD135" s="86" t="str">
        <f t="shared" si="92"/>
        <v>1.65576571879278-2.11351261230524j</v>
      </c>
      <c r="BE135" s="86">
        <f t="shared" si="93"/>
        <v>8.5784464239615303</v>
      </c>
      <c r="BF135" s="86">
        <f t="shared" si="94"/>
        <v>128.07581991295399</v>
      </c>
      <c r="BH135" s="86">
        <f t="shared" si="101"/>
        <v>-7.5784464239615303</v>
      </c>
      <c r="BI135" s="159">
        <f t="shared" si="102"/>
        <v>-128.07581991295399</v>
      </c>
      <c r="BJ135" s="88"/>
      <c r="BK135" s="88"/>
      <c r="BL135" s="88"/>
      <c r="BM135" s="88"/>
      <c r="BN135" s="42"/>
      <c r="BO135" s="42"/>
      <c r="BP135" s="42"/>
    </row>
    <row r="136" spans="1:68" s="86" customFormat="1">
      <c r="A136" s="86">
        <v>72</v>
      </c>
      <c r="B136" s="86">
        <f t="shared" si="52"/>
        <v>2754.2287033381667</v>
      </c>
      <c r="C136" s="86" t="str">
        <f t="shared" si="53"/>
        <v>17305.3293214267j</v>
      </c>
      <c r="D136" s="86">
        <f t="shared" si="54"/>
        <v>0.99987862758799528</v>
      </c>
      <c r="E136" s="86" t="str">
        <f t="shared" si="55"/>
        <v>-0.0173053293214267j</v>
      </c>
      <c r="F136" s="86" t="str">
        <f t="shared" si="56"/>
        <v>0.999878627587995-0.0173053293214267j</v>
      </c>
      <c r="G136" s="86">
        <f t="shared" si="57"/>
        <v>2.4643050304232645E-4</v>
      </c>
      <c r="H136" s="86">
        <f t="shared" si="58"/>
        <v>-0.99154369448422031</v>
      </c>
      <c r="J136" s="86">
        <f t="shared" si="59"/>
        <v>17.283950617283953</v>
      </c>
      <c r="K136" s="86" t="str">
        <f t="shared" si="60"/>
        <v>1+0.208961851556227j</v>
      </c>
      <c r="L136" s="86">
        <f t="shared" si="61"/>
        <v>0.99107122553877636</v>
      </c>
      <c r="M136" s="86" t="str">
        <f t="shared" si="62"/>
        <v>0.0466068838452992j</v>
      </c>
      <c r="N136" s="86" t="str">
        <f t="shared" si="63"/>
        <v>0.991071225538776+0.0466068838452992j</v>
      </c>
      <c r="O136" s="86" t="str">
        <f t="shared" si="64"/>
        <v>1.01667615233759+0.163033432968558j</v>
      </c>
      <c r="P136" s="86" t="str">
        <f t="shared" si="65"/>
        <v>17.5721804107732+2.81786180439483j</v>
      </c>
      <c r="R136" s="86">
        <f t="shared" si="66"/>
        <v>6.9135802469135808</v>
      </c>
      <c r="S136" s="86" t="str">
        <f t="shared" si="67"/>
        <v>1+0.001297899699107j</v>
      </c>
      <c r="T136" s="86" t="str">
        <f t="shared" si="68"/>
        <v>0.991071225538776+0.0466068838452992j</v>
      </c>
      <c r="U136" s="86" t="str">
        <f t="shared" si="69"/>
        <v>1.00684414809026-0.0460390407727256j</v>
      </c>
      <c r="V136" s="86" t="str">
        <f t="shared" si="70"/>
        <v>6.96089781395735-0.318294602873165j</v>
      </c>
      <c r="X136" s="86" t="str">
        <f t="shared" si="71"/>
        <v>0.540268135916148+0.0770724368825184j</v>
      </c>
      <c r="Y136" s="86">
        <f t="shared" si="72"/>
        <v>-5.2603182212624064</v>
      </c>
      <c r="Z136" s="86">
        <f t="shared" si="73"/>
        <v>-171.88119775303522</v>
      </c>
      <c r="AB136" s="86" t="str">
        <f t="shared" si="74"/>
        <v>2.39832477052004-0.109666001541195j</v>
      </c>
      <c r="AC136" s="86">
        <f t="shared" si="75"/>
        <v>7.6072309336411337</v>
      </c>
      <c r="AD136" s="86">
        <f t="shared" si="76"/>
        <v>177.38191201611812</v>
      </c>
      <c r="AF136" s="86" t="str">
        <f t="shared" si="77"/>
        <v>1.54963990258041-0.148740676886876j</v>
      </c>
      <c r="AG136" s="86">
        <f t="shared" si="78"/>
        <v>3.8444438896707744</v>
      </c>
      <c r="AH136" s="86">
        <f t="shared" si="79"/>
        <v>174.51731643499443</v>
      </c>
      <c r="AJ136" s="86" t="str">
        <f t="shared" si="80"/>
        <v>9999.33850476025-81.3296675360103j</v>
      </c>
      <c r="AK136" s="86" t="str">
        <f t="shared" si="81"/>
        <v>20000-6.92213172857068E-06j</v>
      </c>
      <c r="AL136" s="86" t="str">
        <f t="shared" si="95"/>
        <v>10000-1284125.93655225j</v>
      </c>
      <c r="AM136" s="86" t="str">
        <f t="shared" si="96"/>
        <v>963.111340541923-398527.014882778j</v>
      </c>
      <c r="AN136" s="86" t="str">
        <f t="shared" si="97"/>
        <v>10963.1113405419-398527.014882778j</v>
      </c>
      <c r="AO136" s="86" t="str">
        <f t="shared" si="98"/>
        <v>19922.4868495148-997.673782691668j</v>
      </c>
      <c r="AP136" s="86" t="str">
        <f t="shared" si="99"/>
        <v>0.666676466956095+0.00180739228952359j</v>
      </c>
      <c r="AQ136" s="86" t="str">
        <f t="shared" si="82"/>
        <v>1+1.00717016650703j</v>
      </c>
      <c r="AR136" s="86">
        <f t="shared" si="83"/>
        <v>-1.0915293696944483E-7</v>
      </c>
      <c r="AS136" s="86" t="str">
        <f t="shared" si="84"/>
        <v>0.0000842392281774273j</v>
      </c>
      <c r="AT136" s="86" t="str">
        <f t="shared" si="85"/>
        <v>-1.09152936969445E-07+0.0000842392281774273j</v>
      </c>
      <c r="AU136" s="86" t="str">
        <f t="shared" si="86"/>
        <v>1.79110032811197-1.78296391254765j</v>
      </c>
      <c r="AW136" s="86" t="str">
        <f t="shared" si="100"/>
        <v>1.18288018715559-1.19966131921782j</v>
      </c>
      <c r="AX136" s="86">
        <f t="shared" si="87"/>
        <v>4.5307249925433384</v>
      </c>
      <c r="AY136" s="86">
        <f t="shared" si="88"/>
        <v>134.59645104146469</v>
      </c>
      <c r="AZ136" s="86" t="str">
        <f t="shared" si="89"/>
        <v>2.70536879333037-3.0068991985425j</v>
      </c>
      <c r="BA136" s="86">
        <f t="shared" si="90"/>
        <v>12.137955926184457</v>
      </c>
      <c r="BB136" s="86">
        <f t="shared" si="91"/>
        <v>131.97836305758273</v>
      </c>
      <c r="BD136" s="86" t="str">
        <f t="shared" si="92"/>
        <v>1.65459990133262-2.03498544955579j</v>
      </c>
      <c r="BE136" s="86">
        <f t="shared" si="93"/>
        <v>8.3751688822141119</v>
      </c>
      <c r="BF136" s="86">
        <f t="shared" si="94"/>
        <v>129.11376747645897</v>
      </c>
      <c r="BH136" s="86">
        <f t="shared" si="101"/>
        <v>-7.3751688822141119</v>
      </c>
      <c r="BI136" s="159">
        <f t="shared" si="102"/>
        <v>-129.11376747645897</v>
      </c>
      <c r="BJ136" s="88"/>
      <c r="BK136" s="88"/>
      <c r="BL136" s="88"/>
      <c r="BM136" s="88"/>
      <c r="BN136" s="42"/>
      <c r="BO136" s="42"/>
      <c r="BP136" s="42"/>
    </row>
    <row r="137" spans="1:68" s="86" customFormat="1">
      <c r="A137" s="86">
        <v>73</v>
      </c>
      <c r="B137" s="86">
        <f t="shared" si="52"/>
        <v>2884.0315031266064</v>
      </c>
      <c r="C137" s="86" t="str">
        <f t="shared" si="53"/>
        <v>18120.904365888j</v>
      </c>
      <c r="D137" s="86">
        <f t="shared" si="54"/>
        <v>0.99986691779662362</v>
      </c>
      <c r="E137" s="86" t="str">
        <f t="shared" si="55"/>
        <v>-0.018120904365888j</v>
      </c>
      <c r="F137" s="86" t="str">
        <f t="shared" si="56"/>
        <v>0.999866917796624-0.018120904365888j</v>
      </c>
      <c r="G137" s="86">
        <f t="shared" si="57"/>
        <v>2.7021170133629283E-4</v>
      </c>
      <c r="H137" s="86">
        <f t="shared" si="58"/>
        <v>-1.0382758667552585</v>
      </c>
      <c r="J137" s="86">
        <f t="shared" si="59"/>
        <v>17.283950617283953</v>
      </c>
      <c r="K137" s="86" t="str">
        <f t="shared" si="60"/>
        <v>1+0.218809920218098j</v>
      </c>
      <c r="L137" s="86">
        <f t="shared" si="61"/>
        <v>0.99020979348498828</v>
      </c>
      <c r="M137" s="86" t="str">
        <f t="shared" si="62"/>
        <v>0.0488033986101045j</v>
      </c>
      <c r="N137" s="86" t="str">
        <f t="shared" si="63"/>
        <v>0.990209793484988+0.0488033986101045j</v>
      </c>
      <c r="O137" s="86" t="str">
        <f t="shared" si="64"/>
        <v>1.01830430922659+0.170785231797538j</v>
      </c>
      <c r="P137" s="86" t="str">
        <f t="shared" si="65"/>
        <v>17.6003213940398+2.95184351255004j</v>
      </c>
      <c r="R137" s="86">
        <f t="shared" si="66"/>
        <v>6.9135802469135808</v>
      </c>
      <c r="S137" s="86" t="str">
        <f t="shared" si="67"/>
        <v>1+0.0013590678274416j</v>
      </c>
      <c r="T137" s="86" t="str">
        <f t="shared" si="68"/>
        <v>0.990209793484988+0.0488033986101045j</v>
      </c>
      <c r="U137" s="86" t="str">
        <f t="shared" si="69"/>
        <v>1.00750730975036-0.0482834176428734j</v>
      </c>
      <c r="V137" s="86" t="str">
        <f t="shared" si="70"/>
        <v>6.96548263531113-0.333811282469248j</v>
      </c>
      <c r="X137" s="86" t="str">
        <f t="shared" si="71"/>
        <v>0.541269555156059+0.0807242306777068j</v>
      </c>
      <c r="Y137" s="86">
        <f t="shared" si="72"/>
        <v>-5.2361893176930909</v>
      </c>
      <c r="Z137" s="86">
        <f t="shared" si="73"/>
        <v>-171.51750415439511</v>
      </c>
      <c r="AB137" s="86" t="str">
        <f t="shared" si="74"/>
        <v>2.39990443609121-0.115012156308313j</v>
      </c>
      <c r="AC137" s="86">
        <f t="shared" si="75"/>
        <v>7.6138418676135853</v>
      </c>
      <c r="AD137" s="86">
        <f t="shared" si="76"/>
        <v>177.25627688267775</v>
      </c>
      <c r="AF137" s="86" t="str">
        <f t="shared" si="77"/>
        <v>1.54893855080424-0.155747596769159j</v>
      </c>
      <c r="AG137" s="86">
        <f t="shared" si="78"/>
        <v>3.8443728027098096</v>
      </c>
      <c r="AH137" s="86">
        <f t="shared" si="79"/>
        <v>174.25814104304339</v>
      </c>
      <c r="AJ137" s="86" t="str">
        <f t="shared" si="80"/>
        <v>9999.27468952168-85.1620731772214j</v>
      </c>
      <c r="AK137" s="86" t="str">
        <f t="shared" si="81"/>
        <v>20000-0.0000072483617463552j</v>
      </c>
      <c r="AL137" s="86" t="str">
        <f t="shared" si="95"/>
        <v>10000-1226330.74892525j</v>
      </c>
      <c r="AM137" s="86" t="str">
        <f t="shared" si="96"/>
        <v>963.108660505494-380590.821100917j</v>
      </c>
      <c r="AN137" s="86" t="str">
        <f t="shared" si="97"/>
        <v>10963.1086605055-380590.821100917j</v>
      </c>
      <c r="AO137" s="86" t="str">
        <f t="shared" si="98"/>
        <v>19915.0579106306-1044.08700782285j</v>
      </c>
      <c r="AP137" s="86" t="str">
        <f t="shared" si="99"/>
        <v>0.666677412439858+0.00189256669554054j</v>
      </c>
      <c r="AQ137" s="86" t="str">
        <f t="shared" si="82"/>
        <v>1+1.05463663409468j</v>
      </c>
      <c r="AR137" s="86">
        <f t="shared" si="83"/>
        <v>-1.2933163504630103E-7</v>
      </c>
      <c r="AS137" s="86" t="str">
        <f t="shared" si="84"/>
        <v>0.0000882093006903569j</v>
      </c>
      <c r="AT137" s="86" t="str">
        <f t="shared" si="85"/>
        <v>-1.29331635046301E-07+0.0000882093006903569j</v>
      </c>
      <c r="AU137" s="86" t="str">
        <f t="shared" si="86"/>
        <v>1.79091349446586-1.70312677455439j</v>
      </c>
      <c r="AW137" s="86" t="str">
        <f t="shared" si="100"/>
        <v>1.18274252679443-1.14695449771412j</v>
      </c>
      <c r="AX137" s="86">
        <f t="shared" si="87"/>
        <v>4.3367136740667567</v>
      </c>
      <c r="AY137" s="86">
        <f t="shared" si="88"/>
        <v>135.88008944147705</v>
      </c>
      <c r="AZ137" s="86" t="str">
        <f t="shared" si="89"/>
        <v>2.70655532683806-2.88861095542305j</v>
      </c>
      <c r="BA137" s="86">
        <f t="shared" si="90"/>
        <v>11.950555541680338</v>
      </c>
      <c r="BB137" s="86">
        <f t="shared" si="91"/>
        <v>133.13636632415484</v>
      </c>
      <c r="BD137" s="86" t="str">
        <f t="shared" si="92"/>
        <v>1.65336008880495-1.96077134367262j</v>
      </c>
      <c r="BE137" s="86">
        <f t="shared" si="93"/>
        <v>8.1810864767765246</v>
      </c>
      <c r="BF137" s="86">
        <f t="shared" si="94"/>
        <v>130.13823048452048</v>
      </c>
      <c r="BH137" s="86">
        <f t="shared" si="101"/>
        <v>-7.1810864767765246</v>
      </c>
      <c r="BI137" s="159">
        <f t="shared" si="102"/>
        <v>-130.13823048452048</v>
      </c>
      <c r="BJ137" s="88"/>
      <c r="BK137" s="88"/>
      <c r="BL137" s="88"/>
      <c r="BM137" s="88"/>
      <c r="BN137" s="42"/>
      <c r="BO137" s="42"/>
      <c r="BP137" s="42"/>
    </row>
    <row r="138" spans="1:68" s="86" customFormat="1">
      <c r="A138" s="86">
        <v>74</v>
      </c>
      <c r="B138" s="86">
        <f t="shared" si="52"/>
        <v>3019.9517204020162</v>
      </c>
      <c r="C138" s="86" t="str">
        <f t="shared" si="53"/>
        <v>18974.9162780217j</v>
      </c>
      <c r="D138" s="86">
        <f t="shared" si="54"/>
        <v>0.99985407826570305</v>
      </c>
      <c r="E138" s="86" t="str">
        <f t="shared" si="55"/>
        <v>-0.0189749162780217j</v>
      </c>
      <c r="F138" s="86" t="str">
        <f t="shared" si="56"/>
        <v>0.999854078265703-0.0189749162780217j</v>
      </c>
      <c r="G138" s="86">
        <f t="shared" si="57"/>
        <v>2.9628848586949857E-4</v>
      </c>
      <c r="H138" s="86">
        <f t="shared" si="58"/>
        <v>-1.087210778026485</v>
      </c>
      <c r="J138" s="86">
        <f t="shared" si="59"/>
        <v>17.283950617283953</v>
      </c>
      <c r="K138" s="86" t="str">
        <f t="shared" si="60"/>
        <v>1+0.229122114057112j</v>
      </c>
      <c r="L138" s="86">
        <f t="shared" si="61"/>
        <v>0.98926525202055049</v>
      </c>
      <c r="M138" s="86" t="str">
        <f t="shared" si="62"/>
        <v>0.0511034319265486j</v>
      </c>
      <c r="N138" s="86" t="str">
        <f t="shared" si="63"/>
        <v>0.98926525202055+0.0511034319265486j</v>
      </c>
      <c r="O138" s="86" t="str">
        <f t="shared" si="64"/>
        <v>1.02009348493715+0.178912415784755j</v>
      </c>
      <c r="P138" s="86" t="str">
        <f t="shared" si="65"/>
        <v>17.6312454186668+3.09231335924268j</v>
      </c>
      <c r="R138" s="86">
        <f t="shared" si="66"/>
        <v>6.9135802469135808</v>
      </c>
      <c r="S138" s="86" t="str">
        <f t="shared" si="67"/>
        <v>1+0.00142311872085163j</v>
      </c>
      <c r="T138" s="86" t="str">
        <f t="shared" si="68"/>
        <v>0.98926525202055+0.0511034319265486j</v>
      </c>
      <c r="U138" s="86" t="str">
        <f t="shared" si="69"/>
        <v>1.00823502527266-0.0506448105367104j</v>
      </c>
      <c r="V138" s="86" t="str">
        <f t="shared" si="70"/>
        <v>6.97051375497148-0.350136961735282j</v>
      </c>
      <c r="X138" s="86" t="str">
        <f t="shared" si="71"/>
        <v>0.542369784703367+0.0845509419397013j</v>
      </c>
      <c r="Y138" s="86">
        <f t="shared" si="72"/>
        <v>-5.2098091236694959</v>
      </c>
      <c r="Z138" s="86">
        <f t="shared" si="73"/>
        <v>-171.13938236906861</v>
      </c>
      <c r="AB138" s="86" t="str">
        <f t="shared" si="74"/>
        <v>2.40163787037331-0.120637045801847j</v>
      </c>
      <c r="AC138" s="86">
        <f t="shared" si="75"/>
        <v>7.6210946455813691</v>
      </c>
      <c r="AD138" s="86">
        <f t="shared" si="76"/>
        <v>177.12438370845422</v>
      </c>
      <c r="AF138" s="86" t="str">
        <f t="shared" si="77"/>
        <v>1.54816890798997-0.163084227757051j</v>
      </c>
      <c r="AG138" s="86">
        <f t="shared" si="78"/>
        <v>3.844293029337269</v>
      </c>
      <c r="AH138" s="86">
        <f t="shared" si="79"/>
        <v>173.9866353891984</v>
      </c>
      <c r="AJ138" s="86" t="str">
        <f t="shared" si="80"/>
        <v>9999.20471844021-89.1750140182252j</v>
      </c>
      <c r="AK138" s="86" t="str">
        <f t="shared" si="81"/>
        <v>20000-7.58996651120868E-06j</v>
      </c>
      <c r="AL138" s="86" t="str">
        <f t="shared" si="95"/>
        <v>10000-1171136.77323371j</v>
      </c>
      <c r="AM138" s="86" t="str">
        <f t="shared" si="96"/>
        <v>963.105721921139-363461.911474393j</v>
      </c>
      <c r="AN138" s="86" t="str">
        <f t="shared" si="97"/>
        <v>10963.1057219211-363461.911474393j</v>
      </c>
      <c r="AO138" s="86" t="str">
        <f t="shared" si="98"/>
        <v>19906.9221586662-1092.59873227944j</v>
      </c>
      <c r="AP138" s="86" t="str">
        <f t="shared" si="99"/>
        <v>0.666678449136027+0.00198175445234088j</v>
      </c>
      <c r="AQ138" s="86" t="str">
        <f t="shared" si="82"/>
        <v>1+1.10434012738086j</v>
      </c>
      <c r="AR138" s="86">
        <f t="shared" si="83"/>
        <v>-1.5145713751414042E-7</v>
      </c>
      <c r="AS138" s="86" t="str">
        <f t="shared" si="84"/>
        <v>0.0000923664769564796j</v>
      </c>
      <c r="AT138" s="86" t="str">
        <f t="shared" si="85"/>
        <v>-1.5145713751414E-07+0.0000923664769564796j</v>
      </c>
      <c r="AU138" s="86" t="str">
        <f t="shared" si="86"/>
        <v>1.79074290384618-1.62690215915719j</v>
      </c>
      <c r="AW138" s="86" t="str">
        <f t="shared" si="100"/>
        <v>1.18261443141245-1.09668046641406j</v>
      </c>
      <c r="AX138" s="86">
        <f t="shared" si="87"/>
        <v>4.1518792642517068</v>
      </c>
      <c r="AY138" s="86">
        <f t="shared" si="88"/>
        <v>137.15914255332098</v>
      </c>
      <c r="AZ138" s="86" t="str">
        <f t="shared" si="89"/>
        <v>2.70791131287335-2.7764964511669j</v>
      </c>
      <c r="BA138" s="86">
        <f t="shared" si="90"/>
        <v>11.77297390983307</v>
      </c>
      <c r="BB138" s="86">
        <f t="shared" si="91"/>
        <v>134.28352626177514</v>
      </c>
      <c r="BD138" s="86" t="str">
        <f t="shared" si="92"/>
        <v>1.65203560589161-1.89071236138343j</v>
      </c>
      <c r="BE138" s="86">
        <f t="shared" si="93"/>
        <v>7.9961722935889714</v>
      </c>
      <c r="BF138" s="86">
        <f t="shared" si="94"/>
        <v>131.14577794251932</v>
      </c>
      <c r="BH138" s="86">
        <f t="shared" si="101"/>
        <v>-6.9961722935889714</v>
      </c>
      <c r="BI138" s="159">
        <f t="shared" si="102"/>
        <v>-131.14577794251932</v>
      </c>
      <c r="BJ138" s="88"/>
      <c r="BK138" s="88"/>
      <c r="BL138" s="88"/>
      <c r="BM138" s="88"/>
      <c r="BN138" s="42"/>
      <c r="BO138" s="42"/>
      <c r="BP138" s="42"/>
    </row>
    <row r="139" spans="1:68" s="86" customFormat="1">
      <c r="A139" s="86">
        <v>75</v>
      </c>
      <c r="B139" s="86">
        <f t="shared" si="52"/>
        <v>3162.2776601683804</v>
      </c>
      <c r="C139" s="86" t="str">
        <f t="shared" si="53"/>
        <v>19869.1765315922j</v>
      </c>
      <c r="D139" s="86">
        <f t="shared" si="54"/>
        <v>0.99983999999999995</v>
      </c>
      <c r="E139" s="86" t="str">
        <f t="shared" si="55"/>
        <v>-0.0198691765315922j</v>
      </c>
      <c r="F139" s="86" t="str">
        <f t="shared" si="56"/>
        <v>0.99984-0.0198691765315922j</v>
      </c>
      <c r="G139" s="86">
        <f t="shared" si="57"/>
        <v>3.2488257723704817E-4</v>
      </c>
      <c r="H139" s="86">
        <f t="shared" si="58"/>
        <v>-1.1384522875125238</v>
      </c>
      <c r="J139" s="86">
        <f t="shared" si="59"/>
        <v>17.283950617283953</v>
      </c>
      <c r="K139" s="86" t="str">
        <f t="shared" si="60"/>
        <v>1+0.239920306618976j</v>
      </c>
      <c r="L139" s="86">
        <f t="shared" si="61"/>
        <v>0.98822958289944163</v>
      </c>
      <c r="M139" s="86" t="str">
        <f t="shared" si="62"/>
        <v>0.0535118624736647j</v>
      </c>
      <c r="N139" s="86" t="str">
        <f t="shared" si="63"/>
        <v>0.988229582899442+0.0535118624736647j</v>
      </c>
      <c r="O139" s="86" t="str">
        <f t="shared" si="64"/>
        <v>1.02206002319688+0.187434149334388j</v>
      </c>
      <c r="P139" s="86" t="str">
        <f t="shared" si="65"/>
        <v>17.665234968835+3.23960258108819j</v>
      </c>
      <c r="R139" s="86">
        <f t="shared" si="66"/>
        <v>6.9135802469135808</v>
      </c>
      <c r="S139" s="86" t="str">
        <f t="shared" si="67"/>
        <v>1+0.00149018823986941j</v>
      </c>
      <c r="T139" s="86" t="str">
        <f t="shared" si="68"/>
        <v>0.988229582899442+0.0535118624736647j</v>
      </c>
      <c r="U139" s="86" t="str">
        <f t="shared" si="69"/>
        <v>1.00903363752659-0.0531304485428443j</v>
      </c>
      <c r="V139" s="86" t="str">
        <f t="shared" si="70"/>
        <v>6.97603502487519-0.367321619555467j</v>
      </c>
      <c r="X139" s="86" t="str">
        <f t="shared" si="71"/>
        <v>0.543578807968099+0.0885612117427152j</v>
      </c>
      <c r="Y139" s="86">
        <f t="shared" si="72"/>
        <v>-5.1809750843198739</v>
      </c>
      <c r="Z139" s="86">
        <f t="shared" si="73"/>
        <v>-170.74653132881423</v>
      </c>
      <c r="AB139" s="86" t="str">
        <f t="shared" si="74"/>
        <v>2.40354018221995-0.12655788986889j</v>
      </c>
      <c r="AC139" s="86">
        <f t="shared" si="75"/>
        <v>7.6290520082826667</v>
      </c>
      <c r="AD139" s="86">
        <f t="shared" si="76"/>
        <v>176.98588660108464</v>
      </c>
      <c r="AF139" s="86" t="str">
        <f t="shared" si="77"/>
        <v>1.54732426016113-0.170766014632346j</v>
      </c>
      <c r="AG139" s="86">
        <f t="shared" si="78"/>
        <v>3.8442033618704712</v>
      </c>
      <c r="AH139" s="86">
        <f t="shared" si="79"/>
        <v>173.70220135994131</v>
      </c>
      <c r="AJ139" s="86" t="str">
        <f t="shared" si="80"/>
        <v>9999.12799780053-93.3769864946338j</v>
      </c>
      <c r="AK139" s="86" t="str">
        <f t="shared" si="81"/>
        <v>20000-7.94767061263688E-06j</v>
      </c>
      <c r="AL139" s="86" t="str">
        <f t="shared" si="95"/>
        <v>10000-1118426.93565527j</v>
      </c>
      <c r="AM139" s="86" t="str">
        <f t="shared" si="96"/>
        <v>963.102499848066-347103.953288955j</v>
      </c>
      <c r="AN139" s="86" t="str">
        <f t="shared" si="97"/>
        <v>10963.1024998481-347103.953288955j</v>
      </c>
      <c r="AO139" s="86" t="str">
        <f t="shared" si="98"/>
        <v>19898.0133847066-1143.29490334637j</v>
      </c>
      <c r="AP139" s="86" t="str">
        <f t="shared" si="99"/>
        <v>0.66667958584336+0.00207514458550218j</v>
      </c>
      <c r="AQ139" s="86" t="str">
        <f t="shared" si="82"/>
        <v>1+1.15638607413867j</v>
      </c>
      <c r="AR139" s="86">
        <f t="shared" si="83"/>
        <v>-1.7571726854883206E-7</v>
      </c>
      <c r="AS139" s="86" t="str">
        <f t="shared" si="84"/>
        <v>0.0000967195749040151j</v>
      </c>
      <c r="AT139" s="86" t="str">
        <f t="shared" si="85"/>
        <v>-1.75717268548832E-07+0.0000967195749040151j</v>
      </c>
      <c r="AU139" s="86" t="str">
        <f t="shared" si="86"/>
        <v>1.79058710811415-1.55412838843542j</v>
      </c>
      <c r="AW139" s="86" t="str">
        <f t="shared" si="100"/>
        <v>1.18249481371235-1.04873258620495j</v>
      </c>
      <c r="AX139" s="86">
        <f t="shared" si="87"/>
        <v>3.9761573402914721</v>
      </c>
      <c r="AY139" s="86">
        <f t="shared" si="88"/>
        <v>138.43077954830682</v>
      </c>
      <c r="AZ139" s="86" t="str">
        <f t="shared" si="89"/>
        <v>2.70944841687749-2.67032495975139j</v>
      </c>
      <c r="BA139" s="86">
        <f t="shared" si="90"/>
        <v>11.605209348574153</v>
      </c>
      <c r="BB139" s="86">
        <f t="shared" si="91"/>
        <v>135.41666614939143</v>
      </c>
      <c r="BD139" s="86" t="str">
        <f t="shared" si="92"/>
        <v>1.65061502861054-1.82465929971752j</v>
      </c>
      <c r="BE139" s="86">
        <f t="shared" si="93"/>
        <v>7.8203607021619401</v>
      </c>
      <c r="BF139" s="86">
        <f t="shared" si="94"/>
        <v>132.13298090824804</v>
      </c>
      <c r="BH139" s="86">
        <f t="shared" si="101"/>
        <v>-6.8203607021619401</v>
      </c>
      <c r="BI139" s="159">
        <f t="shared" si="102"/>
        <v>-132.13298090824804</v>
      </c>
      <c r="BJ139" s="88"/>
      <c r="BK139" s="88"/>
      <c r="BL139" s="88"/>
      <c r="BM139" s="88"/>
      <c r="BN139" s="42"/>
      <c r="BO139" s="42"/>
      <c r="BP139" s="42"/>
    </row>
    <row r="140" spans="1:68" s="86" customFormat="1">
      <c r="A140" s="86">
        <v>76</v>
      </c>
      <c r="B140" s="86">
        <f t="shared" si="52"/>
        <v>3311.3112148259129</v>
      </c>
      <c r="C140" s="86" t="str">
        <f t="shared" si="53"/>
        <v>20805.5819724932j</v>
      </c>
      <c r="D140" s="86">
        <f t="shared" si="54"/>
        <v>0.99982456348861704</v>
      </c>
      <c r="E140" s="86" t="str">
        <f t="shared" si="55"/>
        <v>-0.0208055819724932j</v>
      </c>
      <c r="F140" s="86" t="str">
        <f t="shared" si="56"/>
        <v>0.999824563488617-0.0208055819724932j</v>
      </c>
      <c r="G140" s="86">
        <f t="shared" si="57"/>
        <v>3.5623713708179201E-4</v>
      </c>
      <c r="H140" s="86">
        <f t="shared" si="58"/>
        <v>-1.1921091561675041</v>
      </c>
      <c r="J140" s="86">
        <f t="shared" si="59"/>
        <v>17.283950617283953</v>
      </c>
      <c r="K140" s="86" t="str">
        <f t="shared" si="60"/>
        <v>1+0.251227402317855j</v>
      </c>
      <c r="L140" s="86">
        <f t="shared" si="61"/>
        <v>0.98709399428972677</v>
      </c>
      <c r="M140" s="86" t="str">
        <f t="shared" si="62"/>
        <v>0.0560337988555481j</v>
      </c>
      <c r="N140" s="86" t="str">
        <f t="shared" si="63"/>
        <v>0.987093994289727+0.0560337988555481j</v>
      </c>
      <c r="O140" s="86" t="str">
        <f t="shared" si="64"/>
        <v>1.02422201220816+0.196370713654108j</v>
      </c>
      <c r="P140" s="86" t="str">
        <f t="shared" si="65"/>
        <v>17.702602680141+3.39406171747841j</v>
      </c>
      <c r="R140" s="86">
        <f t="shared" si="66"/>
        <v>6.9135802469135808</v>
      </c>
      <c r="S140" s="86" t="str">
        <f t="shared" si="67"/>
        <v>1+0.00156041864793699j</v>
      </c>
      <c r="T140" s="86" t="str">
        <f t="shared" si="68"/>
        <v>0.987093994289727+0.0560337988555481j</v>
      </c>
      <c r="U140" s="86" t="str">
        <f t="shared" si="69"/>
        <v>1.00991012418096-0.0557481682909004j</v>
      </c>
      <c r="V140" s="86" t="str">
        <f t="shared" si="70"/>
        <v>6.98209468569553-0.385419435097583j</v>
      </c>
      <c r="X140" s="86" t="str">
        <f t="shared" si="71"/>
        <v>0.544907664679049+0.0927641420310564j</v>
      </c>
      <c r="Y140" s="86">
        <f t="shared" si="72"/>
        <v>-5.1494678090867376</v>
      </c>
      <c r="Z140" s="86">
        <f t="shared" si="73"/>
        <v>-170.33868640095702</v>
      </c>
      <c r="AB140" s="86" t="str">
        <f t="shared" si="74"/>
        <v>2.4056279925908-0.132793355532519j</v>
      </c>
      <c r="AC140" s="86">
        <f t="shared" si="75"/>
        <v>7.6377829150815586</v>
      </c>
      <c r="AD140" s="86">
        <f t="shared" si="76"/>
        <v>176.84041554712411</v>
      </c>
      <c r="AF140" s="86" t="str">
        <f t="shared" si="77"/>
        <v>1.54639722061783-0.178809111546308j</v>
      </c>
      <c r="AG140" s="86">
        <f t="shared" si="78"/>
        <v>3.8441024013901277</v>
      </c>
      <c r="AH140" s="86">
        <f t="shared" si="79"/>
        <v>173.40421016930975</v>
      </c>
      <c r="AJ140" s="86" t="str">
        <f t="shared" si="80"/>
        <v>9999.04387664508-97.7768857003848j</v>
      </c>
      <c r="AK140" s="86" t="str">
        <f t="shared" si="81"/>
        <v>20000-8.32223278899728E-06j</v>
      </c>
      <c r="AL140" s="86" t="str">
        <f t="shared" si="95"/>
        <v>10000-1068089.43155745j</v>
      </c>
      <c r="AM140" s="86" t="str">
        <f t="shared" si="96"/>
        <v>963.098966939985-331482.249121641j</v>
      </c>
      <c r="AN140" s="86" t="str">
        <f t="shared" si="97"/>
        <v>10963.09896694-331482.249121641j</v>
      </c>
      <c r="AO140" s="86" t="str">
        <f t="shared" si="98"/>
        <v>19888.259386053-1196.26365547838j</v>
      </c>
      <c r="AP140" s="86" t="str">
        <f t="shared" si="99"/>
        <v>0.666680832209253+0.00217293501165051j</v>
      </c>
      <c r="AQ140" s="86" t="str">
        <f t="shared" si="82"/>
        <v>1+1.2108848707991j</v>
      </c>
      <c r="AR140" s="86">
        <f t="shared" si="83"/>
        <v>-2.0231797326395112E-7</v>
      </c>
      <c r="AS140" s="86" t="str">
        <f t="shared" si="84"/>
        <v>0.000101277828037342j</v>
      </c>
      <c r="AT140" s="86" t="str">
        <f t="shared" si="85"/>
        <v>-2.02317973263951E-07+0.000101277828037342j</v>
      </c>
      <c r="AU140" s="86" t="str">
        <f t="shared" si="86"/>
        <v>1.7904447847236-1.48465110354308j</v>
      </c>
      <c r="AW140" s="86" t="str">
        <f t="shared" si="100"/>
        <v>1.18238265838356-1.00300915099737j</v>
      </c>
      <c r="AX140" s="86">
        <f t="shared" si="87"/>
        <v>3.8094459936933895</v>
      </c>
      <c r="AY140" s="86">
        <f t="shared" si="88"/>
        <v>139.69222895948599</v>
      </c>
      <c r="AZ140" s="86" t="str">
        <f t="shared" si="89"/>
        <v>2.71117987017065-2.56987945119422j</v>
      </c>
      <c r="BA140" s="86">
        <f t="shared" si="90"/>
        <v>11.447228908774946</v>
      </c>
      <c r="BB140" s="86">
        <f t="shared" si="91"/>
        <v>136.53264450661004</v>
      </c>
      <c r="BD140" s="86" t="str">
        <f t="shared" si="92"/>
        <v>1.6490860814684-1.76247135600991j</v>
      </c>
      <c r="BE140" s="86">
        <f t="shared" si="93"/>
        <v>7.6535483950835159</v>
      </c>
      <c r="BF140" s="86">
        <f t="shared" si="94"/>
        <v>133.09643912879568</v>
      </c>
      <c r="BH140" s="86">
        <f t="shared" si="101"/>
        <v>-6.6535483950835159</v>
      </c>
      <c r="BI140" s="159">
        <f t="shared" si="102"/>
        <v>-133.09643912879568</v>
      </c>
      <c r="BJ140" s="88"/>
      <c r="BK140" s="88"/>
      <c r="BL140" s="88"/>
      <c r="BM140" s="88"/>
      <c r="BN140" s="42"/>
      <c r="BO140" s="42"/>
      <c r="BP140" s="42"/>
    </row>
    <row r="141" spans="1:68" s="86" customFormat="1">
      <c r="A141" s="86">
        <v>77</v>
      </c>
      <c r="B141" s="86">
        <f t="shared" si="52"/>
        <v>3467.3685045253178</v>
      </c>
      <c r="C141" s="86" t="str">
        <f t="shared" si="53"/>
        <v>21786.1188422107j</v>
      </c>
      <c r="D141" s="86">
        <f t="shared" si="54"/>
        <v>0.99980763769046122</v>
      </c>
      <c r="E141" s="86" t="str">
        <f t="shared" si="55"/>
        <v>-0.0217861188422107j</v>
      </c>
      <c r="F141" s="86" t="str">
        <f t="shared" si="56"/>
        <v>0.999807637690461-0.0217861188422107j</v>
      </c>
      <c r="G141" s="86">
        <f t="shared" si="57"/>
        <v>3.9061884679068067E-4</v>
      </c>
      <c r="H141" s="86">
        <f t="shared" si="58"/>
        <v>-1.2482952787332346</v>
      </c>
      <c r="J141" s="86">
        <f t="shared" si="59"/>
        <v>17.283950617283953</v>
      </c>
      <c r="K141" s="86" t="str">
        <f t="shared" si="60"/>
        <v>1+0.263067385019694j</v>
      </c>
      <c r="L141" s="86">
        <f t="shared" si="61"/>
        <v>0.98584884613938606</v>
      </c>
      <c r="M141" s="86" t="str">
        <f t="shared" si="62"/>
        <v>0.058674590437386j</v>
      </c>
      <c r="N141" s="86" t="str">
        <f t="shared" si="63"/>
        <v>0.985848846139386+0.058674590437386j</v>
      </c>
      <c r="O141" s="86" t="str">
        <f t="shared" si="64"/>
        <v>1.0265994881712+0.205743589701723j</v>
      </c>
      <c r="P141" s="86" t="str">
        <f t="shared" si="65"/>
        <v>17.74369485728+3.55606204422731j</v>
      </c>
      <c r="R141" s="86">
        <f t="shared" si="66"/>
        <v>6.9135802469135808</v>
      </c>
      <c r="S141" s="86" t="str">
        <f t="shared" si="67"/>
        <v>1+0.0016339589131658j</v>
      </c>
      <c r="T141" s="86" t="str">
        <f t="shared" si="68"/>
        <v>0.985848846139386+0.058674590437386j</v>
      </c>
      <c r="U141" s="86" t="str">
        <f t="shared" si="69"/>
        <v>1.01087216344128-0.0585064855400262j</v>
      </c>
      <c r="V141" s="86" t="str">
        <f t="shared" si="70"/>
        <v>6.98874582132243-0.40448928274586j</v>
      </c>
      <c r="X141" s="86" t="str">
        <f t="shared" si="71"/>
        <v>0.546368572292666+0.0971693238313983j</v>
      </c>
      <c r="Y141" s="86">
        <f t="shared" si="72"/>
        <v>-5.115049919908933</v>
      </c>
      <c r="Z141" s="86">
        <f t="shared" si="73"/>
        <v>-169.91562732656672</v>
      </c>
      <c r="AB141" s="86" t="str">
        <f t="shared" si="74"/>
        <v>2.40791959113921-0.139363727517179j</v>
      </c>
      <c r="AC141" s="86">
        <f t="shared" si="75"/>
        <v>7.6473631774905098</v>
      </c>
      <c r="AD141" s="86">
        <f t="shared" si="76"/>
        <v>176.68757404534557</v>
      </c>
      <c r="AF141" s="86" t="str">
        <f t="shared" si="77"/>
        <v>1.54537966010784-0.187230411520454j</v>
      </c>
      <c r="AG141" s="86">
        <f t="shared" si="78"/>
        <v>3.8439885241921354</v>
      </c>
      <c r="AH141" s="86">
        <f t="shared" si="79"/>
        <v>173.09200055452882</v>
      </c>
      <c r="AJ141" s="86" t="str">
        <f t="shared" si="80"/>
        <v>9998.9516412591-102.384023914374j</v>
      </c>
      <c r="AK141" s="86" t="str">
        <f t="shared" si="81"/>
        <v>20000-8.71444753688428E-06j</v>
      </c>
      <c r="AL141" s="86" t="str">
        <f t="shared" si="95"/>
        <v>10000-1020017.48834522j</v>
      </c>
      <c r="AM141" s="86" t="str">
        <f t="shared" si="96"/>
        <v>963.095093213087-316563.66324291j</v>
      </c>
      <c r="AN141" s="86" t="str">
        <f t="shared" si="97"/>
        <v>10963.0950932131-316563.66324291j</v>
      </c>
      <c r="AO141" s="86" t="str">
        <f t="shared" si="98"/>
        <v>19877.5814653799-1251.59515138391j</v>
      </c>
      <c r="AP141" s="86" t="str">
        <f t="shared" si="99"/>
        <v>0.666682198811568+0.00227533295489742j</v>
      </c>
      <c r="AQ141" s="86" t="str">
        <f t="shared" si="82"/>
        <v>1+1.26795211661666j</v>
      </c>
      <c r="AR141" s="86">
        <f t="shared" si="83"/>
        <v>-2.3148506598611847E-7</v>
      </c>
      <c r="AS141" s="86" t="str">
        <f t="shared" si="84"/>
        <v>0.00010605090502249j</v>
      </c>
      <c r="AT141" s="86" t="str">
        <f t="shared" si="85"/>
        <v>-2.31485065986118E-07+0.00010605090502249j</v>
      </c>
      <c r="AU141" s="86" t="str">
        <f t="shared" si="86"/>
        <v>1.79031472549422-1.41832293737115j</v>
      </c>
      <c r="AW141" s="86" t="str">
        <f t="shared" si="100"/>
        <v>1.18227701348766-0.959413171950934j</v>
      </c>
      <c r="AX141" s="86">
        <f t="shared" si="87"/>
        <v>3.6516075012384959</v>
      </c>
      <c r="AY141" s="86">
        <f t="shared" si="88"/>
        <v>140.94080541763418</v>
      </c>
      <c r="AZ141" s="86" t="str">
        <f t="shared" si="89"/>
        <v>2.71312058705833-2.47495630429518j</v>
      </c>
      <c r="BA141" s="86">
        <f t="shared" si="90"/>
        <v>11.298970678728999</v>
      </c>
      <c r="BB141" s="86">
        <f t="shared" si="91"/>
        <v>137.62837946297978</v>
      </c>
      <c r="BD141" s="86" t="str">
        <f t="shared" si="92"/>
        <v>1.64743552625435-1.70401581333898j</v>
      </c>
      <c r="BE141" s="86">
        <f t="shared" si="93"/>
        <v>7.4955960254305998</v>
      </c>
      <c r="BF141" s="86">
        <f t="shared" si="94"/>
        <v>134.03280597216306</v>
      </c>
      <c r="BH141" s="86">
        <f t="shared" si="101"/>
        <v>-6.4955960254305998</v>
      </c>
      <c r="BI141" s="159">
        <f t="shared" si="102"/>
        <v>-134.03280597216306</v>
      </c>
      <c r="BJ141" s="88"/>
      <c r="BK141" s="88"/>
      <c r="BL141" s="88"/>
      <c r="BM141" s="88"/>
      <c r="BN141" s="42"/>
      <c r="BO141" s="42"/>
      <c r="BP141" s="42"/>
    </row>
    <row r="142" spans="1:68" s="86" customFormat="1">
      <c r="A142" s="86">
        <v>78</v>
      </c>
      <c r="B142" s="86">
        <f t="shared" si="52"/>
        <v>3630.7805477010156</v>
      </c>
      <c r="C142" s="86" t="str">
        <f t="shared" si="53"/>
        <v>22812.8669909085j</v>
      </c>
      <c r="D142" s="86">
        <f t="shared" si="54"/>
        <v>0.999789078921831</v>
      </c>
      <c r="E142" s="86" t="str">
        <f t="shared" si="55"/>
        <v>-0.0228128669909085j</v>
      </c>
      <c r="F142" s="86" t="str">
        <f t="shared" si="56"/>
        <v>0.999789078921831-0.0228128669909085j</v>
      </c>
      <c r="G142" s="86">
        <f t="shared" si="57"/>
        <v>4.2832018875207229E-4</v>
      </c>
      <c r="H142" s="86">
        <f t="shared" si="58"/>
        <v>-1.307129926876784</v>
      </c>
      <c r="J142" s="86">
        <f t="shared" si="59"/>
        <v>17.283950617283953</v>
      </c>
      <c r="K142" s="86" t="str">
        <f t="shared" si="60"/>
        <v>1+0.27546536891522j</v>
      </c>
      <c r="L142" s="86">
        <f t="shared" si="61"/>
        <v>0.98448356834156925</v>
      </c>
      <c r="M142" s="86" t="str">
        <f t="shared" si="62"/>
        <v>0.0614398386921814j</v>
      </c>
      <c r="N142" s="86" t="str">
        <f t="shared" si="63"/>
        <v>0.984483568341569+0.0614398386921814j</v>
      </c>
      <c r="O142" s="86" t="str">
        <f t="shared" si="64"/>
        <v>1.02921466599138+0.215575549132424j</v>
      </c>
      <c r="P142" s="86" t="str">
        <f t="shared" si="65"/>
        <v>17.7888954615794+3.72599714549869j</v>
      </c>
      <c r="R142" s="86">
        <f t="shared" si="66"/>
        <v>6.9135802469135808</v>
      </c>
      <c r="S142" s="86" t="str">
        <f t="shared" si="67"/>
        <v>1+0.00171096502431814j</v>
      </c>
      <c r="T142" s="86" t="str">
        <f t="shared" si="68"/>
        <v>0.984483568341569+0.0614398386921814j</v>
      </c>
      <c r="U142" s="86" t="str">
        <f t="shared" si="69"/>
        <v>1.01192820699262-0.0614146774264897j</v>
      </c>
      <c r="V142" s="86" t="str">
        <f t="shared" si="70"/>
        <v>6.99604686315886-0.424595300726349j</v>
      </c>
      <c r="X142" s="86" t="str">
        <f t="shared" si="71"/>
        <v>0.547975063272244+0.101786867344065j</v>
      </c>
      <c r="Y142" s="86">
        <f t="shared" si="72"/>
        <v>-5.0774648626296246</v>
      </c>
      <c r="Z142" s="86">
        <f t="shared" si="73"/>
        <v>-169.47718717436965</v>
      </c>
      <c r="AB142" s="86" t="str">
        <f t="shared" si="74"/>
        <v>2.41043510996378-0.14629110416426j</v>
      </c>
      <c r="AC142" s="86">
        <f t="shared" si="75"/>
        <v>7.6578761606228287</v>
      </c>
      <c r="AD142" s="86">
        <f t="shared" si="76"/>
        <v>176.52693642720172</v>
      </c>
      <c r="AF142" s="86" t="str">
        <f t="shared" si="77"/>
        <v>1.54426262930455-0.196047576448786j</v>
      </c>
      <c r="AG142" s="86">
        <f t="shared" si="78"/>
        <v>3.843859841953944</v>
      </c>
      <c r="AH142" s="86">
        <f t="shared" si="79"/>
        <v>172.76487683586399</v>
      </c>
      <c r="AJ142" s="86" t="str">
        <f t="shared" si="80"/>
        <v>9998.85050912525-107.208149961527j</v>
      </c>
      <c r="AK142" s="86" t="str">
        <f t="shared" si="81"/>
        <v>20000-0.0000091251467963634j</v>
      </c>
      <c r="AL142" s="86" t="str">
        <f t="shared" si="95"/>
        <v>10000-974109.138981891j</v>
      </c>
      <c r="AM142" s="86" t="str">
        <f t="shared" si="96"/>
        <v>963.090845791824-302316.551331286j</v>
      </c>
      <c r="AN142" s="86" t="str">
        <f t="shared" si="97"/>
        <v>10963.0908457918-302316.551331286j</v>
      </c>
      <c r="AO142" s="86" t="str">
        <f t="shared" si="98"/>
        <v>19865.8938965333-1309.3813803411j</v>
      </c>
      <c r="AP142" s="86" t="str">
        <f t="shared" si="99"/>
        <v>0.666683697248327+0.00238255538252049j</v>
      </c>
      <c r="AQ142" s="86" t="str">
        <f t="shared" si="82"/>
        <v>1+1.32770885887087j</v>
      </c>
      <c r="AR142" s="86">
        <f t="shared" si="83"/>
        <v>-2.6346614720086631E-7</v>
      </c>
      <c r="AS142" s="86" t="str">
        <f t="shared" si="84"/>
        <v>0.000111048930195684j</v>
      </c>
      <c r="AT142" s="86" t="str">
        <f t="shared" si="85"/>
        <v>-2.63466147200866E-07+0.000111048930195684j</v>
      </c>
      <c r="AU142" s="86" t="str">
        <f t="shared" si="86"/>
        <v>1.79019582635541-1.35500320202952j</v>
      </c>
      <c r="AW142" s="86" t="str">
        <f t="shared" si="100"/>
        <v>1.18217698238241-0.917852171684932j</v>
      </c>
      <c r="AX142" s="86">
        <f t="shared" si="87"/>
        <v>3.5024705411045307</v>
      </c>
      <c r="AY142" s="86">
        <f t="shared" si="88"/>
        <v>142.1739341703331</v>
      </c>
      <c r="AZ142" s="86" t="str">
        <f t="shared" si="89"/>
        <v>2.71528729687024-2.38536507645615j</v>
      </c>
      <c r="BA142" s="86">
        <f t="shared" si="90"/>
        <v>11.160346701727342</v>
      </c>
      <c r="BB142" s="86">
        <f t="shared" si="91"/>
        <v>138.7008705975349</v>
      </c>
      <c r="BD142" s="86" t="str">
        <f t="shared" si="92"/>
        <v>1.64564904132009-1.64916774028867j</v>
      </c>
      <c r="BE142" s="86">
        <f t="shared" si="93"/>
        <v>7.3463303830584517</v>
      </c>
      <c r="BF142" s="86">
        <f t="shared" si="94"/>
        <v>134.93881100619711</v>
      </c>
      <c r="BH142" s="86">
        <f t="shared" si="101"/>
        <v>-6.3463303830584517</v>
      </c>
      <c r="BI142" s="159">
        <f t="shared" si="102"/>
        <v>-134.93881100619711</v>
      </c>
      <c r="BJ142" s="88"/>
      <c r="BK142" s="88"/>
      <c r="BL142" s="88"/>
      <c r="BM142" s="88"/>
      <c r="BN142" s="42"/>
      <c r="BO142" s="42"/>
      <c r="BP142" s="42"/>
    </row>
    <row r="143" spans="1:68" s="86" customFormat="1">
      <c r="A143" s="86">
        <v>79</v>
      </c>
      <c r="B143" s="86">
        <f t="shared" si="52"/>
        <v>3801.893963205614</v>
      </c>
      <c r="C143" s="86" t="str">
        <f t="shared" si="53"/>
        <v>23888.0042890683j</v>
      </c>
      <c r="D143" s="86">
        <f t="shared" si="54"/>
        <v>0.99976872963668062</v>
      </c>
      <c r="E143" s="86" t="str">
        <f t="shared" si="55"/>
        <v>-0.0238880042890683j</v>
      </c>
      <c r="F143" s="86" t="str">
        <f t="shared" si="56"/>
        <v>0.999768729636681-0.0238880042890683j</v>
      </c>
      <c r="G143" s="86">
        <f t="shared" si="57"/>
        <v>4.696619501695662E-4</v>
      </c>
      <c r="H143" s="86">
        <f t="shared" si="58"/>
        <v>-1.3687380039624186</v>
      </c>
      <c r="J143" s="86">
        <f t="shared" si="59"/>
        <v>17.283950617283953</v>
      </c>
      <c r="K143" s="86" t="str">
        <f t="shared" si="60"/>
        <v>1+0.2884476517905j</v>
      </c>
      <c r="L143" s="86">
        <f t="shared" si="61"/>
        <v>0.98298657100458486</v>
      </c>
      <c r="M143" s="86" t="str">
        <f t="shared" si="62"/>
        <v>0.0643354090822253j</v>
      </c>
      <c r="N143" s="86" t="str">
        <f t="shared" si="63"/>
        <v>0.982986571004585+0.0643354090822253j</v>
      </c>
      <c r="O143" s="86" t="str">
        <f t="shared" si="64"/>
        <v>1.03209220145947+0.225890754104712j</v>
      </c>
      <c r="P143" s="86" t="str">
        <f t="shared" si="65"/>
        <v>17.8386306425094+3.90428463884687j</v>
      </c>
      <c r="R143" s="86">
        <f t="shared" si="66"/>
        <v>6.9135802469135808</v>
      </c>
      <c r="S143" s="86" t="str">
        <f t="shared" si="67"/>
        <v>1+0.00179160032168012j</v>
      </c>
      <c r="T143" s="86" t="str">
        <f t="shared" si="68"/>
        <v>0.982986571004585+0.0643354090822253j</v>
      </c>
      <c r="U143" s="86" t="str">
        <f t="shared" si="69"/>
        <v>1.01308756100151-0.0644828772041994j</v>
      </c>
      <c r="V143" s="86" t="str">
        <f t="shared" si="70"/>
        <v>7.0040621501339-0.445807546103107j</v>
      </c>
      <c r="X143" s="86" t="str">
        <f t="shared" si="71"/>
        <v>0.549742140678925+0.106627433962111j</v>
      </c>
      <c r="Y143" s="86">
        <f t="shared" si="72"/>
        <v>-5.036435687424742</v>
      </c>
      <c r="Z143" s="86">
        <f t="shared" si="73"/>
        <v>-169.0232623978527</v>
      </c>
      <c r="AB143" s="86" t="str">
        <f t="shared" si="74"/>
        <v>2.41319671655661-0.153599623106087j</v>
      </c>
      <c r="AC143" s="86">
        <f t="shared" si="75"/>
        <v>7.6694135605099021</v>
      </c>
      <c r="AD143" s="86">
        <f t="shared" si="76"/>
        <v>176.3580448147099</v>
      </c>
      <c r="AF143" s="86" t="str">
        <f t="shared" si="77"/>
        <v>1.54303627266951-0.205279067414355j</v>
      </c>
      <c r="AG143" s="86">
        <f t="shared" si="78"/>
        <v>3.8437141543960318</v>
      </c>
      <c r="AH143" s="86">
        <f t="shared" si="79"/>
        <v>172.42210682741947</v>
      </c>
      <c r="AJ143" s="86" t="str">
        <f t="shared" si="80"/>
        <v>9998.73962229687-112.259469441871j</v>
      </c>
      <c r="AK143" s="86" t="str">
        <f t="shared" si="81"/>
        <v>20000-9.55520171562732E-06j</v>
      </c>
      <c r="AL143" s="86" t="str">
        <f t="shared" si="95"/>
        <v>10000-930267.005703431j</v>
      </c>
      <c r="AM143" s="86" t="str">
        <f t="shared" si="96"/>
        <v>963.08618863008-288710.693351514j</v>
      </c>
      <c r="AN143" s="86" t="str">
        <f t="shared" si="97"/>
        <v>10963.0861886301-288710.693351514j</v>
      </c>
      <c r="AO143" s="86" t="str">
        <f t="shared" si="98"/>
        <v>19853.1033565583-1369.71590737868j</v>
      </c>
      <c r="AP143" s="86" t="str">
        <f t="shared" si="99"/>
        <v>0.666685340236079+0.00249482946073707j</v>
      </c>
      <c r="AQ143" s="86" t="str">
        <f t="shared" si="82"/>
        <v>1+1.39028184962377j</v>
      </c>
      <c r="AR143" s="86">
        <f t="shared" si="83"/>
        <v>-2.9853270544191888E-7</v>
      </c>
      <c r="AS143" s="86" t="str">
        <f t="shared" si="84"/>
        <v>0.000116282505038412j</v>
      </c>
      <c r="AT143" s="86" t="str">
        <f t="shared" si="85"/>
        <v>-2.98532705441919E-07+0.000116282505038412j</v>
      </c>
      <c r="AU143" s="86" t="str">
        <f t="shared" si="86"/>
        <v>1.79008707797416-1.29455759048739j</v>
      </c>
      <c r="AW143" s="86" t="str">
        <f t="shared" si="100"/>
        <v>1.18208171611637-0.878237988036323j</v>
      </c>
      <c r="AX143" s="86">
        <f t="shared" si="87"/>
        <v>3.3618328793412782</v>
      </c>
      <c r="AY143" s="86">
        <f t="shared" si="88"/>
        <v>143.38917284870419</v>
      </c>
      <c r="AZ143" s="86" t="str">
        <f t="shared" si="89"/>
        <v>2.7176986920738-2.30092833516061j</v>
      </c>
      <c r="BA143" s="86">
        <f t="shared" si="90"/>
        <v>11.031246439851184</v>
      </c>
      <c r="BB143" s="86">
        <f t="shared" si="91"/>
        <v>139.74721766341409</v>
      </c>
      <c r="BD143" s="86" t="str">
        <f t="shared" si="92"/>
        <v>1.64371109007502-1.59780970386827j</v>
      </c>
      <c r="BE143" s="86">
        <f t="shared" si="93"/>
        <v>7.2055470337373055</v>
      </c>
      <c r="BF143" s="86">
        <f t="shared" si="94"/>
        <v>135.81127967612352</v>
      </c>
      <c r="BH143" s="86">
        <f t="shared" si="101"/>
        <v>-6.2055470337373055</v>
      </c>
      <c r="BI143" s="159">
        <f t="shared" si="102"/>
        <v>-135.81127967612352</v>
      </c>
      <c r="BJ143" s="88"/>
      <c r="BK143" s="88"/>
      <c r="BL143" s="88"/>
      <c r="BM143" s="88"/>
      <c r="BN143" s="42"/>
      <c r="BO143" s="42"/>
      <c r="BP143" s="42"/>
    </row>
    <row r="144" spans="1:68" s="86" customFormat="1">
      <c r="A144" s="86">
        <v>80</v>
      </c>
      <c r="B144" s="86">
        <f t="shared" si="52"/>
        <v>3981.0717055349755</v>
      </c>
      <c r="C144" s="86" t="str">
        <f t="shared" si="53"/>
        <v>25013.8112470457j</v>
      </c>
      <c r="D144" s="86">
        <f t="shared" si="54"/>
        <v>0.9997464170892062</v>
      </c>
      <c r="E144" s="86" t="str">
        <f t="shared" si="55"/>
        <v>-0.0250138112470457j</v>
      </c>
      <c r="F144" s="86" t="str">
        <f t="shared" si="56"/>
        <v>0.999746417089206-0.0250138112470457j</v>
      </c>
      <c r="G144" s="86">
        <f t="shared" si="57"/>
        <v>5.149959713562711E-4</v>
      </c>
      <c r="H144" s="86">
        <f t="shared" si="58"/>
        <v>-1.4332503120323383</v>
      </c>
      <c r="J144" s="86">
        <f t="shared" si="59"/>
        <v>17.283950617283953</v>
      </c>
      <c r="K144" s="86" t="str">
        <f t="shared" si="60"/>
        <v>1+0.302041770808077j</v>
      </c>
      <c r="L144" s="86">
        <f t="shared" si="61"/>
        <v>0.98134514606489709</v>
      </c>
      <c r="M144" s="86" t="str">
        <f t="shared" si="62"/>
        <v>0.0673674435005311j</v>
      </c>
      <c r="N144" s="86" t="str">
        <f t="shared" si="63"/>
        <v>0.981345146064897+0.0673674435005311j</v>
      </c>
      <c r="O144" s="86" t="str">
        <f t="shared" si="64"/>
        <v>1.03525948999054+0.236714866873544j</v>
      </c>
      <c r="P144" s="86" t="str">
        <f t="shared" si="65"/>
        <v>17.8933739010711+4.09136806941928j</v>
      </c>
      <c r="R144" s="86">
        <f t="shared" si="66"/>
        <v>6.9135802469135808</v>
      </c>
      <c r="S144" s="86" t="str">
        <f t="shared" si="67"/>
        <v>1+0.00187603584352843j</v>
      </c>
      <c r="T144" s="86" t="str">
        <f t="shared" si="68"/>
        <v>0.981345146064897+0.0673674435005311j</v>
      </c>
      <c r="U144" s="86" t="str">
        <f t="shared" si="69"/>
        <v>1.01436047613802-0.0677221836663333j</v>
      </c>
      <c r="V144" s="86" t="str">
        <f t="shared" si="70"/>
        <v>7.01286255107767-0.468202751273415j</v>
      </c>
      <c r="X144" s="86" t="str">
        <f t="shared" si="71"/>
        <v>0.551686454958619+0.111702270226165j</v>
      </c>
      <c r="Y144" s="86">
        <f t="shared" si="72"/>
        <v>-4.9916638050863531</v>
      </c>
      <c r="Z144" s="86">
        <f t="shared" si="73"/>
        <v>-168.55382408403602</v>
      </c>
      <c r="AB144" s="86" t="str">
        <f t="shared" si="74"/>
        <v>2.4162288282379-0.161315721910631j</v>
      </c>
      <c r="AC144" s="86">
        <f t="shared" si="75"/>
        <v>7.6820762662604283</v>
      </c>
      <c r="AD144" s="86">
        <f t="shared" si="76"/>
        <v>176.18040565705979</v>
      </c>
      <c r="AF144" s="86" t="str">
        <f t="shared" si="77"/>
        <v>1.54168973265554-0.21494417507274j</v>
      </c>
      <c r="AG144" s="86">
        <f t="shared" si="78"/>
        <v>3.8435488929753103</v>
      </c>
      <c r="AH144" s="86">
        <f t="shared" si="79"/>
        <v>172.06291958412712</v>
      </c>
      <c r="AJ144" s="86" t="str">
        <f t="shared" si="80"/>
        <v>9998.6180401341-117.548665861994j</v>
      </c>
      <c r="AK144" s="86" t="str">
        <f t="shared" si="81"/>
        <v>20000-0.0000100055244988183j</v>
      </c>
      <c r="AL144" s="86" t="str">
        <f t="shared" si="95"/>
        <v>10000-888398.093467134j</v>
      </c>
      <c r="AM144" s="86" t="str">
        <f t="shared" si="96"/>
        <v>963.08108220555-275717.229453788j</v>
      </c>
      <c r="AN144" s="86" t="str">
        <f t="shared" si="97"/>
        <v>10963.0810822056-275717.229453788j</v>
      </c>
      <c r="AO144" s="86" t="str">
        <f t="shared" si="98"/>
        <v>19839.1083240115-1432.69356622301j</v>
      </c>
      <c r="AP144" s="86" t="str">
        <f t="shared" si="99"/>
        <v>0.666687141717709+0.00261239303145386j</v>
      </c>
      <c r="AQ144" s="86" t="str">
        <f t="shared" si="82"/>
        <v>1+1.45580381457806j</v>
      </c>
      <c r="AR144" s="86">
        <f t="shared" si="83"/>
        <v>-3.3698242196701653E-7</v>
      </c>
      <c r="AS144" s="86" t="str">
        <f t="shared" si="84"/>
        <v>0.000121762730664594j</v>
      </c>
      <c r="AT144" s="86" t="str">
        <f t="shared" si="85"/>
        <v>-3.36982421967017E-07+0.000121762730664594j</v>
      </c>
      <c r="AU144" s="86" t="str">
        <f t="shared" si="86"/>
        <v>1.78998755718688-1.23685789173997j</v>
      </c>
      <c r="AW144" s="86" t="str">
        <f t="shared" si="100"/>
        <v>1.18199040622943-0.840486586946993j</v>
      </c>
      <c r="AX144" s="86">
        <f t="shared" si="87"/>
        <v>3.2294644392983733</v>
      </c>
      <c r="AY144" s="86">
        <f t="shared" si="88"/>
        <v>144.58423006608399</v>
      </c>
      <c r="AZ144" s="86" t="str">
        <f t="shared" si="89"/>
        <v>2.72037559370261-2.22148155680094j</v>
      </c>
      <c r="BA144" s="86">
        <f t="shared" si="90"/>
        <v>10.911540705558778</v>
      </c>
      <c r="BB144" s="86">
        <f t="shared" si="91"/>
        <v>140.76463572314375</v>
      </c>
      <c r="BD144" s="86" t="str">
        <f t="shared" si="92"/>
        <v>1.64160477729024-1.54983149434175j</v>
      </c>
      <c r="BE144" s="86">
        <f t="shared" si="93"/>
        <v>7.0730133322736766</v>
      </c>
      <c r="BF144" s="86">
        <f t="shared" si="94"/>
        <v>136.64714965021122</v>
      </c>
      <c r="BH144" s="86">
        <f t="shared" si="101"/>
        <v>-6.0730133322736766</v>
      </c>
      <c r="BI144" s="159">
        <f t="shared" si="102"/>
        <v>-136.64714965021122</v>
      </c>
      <c r="BJ144" s="88"/>
      <c r="BK144" s="88"/>
      <c r="BL144" s="88"/>
      <c r="BM144" s="88"/>
      <c r="BN144" s="42"/>
      <c r="BO144" s="42"/>
      <c r="BP144" s="42"/>
    </row>
    <row r="145" spans="1:68" s="86" customFormat="1">
      <c r="A145" s="86">
        <v>81</v>
      </c>
      <c r="B145" s="86">
        <f t="shared" si="52"/>
        <v>4168.6938347033556</v>
      </c>
      <c r="C145" s="86" t="str">
        <f t="shared" si="53"/>
        <v>26192.6758523383j</v>
      </c>
      <c r="D145" s="86">
        <f t="shared" si="54"/>
        <v>0.99972195186740009</v>
      </c>
      <c r="E145" s="86" t="str">
        <f t="shared" si="55"/>
        <v>-0.0261926758523383j</v>
      </c>
      <c r="F145" s="86" t="str">
        <f t="shared" si="56"/>
        <v>0.9997219518674-0.0261926758523383j</v>
      </c>
      <c r="G145" s="86">
        <f t="shared" si="57"/>
        <v>5.6470816278016145E-4</v>
      </c>
      <c r="H145" s="86">
        <f t="shared" si="58"/>
        <v>-1.5008038316011556</v>
      </c>
      <c r="J145" s="86">
        <f t="shared" si="59"/>
        <v>17.283950617283953</v>
      </c>
      <c r="K145" s="86" t="str">
        <f t="shared" si="60"/>
        <v>1+0.316276560916985j</v>
      </c>
      <c r="L145" s="86">
        <f t="shared" si="61"/>
        <v>0.97954535940792364</v>
      </c>
      <c r="M145" s="86" t="str">
        <f t="shared" si="62"/>
        <v>0.0705423732986123j</v>
      </c>
      <c r="N145" s="86" t="str">
        <f t="shared" si="63"/>
        <v>0.979545359407924+0.0705423732986123j</v>
      </c>
      <c r="O145" s="86" t="str">
        <f t="shared" si="64"/>
        <v>1.03874700797397+0.248075170163174j</v>
      </c>
      <c r="P145" s="86" t="str">
        <f t="shared" si="65"/>
        <v>17.9536519896736+4.28771899047461j</v>
      </c>
      <c r="R145" s="86">
        <f t="shared" si="66"/>
        <v>6.9135802469135808</v>
      </c>
      <c r="S145" s="86" t="str">
        <f t="shared" si="67"/>
        <v>1+0.00196445068892537j</v>
      </c>
      <c r="T145" s="86" t="str">
        <f t="shared" si="68"/>
        <v>0.979545359407924+0.0705423732986123j</v>
      </c>
      <c r="U145" s="86" t="str">
        <f t="shared" si="69"/>
        <v>1.01575824770117-0.0711447878673818j</v>
      </c>
      <c r="V145" s="86" t="str">
        <f t="shared" si="70"/>
        <v>7.02252615694636-0.491865200070788j</v>
      </c>
      <c r="X145" s="86" t="str">
        <f t="shared" si="71"/>
        <v>0.553826505343711+0.117023243661922j</v>
      </c>
      <c r="Y145" s="86">
        <f t="shared" si="72"/>
        <v>-4.9428277269316006</v>
      </c>
      <c r="Z145" s="86">
        <f t="shared" si="73"/>
        <v>-168.06893048224475</v>
      </c>
      <c r="AB145" s="86" t="str">
        <f t="shared" si="74"/>
        <v>2.41955835065682-0.169468439936187j</v>
      </c>
      <c r="AC145" s="86">
        <f t="shared" si="75"/>
        <v>7.6959753172443559</v>
      </c>
      <c r="AD145" s="86">
        <f t="shared" si="76"/>
        <v>175.99348577647839</v>
      </c>
      <c r="AF145" s="86" t="str">
        <f t="shared" si="77"/>
        <v>1.54021104306871-0.225063049778935j</v>
      </c>
      <c r="AG145" s="86">
        <f t="shared" si="78"/>
        <v>3.8433610538600336</v>
      </c>
      <c r="AH145" s="86">
        <f t="shared" si="79"/>
        <v>171.68650296854958</v>
      </c>
      <c r="AJ145" s="86" t="str">
        <f t="shared" si="80"/>
        <v>9998.48473134202-123.08692270382j</v>
      </c>
      <c r="AK145" s="86" t="str">
        <f t="shared" si="81"/>
        <v>20000-0.0000104770703409353j</v>
      </c>
      <c r="AL145" s="86" t="str">
        <f t="shared" si="95"/>
        <v>10000-848413.592696694j</v>
      </c>
      <c r="AM145" s="86" t="str">
        <f t="shared" si="96"/>
        <v>963.075483184612-263308.598758131j</v>
      </c>
      <c r="AN145" s="86" t="str">
        <f t="shared" si="97"/>
        <v>10963.0754831846-263308.598758131j</v>
      </c>
      <c r="AO145" s="86" t="str">
        <f t="shared" si="98"/>
        <v>19823.7984442013-1498.41008812998j</v>
      </c>
      <c r="AP145" s="86" t="str">
        <f t="shared" si="99"/>
        <v>0.666689116980655+0.00273549511090533j</v>
      </c>
      <c r="AQ145" s="86" t="str">
        <f t="shared" si="82"/>
        <v>1+1.52441373460609j</v>
      </c>
      <c r="AR145" s="86">
        <f t="shared" si="83"/>
        <v>-3.7914169778467709E-7</v>
      </c>
      <c r="AS145" s="86" t="str">
        <f t="shared" si="84"/>
        <v>0.000127501231367529j</v>
      </c>
      <c r="AT145" s="86" t="str">
        <f t="shared" si="85"/>
        <v>-3.79141697784677E-07+0.000127501231367529j</v>
      </c>
      <c r="AU145" s="86" t="str">
        <f t="shared" si="86"/>
        <v>1.78989641916289-1.18178171889871j</v>
      </c>
      <c r="AW145" s="86" t="str">
        <f t="shared" si="100"/>
        <v>1.18190227789852-0.80451788408164j</v>
      </c>
      <c r="AX145" s="86">
        <f t="shared" si="87"/>
        <v>3.1051106587256387</v>
      </c>
      <c r="AY145" s="86">
        <f t="shared" si="88"/>
        <v>145.75698056425358</v>
      </c>
      <c r="AZ145" s="86" t="str">
        <f t="shared" si="89"/>
        <v>2.72334113543361-2.14687309987498j</v>
      </c>
      <c r="BA145" s="86">
        <f t="shared" si="90"/>
        <v>10.801085975970013</v>
      </c>
      <c r="BB145" s="86">
        <f t="shared" si="91"/>
        <v>141.750466340732</v>
      </c>
      <c r="BD145" s="86" t="str">
        <f t="shared" si="92"/>
        <v>1.63931169165426-1.50512986061333j</v>
      </c>
      <c r="BE145" s="86">
        <f t="shared" si="93"/>
        <v>6.9484717125857038</v>
      </c>
      <c r="BF145" s="86">
        <f t="shared" si="94"/>
        <v>137.44348353280316</v>
      </c>
      <c r="BH145" s="86">
        <f t="shared" si="101"/>
        <v>-5.9484717125857038</v>
      </c>
      <c r="BI145" s="159">
        <f t="shared" si="102"/>
        <v>-137.44348353280316</v>
      </c>
      <c r="BJ145" s="88"/>
      <c r="BK145" s="88"/>
      <c r="BL145" s="88"/>
      <c r="BM145" s="88"/>
      <c r="BN145" s="42"/>
      <c r="BO145" s="42"/>
      <c r="BP145" s="42"/>
    </row>
    <row r="146" spans="1:68" s="86" customFormat="1">
      <c r="A146" s="86">
        <v>82</v>
      </c>
      <c r="B146" s="86">
        <f t="shared" si="52"/>
        <v>4365.1583224016631</v>
      </c>
      <c r="C146" s="86" t="str">
        <f t="shared" si="53"/>
        <v>27427.0986348268j</v>
      </c>
      <c r="D146" s="86">
        <f t="shared" si="54"/>
        <v>0.99969512628512591</v>
      </c>
      <c r="E146" s="86" t="str">
        <f t="shared" si="55"/>
        <v>-0.0274270986348268j</v>
      </c>
      <c r="F146" s="86" t="str">
        <f t="shared" si="56"/>
        <v>0.999695126285126-0.0274270986348268j</v>
      </c>
      <c r="G146" s="86">
        <f t="shared" si="57"/>
        <v>6.1922181736168765E-4</v>
      </c>
      <c r="H146" s="86">
        <f t="shared" si="58"/>
        <v>-1.5715420149021393</v>
      </c>
      <c r="J146" s="86">
        <f t="shared" si="59"/>
        <v>17.283950617283953</v>
      </c>
      <c r="K146" s="86" t="str">
        <f t="shared" si="60"/>
        <v>1+0.331182216015534j</v>
      </c>
      <c r="L146" s="86">
        <f t="shared" si="61"/>
        <v>0.97757193258084307</v>
      </c>
      <c r="M146" s="86" t="str">
        <f t="shared" si="62"/>
        <v>0.0738669329282403j</v>
      </c>
      <c r="N146" s="86" t="str">
        <f t="shared" si="63"/>
        <v>0.977571932580843+0.0738669329282403j</v>
      </c>
      <c r="O146" s="86" t="str">
        <f t="shared" si="64"/>
        <v>1.04258870396406+0.260000699362408j</v>
      </c>
      <c r="P146" s="86" t="str">
        <f t="shared" si="65"/>
        <v>18.0200516734529+4.49383924823915j</v>
      </c>
      <c r="R146" s="86">
        <f t="shared" si="66"/>
        <v>6.9135802469135808</v>
      </c>
      <c r="S146" s="86" t="str">
        <f t="shared" si="67"/>
        <v>1+0.00205703239761201j</v>
      </c>
      <c r="T146" s="86" t="str">
        <f t="shared" si="68"/>
        <v>0.977571932580843+0.0738669329282403j</v>
      </c>
      <c r="U146" s="86" t="str">
        <f t="shared" si="69"/>
        <v>1.01729332706547-0.0747641202915116j</v>
      </c>
      <c r="V146" s="86" t="str">
        <f t="shared" si="70"/>
        <v>7.03313905131683-0.516887745225265j</v>
      </c>
      <c r="X146" s="86" t="str">
        <f t="shared" si="71"/>
        <v>0.556182869936745+0.122602880357901j</v>
      </c>
      <c r="Y146" s="86">
        <f t="shared" si="72"/>
        <v>-4.8895817968446655</v>
      </c>
      <c r="Z146" s="86">
        <f t="shared" si="73"/>
        <v>-167.56874089988793</v>
      </c>
      <c r="AB146" s="86" t="str">
        <f t="shared" si="74"/>
        <v>2.42321494325966-0.178089768889631j</v>
      </c>
      <c r="AC146" s="86">
        <f t="shared" si="75"/>
        <v>7.7112329668626778</v>
      </c>
      <c r="AD146" s="86">
        <f t="shared" si="76"/>
        <v>175.79670784089848</v>
      </c>
      <c r="AF146" s="86" t="str">
        <f t="shared" si="77"/>
        <v>1.53858701025023-0.235656731038599j</v>
      </c>
      <c r="AG146" s="86">
        <f t="shared" si="78"/>
        <v>3.8431471180885231</v>
      </c>
      <c r="AH146" s="86">
        <f t="shared" si="79"/>
        <v>171.29200101933614</v>
      </c>
      <c r="AJ146" s="86" t="str">
        <f t="shared" si="80"/>
        <v>9998.3385652438-128.885946466267j</v>
      </c>
      <c r="AK146" s="86" t="str">
        <f t="shared" si="81"/>
        <v>20000-0.0000109708394539307j</v>
      </c>
      <c r="AL146" s="86" t="str">
        <f t="shared" si="95"/>
        <v>10000-810228.69090515j</v>
      </c>
      <c r="AM146" s="86" t="str">
        <f t="shared" si="96"/>
        <v>963.069344055074-251458.480894048j</v>
      </c>
      <c r="AN146" s="86" t="str">
        <f t="shared" si="97"/>
        <v>10963.0693440551-251458.480894048j</v>
      </c>
      <c r="AO146" s="86" t="str">
        <f t="shared" si="98"/>
        <v>19807.0538627393-1566.96165789641j</v>
      </c>
      <c r="AP146" s="86" t="str">
        <f t="shared" si="99"/>
        <v>0.666691282786498+0.00286439641112746j</v>
      </c>
      <c r="AQ146" s="86" t="str">
        <f t="shared" si="82"/>
        <v>1+1.59625714054692j</v>
      </c>
      <c r="AR146" s="86">
        <f t="shared" si="83"/>
        <v>-4.2536842448392337E-7</v>
      </c>
      <c r="AS146" s="86" t="str">
        <f t="shared" si="84"/>
        <v>0.000133510179276583j</v>
      </c>
      <c r="AT146" s="86" t="str">
        <f t="shared" si="85"/>
        <v>-4.25368424483923E-07+0.000133510179276583j</v>
      </c>
      <c r="AU146" s="86" t="str">
        <f t="shared" si="86"/>
        <v>1.78981289023269-1.12921224962868j</v>
      </c>
      <c r="AW146" s="86" t="str">
        <f t="shared" si="100"/>
        <v>1.18181658337069-0.770255574795009j</v>
      </c>
      <c r="AX146" s="86">
        <f t="shared" si="87"/>
        <v>2.988496036184328</v>
      </c>
      <c r="AY146" s="86">
        <f t="shared" si="88"/>
        <v>146.90547675739498</v>
      </c>
      <c r="AZ146" s="86" t="str">
        <f t="shared" si="89"/>
        <v>2.72662096771474-2.07696426117474j</v>
      </c>
      <c r="BA146" s="86">
        <f t="shared" si="90"/>
        <v>10.699729003047004</v>
      </c>
      <c r="BB146" s="86">
        <f t="shared" si="91"/>
        <v>142.70218459829351</v>
      </c>
      <c r="BD146" s="86" t="str">
        <f t="shared" si="92"/>
        <v>1.636811732852-1.46360825467676j</v>
      </c>
      <c r="BE146" s="86">
        <f t="shared" si="93"/>
        <v>6.8316431542728235</v>
      </c>
      <c r="BF146" s="86">
        <f t="shared" si="94"/>
        <v>138.1974777767312</v>
      </c>
      <c r="BH146" s="86">
        <f t="shared" si="101"/>
        <v>-5.8316431542728235</v>
      </c>
      <c r="BI146" s="159">
        <f t="shared" si="102"/>
        <v>-138.1974777767312</v>
      </c>
      <c r="BJ146" s="88"/>
      <c r="BK146" s="88"/>
      <c r="BL146" s="88"/>
      <c r="BM146" s="88"/>
      <c r="BN146" s="42"/>
      <c r="BO146" s="42"/>
      <c r="BP146" s="42"/>
    </row>
    <row r="147" spans="1:68" s="86" customFormat="1">
      <c r="A147" s="86">
        <v>83</v>
      </c>
      <c r="B147" s="86">
        <f t="shared" si="52"/>
        <v>4570.8818961487532</v>
      </c>
      <c r="C147" s="86" t="str">
        <f t="shared" si="53"/>
        <v>28719.697970735j</v>
      </c>
      <c r="D147" s="86">
        <f t="shared" si="54"/>
        <v>0.99966571261906334</v>
      </c>
      <c r="E147" s="86" t="str">
        <f t="shared" si="55"/>
        <v>-0.028719697970735j</v>
      </c>
      <c r="F147" s="86" t="str">
        <f t="shared" si="56"/>
        <v>0.999665712619063-0.028719697970735j</v>
      </c>
      <c r="G147" s="86">
        <f t="shared" si="57"/>
        <v>6.7900124751416068E-4</v>
      </c>
      <c r="H147" s="86">
        <f t="shared" si="58"/>
        <v>-1.6456150932583495</v>
      </c>
      <c r="J147" s="86">
        <f t="shared" si="59"/>
        <v>17.283950617283953</v>
      </c>
      <c r="K147" s="86" t="str">
        <f t="shared" si="60"/>
        <v>1+0.346790352996625j</v>
      </c>
      <c r="L147" s="86">
        <f t="shared" si="61"/>
        <v>0.97540811309326503</v>
      </c>
      <c r="M147" s="86" t="str">
        <f t="shared" si="62"/>
        <v>0.0773481742261215j</v>
      </c>
      <c r="N147" s="86" t="str">
        <f t="shared" si="63"/>
        <v>0.975408113093265+0.0773481742261215j</v>
      </c>
      <c r="O147" s="86" t="str">
        <f t="shared" si="64"/>
        <v>1.04682244837945+0.272522387611245j</v>
      </c>
      <c r="P147" s="86" t="str">
        <f t="shared" si="65"/>
        <v>18.0932275028547+4.71026348957707j</v>
      </c>
      <c r="R147" s="86">
        <f t="shared" si="66"/>
        <v>6.9135802469135808</v>
      </c>
      <c r="S147" s="86" t="str">
        <f t="shared" si="67"/>
        <v>1+0.00215397734780513j</v>
      </c>
      <c r="T147" s="86" t="str">
        <f t="shared" si="68"/>
        <v>0.975408113093265+0.0773481742261215j</v>
      </c>
      <c r="U147" s="86" t="str">
        <f t="shared" si="69"/>
        <v>1.01897944581683-0.0785950222588947j</v>
      </c>
      <c r="V147" s="86" t="str">
        <f t="shared" si="70"/>
        <v>7.04479616861018-0.543372993394828j</v>
      </c>
      <c r="X147" s="86" t="str">
        <f t="shared" si="71"/>
        <v>0.558778469332378+0.128454404012993j</v>
      </c>
      <c r="Y147" s="86">
        <f t="shared" si="72"/>
        <v>-4.8315549243674081</v>
      </c>
      <c r="Z147" s="86">
        <f t="shared" si="73"/>
        <v>-167.05353104986924</v>
      </c>
      <c r="AB147" s="86" t="str">
        <f t="shared" si="74"/>
        <v>2.42723131498421-0.187215061120048j</v>
      </c>
      <c r="AC147" s="86">
        <f t="shared" si="75"/>
        <v>7.7279838660635889</v>
      </c>
      <c r="AD147" s="86">
        <f t="shared" si="76"/>
        <v>175.58944516525796</v>
      </c>
      <c r="AF147" s="86" t="str">
        <f t="shared" si="77"/>
        <v>1.53680308056095-0.246747175744331j</v>
      </c>
      <c r="AG147" s="86">
        <f t="shared" si="78"/>
        <v>3.8429029563993562</v>
      </c>
      <c r="AH147" s="86">
        <f t="shared" si="79"/>
        <v>170.87851110123299</v>
      </c>
      <c r="AJ147" s="86" t="str">
        <f t="shared" si="80"/>
        <v>9998.17830221591-134.957990715682j</v>
      </c>
      <c r="AK147" s="86" t="str">
        <f t="shared" si="81"/>
        <v>20000-0.000011487879188294j</v>
      </c>
      <c r="AL147" s="86" t="str">
        <f t="shared" si="95"/>
        <v>10000-773762.392796272j</v>
      </c>
      <c r="AM147" s="86" t="str">
        <f t="shared" si="96"/>
        <v>963.062612723344-240141.740171474j</v>
      </c>
      <c r="AN147" s="86" t="str">
        <f t="shared" si="97"/>
        <v>10963.0626127233-240141.740171474j</v>
      </c>
      <c r="AO147" s="86" t="str">
        <f t="shared" si="98"/>
        <v>19788.7445296997-1638.44438748864j</v>
      </c>
      <c r="AP147" s="86" t="str">
        <f t="shared" si="99"/>
        <v>0.666693657513033+0.00299936988524462j</v>
      </c>
      <c r="AQ147" s="86" t="str">
        <f t="shared" si="82"/>
        <v>1+1.67148642189678j</v>
      </c>
      <c r="AR147" s="86">
        <f t="shared" si="83"/>
        <v>-4.7605502238871971E-7</v>
      </c>
      <c r="AS147" s="86" t="str">
        <f t="shared" si="84"/>
        <v>0.000139802320175903j</v>
      </c>
      <c r="AT147" s="86" t="str">
        <f t="shared" si="85"/>
        <v>-4.7605502238872E-07+0.000139802320175903j</v>
      </c>
      <c r="AU147" s="86" t="str">
        <f t="shared" si="86"/>
        <v>1.78973626132054-1.07903797838367j</v>
      </c>
      <c r="AW147" s="86" t="str">
        <f t="shared" si="100"/>
        <v>1.18173259562803-0.737626972085038j</v>
      </c>
      <c r="AX147" s="86">
        <f t="shared" si="87"/>
        <v>2.8793277698916002</v>
      </c>
      <c r="AY147" s="86">
        <f t="shared" si="88"/>
        <v>148.02795665381956</v>
      </c>
      <c r="AZ147" s="86" t="str">
        <f t="shared" si="89"/>
        <v>2.73024348338323-2.01162942553985j</v>
      </c>
      <c r="BA147" s="86">
        <f t="shared" si="90"/>
        <v>10.607311635955199</v>
      </c>
      <c r="BB147" s="86">
        <f t="shared" si="91"/>
        <v>143.61740181907743</v>
      </c>
      <c r="BD147" s="86" t="str">
        <f t="shared" si="92"/>
        <v>1.63408292124562-1.42517658346137j</v>
      </c>
      <c r="BE147" s="86">
        <f t="shared" si="93"/>
        <v>6.7222307262909711</v>
      </c>
      <c r="BF147" s="86">
        <f t="shared" si="94"/>
        <v>138.90646775505252</v>
      </c>
      <c r="BH147" s="86">
        <f t="shared" si="101"/>
        <v>-5.7222307262909711</v>
      </c>
      <c r="BI147" s="159">
        <f t="shared" si="102"/>
        <v>-138.90646775505252</v>
      </c>
      <c r="BJ147" s="88"/>
      <c r="BK147" s="88"/>
      <c r="BL147" s="88"/>
      <c r="BM147" s="88"/>
      <c r="BN147" s="42"/>
      <c r="BO147" s="42"/>
      <c r="BP147" s="42"/>
    </row>
    <row r="148" spans="1:68" s="86" customFormat="1">
      <c r="A148" s="86">
        <v>84</v>
      </c>
      <c r="B148" s="86">
        <f t="shared" si="52"/>
        <v>4786.3009232263857</v>
      </c>
      <c r="C148" s="86" t="str">
        <f t="shared" si="53"/>
        <v>30073.2156365561j</v>
      </c>
      <c r="D148" s="86">
        <f t="shared" si="54"/>
        <v>0.99963346117555718</v>
      </c>
      <c r="E148" s="86" t="str">
        <f t="shared" si="55"/>
        <v>-0.0300732156365561j</v>
      </c>
      <c r="F148" s="86" t="str">
        <f t="shared" si="56"/>
        <v>0.999633461175557-0.0300732156365561j</v>
      </c>
      <c r="G148" s="86">
        <f t="shared" si="57"/>
        <v>7.4455577923736934E-4</v>
      </c>
      <c r="H148" s="86">
        <f t="shared" si="58"/>
        <v>-1.7231803992889823</v>
      </c>
      <c r="J148" s="86">
        <f t="shared" si="59"/>
        <v>17.283950617283953</v>
      </c>
      <c r="K148" s="86" t="str">
        <f t="shared" si="60"/>
        <v>1+0.363134078811415j</v>
      </c>
      <c r="L148" s="86">
        <f t="shared" si="61"/>
        <v>0.97303553220474615</v>
      </c>
      <c r="M148" s="86" t="str">
        <f t="shared" si="62"/>
        <v>0.0809934813717866j</v>
      </c>
      <c r="N148" s="86" t="str">
        <f t="shared" si="63"/>
        <v>0.973035532204746+0.0809934813717866j</v>
      </c>
      <c r="O148" s="86" t="str">
        <f t="shared" si="64"/>
        <v>1.05149055214438+0.285673224834722j</v>
      </c>
      <c r="P148" s="86" t="str">
        <f t="shared" si="65"/>
        <v>18.1739107778041+4.93756191072359j</v>
      </c>
      <c r="R148" s="86">
        <f t="shared" si="66"/>
        <v>6.9135802469135808</v>
      </c>
      <c r="S148" s="86" t="str">
        <f t="shared" si="67"/>
        <v>1+0.00225549117274171j</v>
      </c>
      <c r="T148" s="86" t="str">
        <f t="shared" si="68"/>
        <v>0.973035532204746+0.0809934813717866j</v>
      </c>
      <c r="U148" s="86" t="str">
        <f t="shared" si="69"/>
        <v>1.02083175410971-0.0826539461567662j</v>
      </c>
      <c r="V148" s="86" t="str">
        <f t="shared" si="70"/>
        <v>7.05760225063503-0.571434689478878j</v>
      </c>
      <c r="X148" s="86" t="str">
        <f t="shared" si="71"/>
        <v>0.561638869597408+0.134591776001801j</v>
      </c>
      <c r="Y148" s="86">
        <f t="shared" si="72"/>
        <v>-4.7683493276844917</v>
      </c>
      <c r="Z148" s="86">
        <f t="shared" si="73"/>
        <v>-166.52370993112555</v>
      </c>
      <c r="AB148" s="86" t="str">
        <f t="shared" si="74"/>
        <v>2.4316435538296-0.196883506573483j</v>
      </c>
      <c r="AC148" s="86">
        <f t="shared" si="75"/>
        <v>7.7463763816078801</v>
      </c>
      <c r="AD148" s="86">
        <f t="shared" si="76"/>
        <v>175.37101572415867</v>
      </c>
      <c r="AF148" s="86" t="str">
        <f t="shared" si="77"/>
        <v>1.53484319244868-0.25835728450678j</v>
      </c>
      <c r="AG148" s="86">
        <f t="shared" si="78"/>
        <v>3.8426237157229179</v>
      </c>
      <c r="AH148" s="86">
        <f t="shared" si="79"/>
        <v>170.44508081444633</v>
      </c>
      <c r="AJ148" s="86" t="str">
        <f t="shared" si="80"/>
        <v>9998.00258320521-141.315881181201j</v>
      </c>
      <c r="AK148" s="86" t="str">
        <f t="shared" si="81"/>
        <v>20000-0.0000120292862546224j</v>
      </c>
      <c r="AL148" s="86" t="str">
        <f t="shared" si="95"/>
        <v>10000-738937.348462651j</v>
      </c>
      <c r="AM148" s="86" t="str">
        <f t="shared" si="96"/>
        <v>963.055232073015-229334.37226458j</v>
      </c>
      <c r="AN148" s="86" t="str">
        <f t="shared" si="97"/>
        <v>10963.055232073-229334.37226458j</v>
      </c>
      <c r="AO148" s="86" t="str">
        <f t="shared" si="98"/>
        <v>19768.7294778023-1712.95369685165j</v>
      </c>
      <c r="AP148" s="86" t="str">
        <f t="shared" si="99"/>
        <v>0.666696261310007+0.00314070129757829j</v>
      </c>
      <c r="AQ148" s="86" t="str">
        <f t="shared" si="82"/>
        <v>1+1.75026115004756j</v>
      </c>
      <c r="AR148" s="86">
        <f t="shared" si="83"/>
        <v>-5.3163177182800496E-7</v>
      </c>
      <c r="AS148" s="86" t="str">
        <f t="shared" si="84"/>
        <v>0.00014639100053994j</v>
      </c>
      <c r="AT148" s="86" t="str">
        <f t="shared" si="85"/>
        <v>-5.31631771828005E-07+0.00014639100053994j</v>
      </c>
      <c r="AU148" s="86" t="str">
        <f t="shared" si="86"/>
        <v>1.78966588192512-1.03115247991357j</v>
      </c>
      <c r="AW148" s="86" t="str">
        <f t="shared" si="100"/>
        <v>1.18164960223113-0.706562852184177j</v>
      </c>
      <c r="AX148" s="86">
        <f t="shared" si="87"/>
        <v>2.7772993976295544</v>
      </c>
      <c r="AY148" s="86">
        <f t="shared" si="88"/>
        <v>149.12284825406448</v>
      </c>
      <c r="AZ148" s="86" t="str">
        <f t="shared" si="89"/>
        <v>2.73424006619806-1.95075632211754j</v>
      </c>
      <c r="BA148" s="86">
        <f t="shared" si="90"/>
        <v>10.523675779237449</v>
      </c>
      <c r="BB148" s="86">
        <f t="shared" si="91"/>
        <v>144.49386397822315</v>
      </c>
      <c r="BD148" s="86" t="str">
        <f t="shared" si="92"/>
        <v>1.63110118802047-1.38975096618296j</v>
      </c>
      <c r="BE148" s="86">
        <f t="shared" si="93"/>
        <v>6.6199231133524741</v>
      </c>
      <c r="BF148" s="86">
        <f t="shared" si="94"/>
        <v>139.56792906851078</v>
      </c>
      <c r="BH148" s="86">
        <f t="shared" si="101"/>
        <v>-5.6199231133524741</v>
      </c>
      <c r="BI148" s="159">
        <f t="shared" si="102"/>
        <v>-139.56792906851078</v>
      </c>
      <c r="BJ148" s="88"/>
      <c r="BK148" s="88"/>
      <c r="BL148" s="88"/>
      <c r="BM148" s="88"/>
      <c r="BN148" s="42"/>
      <c r="BO148" s="42"/>
      <c r="BP148" s="42"/>
    </row>
    <row r="149" spans="1:68" s="86" customFormat="1">
      <c r="A149" s="86">
        <v>85</v>
      </c>
      <c r="B149" s="86">
        <f t="shared" si="52"/>
        <v>5011.8723362727242</v>
      </c>
      <c r="C149" s="86" t="str">
        <f t="shared" si="53"/>
        <v>31490.5226247286j</v>
      </c>
      <c r="D149" s="86">
        <f t="shared" si="54"/>
        <v>0.99959809817095846</v>
      </c>
      <c r="E149" s="86" t="str">
        <f t="shared" si="55"/>
        <v>-0.0314905226247286j</v>
      </c>
      <c r="F149" s="86" t="str">
        <f t="shared" si="56"/>
        <v>0.999598098170958-0.0314905226247286j</v>
      </c>
      <c r="G149" s="86">
        <f t="shared" si="57"/>
        <v>8.1644413887654714E-4</v>
      </c>
      <c r="H149" s="86">
        <f t="shared" si="58"/>
        <v>-1.8044027047016264</v>
      </c>
      <c r="J149" s="86">
        <f t="shared" si="59"/>
        <v>17.283950617283953</v>
      </c>
      <c r="K149" s="86" t="str">
        <f t="shared" si="60"/>
        <v>1+0.380248060693598j</v>
      </c>
      <c r="L149" s="86">
        <f t="shared" si="61"/>
        <v>0.970434048991899</v>
      </c>
      <c r="M149" s="86" t="str">
        <f t="shared" si="62"/>
        <v>0.0848105865504265j</v>
      </c>
      <c r="N149" s="86" t="str">
        <f t="shared" si="63"/>
        <v>0.970434048991899+0.0848105865504265j</v>
      </c>
      <c r="O149" s="86" t="str">
        <f t="shared" si="64"/>
        <v>1.05664036687828+0.299488431705079j</v>
      </c>
      <c r="P149" s="86" t="str">
        <f t="shared" si="65"/>
        <v>18.262919921353+5.1763432640384j</v>
      </c>
      <c r="R149" s="86">
        <f t="shared" si="66"/>
        <v>6.9135802469135808</v>
      </c>
      <c r="S149" s="86" t="str">
        <f t="shared" si="67"/>
        <v>1+0.00236178919685464j</v>
      </c>
      <c r="T149" s="86" t="str">
        <f t="shared" si="68"/>
        <v>0.970434048991899+0.0848105865504265j</v>
      </c>
      <c r="U149" s="86" t="str">
        <f t="shared" si="69"/>
        <v>1.02286697495391-0.0869591900652193j</v>
      </c>
      <c r="V149" s="86" t="str">
        <f t="shared" si="70"/>
        <v>7.0716729132616-0.601199338722504j</v>
      </c>
      <c r="X149" s="86" t="str">
        <f t="shared" si="71"/>
        <v>0.564792631609745+0.141029735750411j</v>
      </c>
      <c r="Y149" s="86">
        <f t="shared" si="72"/>
        <v>-4.699539294612781</v>
      </c>
      <c r="Z149" s="86">
        <f t="shared" si="73"/>
        <v>-165.97983832055786</v>
      </c>
      <c r="AB149" s="86" t="str">
        <f t="shared" si="74"/>
        <v>2.43649149437073-0.207138691676717j</v>
      </c>
      <c r="AC149" s="86">
        <f t="shared" si="75"/>
        <v>7.7665740662171743</v>
      </c>
      <c r="AD149" s="86">
        <f t="shared" si="76"/>
        <v>175.14067523530949</v>
      </c>
      <c r="AF149" s="86" t="str">
        <f t="shared" si="77"/>
        <v>1.5326896111498-0.270510925201072j</v>
      </c>
      <c r="AG149" s="86">
        <f t="shared" si="78"/>
        <v>3.8423036837291575</v>
      </c>
      <c r="AH149" s="86">
        <f t="shared" si="79"/>
        <v>169.99070463890891</v>
      </c>
      <c r="AJ149" s="86" t="str">
        <f t="shared" si="80"/>
        <v>9997.80991824035-147.973041931199j</v>
      </c>
      <c r="AK149" s="86" t="str">
        <f t="shared" si="81"/>
        <v>20000-0.0000125962090498914j</v>
      </c>
      <c r="AL149" s="86" t="str">
        <f t="shared" si="95"/>
        <v>10000-705679.689316166j</v>
      </c>
      <c r="AM149" s="86" t="str">
        <f t="shared" si="96"/>
        <v>963.047139480896-219013.453295349j</v>
      </c>
      <c r="AN149" s="86" t="str">
        <f t="shared" si="97"/>
        <v>10963.0471394809-219013.453295349j</v>
      </c>
      <c r="AO149" s="86" t="str">
        <f t="shared" si="98"/>
        <v>19746.8560793911-1790.58359059089j</v>
      </c>
      <c r="AP149" s="86" t="str">
        <f t="shared" si="99"/>
        <v>0.666699116269858+0.00328868981961842j</v>
      </c>
      <c r="AQ149" s="86" t="str">
        <f t="shared" si="82"/>
        <v>1+1.8327484167592j</v>
      </c>
      <c r="AR149" s="86">
        <f t="shared" si="83"/>
        <v>-5.9257046580069523E-7</v>
      </c>
      <c r="AS149" s="86" t="str">
        <f t="shared" si="84"/>
        <v>0.000153290195843106j</v>
      </c>
      <c r="AT149" s="86" t="str">
        <f t="shared" si="85"/>
        <v>-5.92570465800695E-07+0.000153290195843106j</v>
      </c>
      <c r="AU149" s="86" t="str">
        <f t="shared" si="86"/>
        <v>1.78960115459758-0.985454183543409j</v>
      </c>
      <c r="AW149" s="86" t="str">
        <f t="shared" si="100"/>
        <v>1.18156689928931-0.676997307457338j</v>
      </c>
      <c r="AX149" s="86">
        <f t="shared" si="87"/>
        <v>2.6820943551444953</v>
      </c>
      <c r="AY149" s="86">
        <f t="shared" si="88"/>
        <v>150.1887706258938</v>
      </c>
      <c r="AZ149" s="86" t="str">
        <f t="shared" si="89"/>
        <v>2.73864536361303-1.89424640297899j</v>
      </c>
      <c r="BA149" s="86">
        <f t="shared" si="90"/>
        <v>10.448668421361674</v>
      </c>
      <c r="BB149" s="86">
        <f t="shared" si="91"/>
        <v>145.32944586120337</v>
      </c>
      <c r="BD149" s="86" t="str">
        <f t="shared" si="92"/>
        <v>1.62784014342029-1.35725349502996j</v>
      </c>
      <c r="BE149" s="86">
        <f t="shared" si="93"/>
        <v>6.5243980388736507</v>
      </c>
      <c r="BF149" s="86">
        <f t="shared" si="94"/>
        <v>140.17947526480279</v>
      </c>
      <c r="BH149" s="86">
        <f t="shared" si="101"/>
        <v>-5.5243980388736507</v>
      </c>
      <c r="BI149" s="159">
        <f t="shared" si="102"/>
        <v>-140.17947526480279</v>
      </c>
      <c r="BJ149" s="88"/>
      <c r="BK149" s="88"/>
      <c r="BL149" s="88"/>
      <c r="BM149" s="88"/>
      <c r="BN149" s="42"/>
      <c r="BO149" s="42"/>
      <c r="BP149" s="42"/>
    </row>
    <row r="150" spans="1:68" s="86" customFormat="1">
      <c r="A150" s="86">
        <v>86</v>
      </c>
      <c r="B150" s="86">
        <f t="shared" si="52"/>
        <v>5248.0746024977288</v>
      </c>
      <c r="C150" s="86" t="str">
        <f t="shared" si="53"/>
        <v>32974.6252333961j</v>
      </c>
      <c r="D150" s="86">
        <f t="shared" si="54"/>
        <v>0.99955932340746589</v>
      </c>
      <c r="E150" s="86" t="str">
        <f t="shared" si="55"/>
        <v>-0.0329746252333961j</v>
      </c>
      <c r="F150" s="86" t="str">
        <f t="shared" si="56"/>
        <v>0.999559323407466-0.0329746252333961j</v>
      </c>
      <c r="G150" s="86">
        <f t="shared" si="57"/>
        <v>8.952792720762718E-4</v>
      </c>
      <c r="H150" s="86">
        <f t="shared" si="58"/>
        <v>-1.8894545744637139</v>
      </c>
      <c r="J150" s="86">
        <f t="shared" si="59"/>
        <v>17.283950617283953</v>
      </c>
      <c r="K150" s="86" t="str">
        <f t="shared" si="60"/>
        <v>1+0.398168599693258j</v>
      </c>
      <c r="L150" s="86">
        <f t="shared" si="61"/>
        <v>0.96758157937137956</v>
      </c>
      <c r="M150" s="86" t="str">
        <f t="shared" si="62"/>
        <v>0.0888075863538933j</v>
      </c>
      <c r="N150" s="86" t="str">
        <f t="shared" si="63"/>
        <v>0.96758157937138+0.0888075863538933j</v>
      </c>
      <c r="O150" s="86" t="str">
        <f t="shared" si="64"/>
        <v>1.06232498192826+0.314005649344995j</v>
      </c>
      <c r="P150" s="86" t="str">
        <f t="shared" si="65"/>
        <v>18.3611725271551+5.42725813682707j</v>
      </c>
      <c r="R150" s="86">
        <f t="shared" si="66"/>
        <v>6.9135802469135808</v>
      </c>
      <c r="S150" s="86" t="str">
        <f t="shared" si="67"/>
        <v>1+0.00247309689250471j</v>
      </c>
      <c r="T150" s="86" t="str">
        <f t="shared" si="68"/>
        <v>0.96758157937138+0.0888075863538933j</v>
      </c>
      <c r="U150" s="86" t="str">
        <f t="shared" si="69"/>
        <v>1.02510357632438-0.0915311735689989j</v>
      </c>
      <c r="V150" s="86" t="str">
        <f t="shared" si="70"/>
        <v>7.0871358363167-0.632808113563449j</v>
      </c>
      <c r="X150" s="86" t="str">
        <f t="shared" si="71"/>
        <v>0.56827171521061+0.147783840358514j</v>
      </c>
      <c r="Y150" s="86">
        <f t="shared" si="72"/>
        <v>-4.624669968080422</v>
      </c>
      <c r="Z150" s="86">
        <f t="shared" si="73"/>
        <v>-165.42264895228169</v>
      </c>
      <c r="AB150" s="86" t="str">
        <f t="shared" si="74"/>
        <v>2.44181912772764-0.218029256326988j</v>
      </c>
      <c r="AC150" s="86">
        <f t="shared" si="75"/>
        <v>7.7887573002059227</v>
      </c>
      <c r="AD150" s="86">
        <f t="shared" si="76"/>
        <v>174.89760914463517</v>
      </c>
      <c r="AF150" s="86" t="str">
        <f t="shared" si="77"/>
        <v>1.53032274381885-0.2832329526117j</v>
      </c>
      <c r="AG150" s="86">
        <f t="shared" si="78"/>
        <v>3.8419361271136792</v>
      </c>
      <c r="AH150" s="86">
        <f t="shared" si="79"/>
        <v>169.51432028661961</v>
      </c>
      <c r="AJ150" s="86" t="str">
        <f t="shared" si="80"/>
        <v>9997.59867384162-154.943522666798j</v>
      </c>
      <c r="AK150" s="86" t="str">
        <f t="shared" si="81"/>
        <v>20000-0.0000131898500933584j</v>
      </c>
      <c r="AL150" s="86" t="str">
        <f t="shared" si="95"/>
        <v>10000-673918.871402852j</v>
      </c>
      <c r="AM150" s="86" t="str">
        <f t="shared" si="96"/>
        <v>963.038266286388-209157.091208928j</v>
      </c>
      <c r="AN150" s="86" t="str">
        <f t="shared" si="97"/>
        <v>10963.0382662864-209157.091208928j</v>
      </c>
      <c r="AO150" s="86" t="str">
        <f t="shared" si="98"/>
        <v>19722.9592886015-1871.42581838032j</v>
      </c>
      <c r="AP150" s="86" t="str">
        <f t="shared" si="99"/>
        <v>0.666702246614871+0.00344364865292732j</v>
      </c>
      <c r="AQ150" s="86" t="str">
        <f t="shared" si="82"/>
        <v>1+1.91912318858365j</v>
      </c>
      <c r="AR150" s="86">
        <f t="shared" si="83"/>
        <v>-6.5938841504319127E-7</v>
      </c>
      <c r="AS150" s="86" t="str">
        <f t="shared" si="84"/>
        <v>0.00016051454020363j</v>
      </c>
      <c r="AT150" s="86" t="str">
        <f t="shared" si="85"/>
        <v>-6.59388415043191E-07+0.00016051454020363j</v>
      </c>
      <c r="AU150" s="86" t="str">
        <f t="shared" si="86"/>
        <v>1.78954152986995-0.941846157745254j</v>
      </c>
      <c r="AW150" s="86" t="str">
        <f t="shared" si="100"/>
        <v>1.18148378550719-0.648867606289077j</v>
      </c>
      <c r="AX150" s="86">
        <f t="shared" si="87"/>
        <v>2.5933893816662335</v>
      </c>
      <c r="AY150" s="86">
        <f t="shared" si="88"/>
        <v>151.22453193875955</v>
      </c>
      <c r="AZ150" s="86" t="str">
        <f t="shared" si="89"/>
        <v>2.74349758489764-1.84201536351604j</v>
      </c>
      <c r="BA150" s="86">
        <f t="shared" si="90"/>
        <v>10.382146681872159</v>
      </c>
      <c r="BB150" s="86">
        <f t="shared" si="91"/>
        <v>146.12214108339481</v>
      </c>
      <c r="BD150" s="86" t="str">
        <f t="shared" si="92"/>
        <v>1.62427082043151-1.32761199666352j</v>
      </c>
      <c r="BE150" s="86">
        <f t="shared" si="93"/>
        <v>6.4353255087799361</v>
      </c>
      <c r="BF150" s="86">
        <f t="shared" si="94"/>
        <v>140.73885222537928</v>
      </c>
      <c r="BH150" s="86">
        <f t="shared" si="101"/>
        <v>-5.4353255087799361</v>
      </c>
      <c r="BI150" s="159">
        <f t="shared" si="102"/>
        <v>-140.73885222537928</v>
      </c>
      <c r="BJ150" s="88"/>
      <c r="BK150" s="88"/>
      <c r="BL150" s="88"/>
      <c r="BM150" s="88"/>
      <c r="BN150" s="42"/>
      <c r="BO150" s="42"/>
      <c r="BP150" s="42"/>
    </row>
    <row r="151" spans="1:68" s="86" customFormat="1">
      <c r="A151" s="86">
        <v>87</v>
      </c>
      <c r="B151" s="86">
        <f t="shared" si="52"/>
        <v>5495.4087385762468</v>
      </c>
      <c r="C151" s="86" t="str">
        <f t="shared" si="53"/>
        <v>34528.6714431686j</v>
      </c>
      <c r="D151" s="86">
        <f t="shared" si="54"/>
        <v>0.99951680772473572</v>
      </c>
      <c r="E151" s="86" t="str">
        <f t="shared" si="55"/>
        <v>-0.0345286714431686j</v>
      </c>
      <c r="F151" s="86" t="str">
        <f t="shared" si="56"/>
        <v>0.999516807724736-0.0345286714431686j</v>
      </c>
      <c r="G151" s="86">
        <f t="shared" si="57"/>
        <v>9.8173363828139501E-4</v>
      </c>
      <c r="H151" s="86">
        <f t="shared" si="58"/>
        <v>-1.9785167381926201</v>
      </c>
      <c r="J151" s="86">
        <f t="shared" si="59"/>
        <v>17.283950617283953</v>
      </c>
      <c r="K151" s="86" t="str">
        <f t="shared" si="60"/>
        <v>1+0.416933707676261j</v>
      </c>
      <c r="L151" s="86">
        <f t="shared" si="61"/>
        <v>0.96445390862731917</v>
      </c>
      <c r="M151" s="86" t="str">
        <f t="shared" si="62"/>
        <v>0.0929929589546572j</v>
      </c>
      <c r="N151" s="86" t="str">
        <f t="shared" si="63"/>
        <v>0.964453908627319+0.0929929589546572j</v>
      </c>
      <c r="O151" s="86" t="str">
        <f t="shared" si="64"/>
        <v>1.06860403687587+0.329265145276106j</v>
      </c>
      <c r="P151" s="86" t="str">
        <f t="shared" si="65"/>
        <v>18.4696994027928+5.69100251094504j</v>
      </c>
      <c r="R151" s="86">
        <f t="shared" si="66"/>
        <v>6.9135802469135808</v>
      </c>
      <c r="S151" s="86" t="str">
        <f t="shared" si="67"/>
        <v>1+0.00258965035823764j</v>
      </c>
      <c r="T151" s="86" t="str">
        <f t="shared" si="68"/>
        <v>0.964453908627319+0.0929929589546572j</v>
      </c>
      <c r="U151" s="86" t="str">
        <f t="shared" si="69"/>
        <v>1.02756196317436-0.0963927630703669j</v>
      </c>
      <c r="V151" s="86" t="str">
        <f t="shared" si="70"/>
        <v>7.104132091082-0.66641910270871j</v>
      </c>
      <c r="X151" s="86" t="str">
        <f t="shared" si="71"/>
        <v>0.572111948418959+0.154870501906784j</v>
      </c>
      <c r="Y151" s="86">
        <f t="shared" si="72"/>
        <v>-4.5432561598322732</v>
      </c>
      <c r="Z151" s="86">
        <f t="shared" si="73"/>
        <v>-164.853068460267</v>
      </c>
      <c r="AB151" s="86" t="str">
        <f t="shared" si="74"/>
        <v>2.44767505894501-0.229609668794346j</v>
      </c>
      <c r="AC151" s="86">
        <f t="shared" si="75"/>
        <v>7.8131251270526043</v>
      </c>
      <c r="AD151" s="86">
        <f t="shared" si="76"/>
        <v>174.64092330880823</v>
      </c>
      <c r="AF151" s="86" t="str">
        <f t="shared" si="77"/>
        <v>1.52772093259084-0.296549222761805j</v>
      </c>
      <c r="AG151" s="86">
        <f t="shared" si="78"/>
        <v>3.8415130984517134</v>
      </c>
      <c r="AH151" s="86">
        <f t="shared" si="79"/>
        <v>169.01480473274435</v>
      </c>
      <c r="AJ151" s="86" t="str">
        <f t="shared" si="80"/>
        <v>9997.36705922433-162.242027167815j</v>
      </c>
      <c r="AK151" s="86" t="str">
        <f t="shared" si="81"/>
        <v>20000-0.0000138114685772674j</v>
      </c>
      <c r="AL151" s="86" t="str">
        <f t="shared" si="95"/>
        <v>10000-643587.525769654j</v>
      </c>
      <c r="AM151" s="86" t="str">
        <f t="shared" si="96"/>
        <v>963.028537210028-199744.379337602j</v>
      </c>
      <c r="AN151" s="86" t="str">
        <f t="shared" si="97"/>
        <v>10963.02853721-199744.379337602j</v>
      </c>
      <c r="AO151" s="86" t="str">
        <f t="shared" si="98"/>
        <v>19696.8608770373-1955.56890617939j</v>
      </c>
      <c r="AP151" s="86" t="str">
        <f t="shared" si="99"/>
        <v>0.666705678902342+0.00360590568007417j</v>
      </c>
      <c r="AQ151" s="86" t="str">
        <f t="shared" si="82"/>
        <v>1+2.00956867799241j</v>
      </c>
      <c r="AR151" s="86">
        <f t="shared" si="83"/>
        <v>-7.3265283949859452E-7</v>
      </c>
      <c r="AS151" s="86" t="str">
        <f t="shared" si="84"/>
        <v>0.000168079357424485j</v>
      </c>
      <c r="AT151" s="86" t="str">
        <f t="shared" si="85"/>
        <v>-7.32652839498595E-07+0.000168079357424485j</v>
      </c>
      <c r="AU151" s="86" t="str">
        <f t="shared" si="86"/>
        <v>1.78948650159084-0.900235904546554j</v>
      </c>
      <c r="AW151" s="86" t="str">
        <f t="shared" si="100"/>
        <v>1.18139955625758-0.622114059657016j</v>
      </c>
      <c r="AX151" s="86">
        <f t="shared" si="87"/>
        <v>2.5108577138902848</v>
      </c>
      <c r="AY151" s="86">
        <f t="shared" si="88"/>
        <v>152.22912480063752</v>
      </c>
      <c r="AZ151" s="86" t="str">
        <f t="shared" si="89"/>
        <v>2.74883882531023-1.7939938284676j</v>
      </c>
      <c r="BA151" s="86">
        <f t="shared" si="90"/>
        <v>10.323982840942898</v>
      </c>
      <c r="BB151" s="86">
        <f t="shared" si="91"/>
        <v>146.87004810944572</v>
      </c>
      <c r="BD151" s="86" t="str">
        <f t="shared" si="92"/>
        <v>1.62036139098776-1.30075979157642j</v>
      </c>
      <c r="BE151" s="86">
        <f t="shared" si="93"/>
        <v>6.3523708123420199</v>
      </c>
      <c r="BF151" s="86">
        <f t="shared" si="94"/>
        <v>141.2439295333819</v>
      </c>
      <c r="BH151" s="86">
        <f t="shared" si="101"/>
        <v>-5.3523708123420199</v>
      </c>
      <c r="BI151" s="159">
        <f t="shared" si="102"/>
        <v>-141.2439295333819</v>
      </c>
      <c r="BJ151" s="88"/>
      <c r="BK151" s="88"/>
      <c r="BL151" s="88"/>
      <c r="BM151" s="88"/>
      <c r="BN151" s="42"/>
      <c r="BO151" s="42"/>
      <c r="BP151" s="42"/>
    </row>
    <row r="152" spans="1:68" s="86" customFormat="1">
      <c r="A152" s="86">
        <v>88</v>
      </c>
      <c r="B152" s="86">
        <f t="shared" si="52"/>
        <v>5754.3993733715697</v>
      </c>
      <c r="C152" s="86" t="str">
        <f t="shared" si="53"/>
        <v>36155.9575944117j</v>
      </c>
      <c r="D152" s="86">
        <f t="shared" si="54"/>
        <v>0.99947019020562788</v>
      </c>
      <c r="E152" s="86" t="str">
        <f t="shared" si="55"/>
        <v>-0.0361559575944117j</v>
      </c>
      <c r="F152" s="86" t="str">
        <f t="shared" si="56"/>
        <v>0.999470190205628-0.0361559575944117j</v>
      </c>
      <c r="G152" s="86">
        <f t="shared" si="57"/>
        <v>1.0765450289144161E-3</v>
      </c>
      <c r="H152" s="86">
        <f t="shared" si="58"/>
        <v>-2.0717784796531742</v>
      </c>
      <c r="J152" s="86">
        <f t="shared" si="59"/>
        <v>17.283950617283953</v>
      </c>
      <c r="K152" s="86" t="str">
        <f t="shared" si="60"/>
        <v>1+0.436583187952521j</v>
      </c>
      <c r="L152" s="86">
        <f t="shared" si="61"/>
        <v>0.96102448585174205</v>
      </c>
      <c r="M152" s="86" t="str">
        <f t="shared" si="62"/>
        <v>0.0973755820891471j</v>
      </c>
      <c r="N152" s="86" t="str">
        <f t="shared" si="63"/>
        <v>0.961024485851742+0.0973755820891471j</v>
      </c>
      <c r="O152" s="86" t="str">
        <f t="shared" si="64"/>
        <v>1.07554467231065+0.345310035601513j</v>
      </c>
      <c r="P152" s="86" t="str">
        <f t="shared" si="65"/>
        <v>18.5896610029001+5.96832160298912j</v>
      </c>
      <c r="R152" s="86">
        <f t="shared" si="66"/>
        <v>6.9135802469135808</v>
      </c>
      <c r="S152" s="86" t="str">
        <f t="shared" si="67"/>
        <v>1+0.00271169681958088j</v>
      </c>
      <c r="T152" s="86" t="str">
        <f t="shared" si="68"/>
        <v>0.961024485851742+0.0973755820891471j</v>
      </c>
      <c r="U152" s="86" t="str">
        <f t="shared" si="69"/>
        <v>1.03026469160796-0.101569656828388j</v>
      </c>
      <c r="V152" s="86" t="str">
        <f t="shared" si="70"/>
        <v>7.12281762099331-0.702209973134534j</v>
      </c>
      <c r="X152" s="86" t="str">
        <f t="shared" si="71"/>
        <v>0.576353574182767+0.162307020197801j</v>
      </c>
      <c r="Y152" s="86">
        <f t="shared" si="72"/>
        <v>-4.4547811919451865</v>
      </c>
      <c r="Z152" s="86">
        <f t="shared" si="73"/>
        <v>-164.27224116530348</v>
      </c>
      <c r="AB152" s="86" t="str">
        <f t="shared" si="74"/>
        <v>2.45411301715591-0.241941142893652j</v>
      </c>
      <c r="AC152" s="86">
        <f t="shared" si="75"/>
        <v>7.8398973086649377</v>
      </c>
      <c r="AD152" s="86">
        <f t="shared" si="76"/>
        <v>174.36963312754867</v>
      </c>
      <c r="AF152" s="86" t="str">
        <f t="shared" si="77"/>
        <v>1.52486022275927-0.310486600140836j</v>
      </c>
      <c r="AG152" s="86">
        <f t="shared" si="78"/>
        <v>3.8410252054305265</v>
      </c>
      <c r="AH152" s="86">
        <f t="shared" si="79"/>
        <v>168.49096989363764</v>
      </c>
      <c r="AJ152" s="86" t="str">
        <f t="shared" si="80"/>
        <v>9997.11311118089-169.883942925765j</v>
      </c>
      <c r="AK152" s="86" t="str">
        <f t="shared" si="81"/>
        <v>20000-0.0000144623830377647j</v>
      </c>
      <c r="AL152" s="86" t="str">
        <f t="shared" si="95"/>
        <v>10000-614621.315565899j</v>
      </c>
      <c r="AM152" s="86" t="str">
        <f t="shared" si="96"/>
        <v>963.017869715858-190755.352054912j</v>
      </c>
      <c r="AN152" s="86" t="str">
        <f t="shared" si="97"/>
        <v>10963.0178697159-190755.352054912j</v>
      </c>
      <c r="AO152" s="86" t="str">
        <f t="shared" si="98"/>
        <v>19668.368673546-2043.0970446894j</v>
      </c>
      <c r="AP152" s="86" t="str">
        <f t="shared" si="99"/>
        <v>0.666709442249466+0.00377580414472566j</v>
      </c>
      <c r="AQ152" s="86" t="str">
        <f t="shared" si="82"/>
        <v>1+2.10427673199476j</v>
      </c>
      <c r="AR152" s="86">
        <f t="shared" si="83"/>
        <v>-8.1298568346691986E-7</v>
      </c>
      <c r="AS152" s="86" t="str">
        <f t="shared" si="84"/>
        <v>0.000176000693497229j</v>
      </c>
      <c r="AT152" s="86" t="str">
        <f t="shared" si="85"/>
        <v>-8.1298568346692E-07+0.000176000693497229j</v>
      </c>
      <c r="AU152" s="86" t="str">
        <f t="shared" si="86"/>
        <v>1.7894356026288-0.860535163339045j</v>
      </c>
      <c r="AW152" s="86" t="str">
        <f t="shared" si="100"/>
        <v>1.18131349763134-0.596679894101537j</v>
      </c>
      <c r="AX152" s="86">
        <f t="shared" si="87"/>
        <v>2.4341720231236499</v>
      </c>
      <c r="AY152" s="86">
        <f t="shared" si="88"/>
        <v>153.2017192789308</v>
      </c>
      <c r="AZ152" s="86" t="str">
        <f t="shared" si="89"/>
        <v>2.75471541635846-1.75012823292241j</v>
      </c>
      <c r="BA152" s="86">
        <f t="shared" si="90"/>
        <v>10.27406933178858</v>
      </c>
      <c r="BB152" s="86">
        <f t="shared" si="91"/>
        <v>147.57135240647955</v>
      </c>
      <c r="BD152" s="86" t="str">
        <f t="shared" si="92"/>
        <v>1.61607685145467-1.27663544781568j</v>
      </c>
      <c r="BE152" s="86">
        <f t="shared" si="93"/>
        <v>6.2751972285541484</v>
      </c>
      <c r="BF152" s="86">
        <f t="shared" si="94"/>
        <v>141.69268917256835</v>
      </c>
      <c r="BH152" s="86">
        <f t="shared" si="101"/>
        <v>-5.2751972285541484</v>
      </c>
      <c r="BI152" s="159">
        <f t="shared" si="102"/>
        <v>-141.69268917256835</v>
      </c>
      <c r="BJ152" s="88"/>
      <c r="BK152" s="88"/>
      <c r="BL152" s="88"/>
      <c r="BM152" s="88"/>
      <c r="BN152" s="42"/>
      <c r="BO152" s="42"/>
      <c r="BP152" s="42"/>
    </row>
    <row r="153" spans="1:68" s="86" customFormat="1">
      <c r="A153" s="86">
        <v>89</v>
      </c>
      <c r="B153" s="86">
        <f t="shared" si="52"/>
        <v>6025.5958607435823</v>
      </c>
      <c r="C153" s="86" t="str">
        <f t="shared" si="53"/>
        <v>37859.9353792262j</v>
      </c>
      <c r="D153" s="86">
        <f t="shared" si="54"/>
        <v>0.99941907511236783</v>
      </c>
      <c r="E153" s="86" t="str">
        <f t="shared" si="55"/>
        <v>-0.0378599353792262j</v>
      </c>
      <c r="F153" s="86" t="str">
        <f t="shared" si="56"/>
        <v>0.999419075112368-0.0378599353792262j</v>
      </c>
      <c r="G153" s="86">
        <f t="shared" si="57"/>
        <v>1.1805229622985345E-3</v>
      </c>
      <c r="H153" s="86">
        <f t="shared" si="58"/>
        <v>-2.1694380453044797</v>
      </c>
      <c r="J153" s="86">
        <f t="shared" si="59"/>
        <v>17.283950617283953</v>
      </c>
      <c r="K153" s="86" t="str">
        <f t="shared" si="60"/>
        <v>1+0.457158719704156j</v>
      </c>
      <c r="L153" s="86">
        <f t="shared" si="61"/>
        <v>0.95726419855296518</v>
      </c>
      <c r="M153" s="86" t="str">
        <f t="shared" si="62"/>
        <v>0.10196475188862j</v>
      </c>
      <c r="N153" s="86" t="str">
        <f t="shared" si="63"/>
        <v>0.957264198552965+0.10196475188862j</v>
      </c>
      <c r="O153" s="86" t="str">
        <f t="shared" si="64"/>
        <v>1.08322264687319+0.362186522591876j</v>
      </c>
      <c r="P153" s="86" t="str">
        <f t="shared" si="65"/>
        <v>18.7223667360798+6.26001397072378j</v>
      </c>
      <c r="R153" s="86">
        <f t="shared" si="66"/>
        <v>6.9135802469135808</v>
      </c>
      <c r="S153" s="86" t="str">
        <f t="shared" si="67"/>
        <v>1+0.00283949515344196j</v>
      </c>
      <c r="T153" s="86" t="str">
        <f t="shared" si="68"/>
        <v>0.957264198552965+0.10196475188862j</v>
      </c>
      <c r="U153" s="86" t="str">
        <f t="shared" si="69"/>
        <v>1.03323670761397-0.107090842356368j</v>
      </c>
      <c r="V153" s="86" t="str">
        <f t="shared" si="70"/>
        <v>7.14336489214597-0.740381132340322j</v>
      </c>
      <c r="X153" s="86" t="str">
        <f t="shared" si="71"/>
        <v>0.581041889912003+0.170111607719578j</v>
      </c>
      <c r="Y153" s="86">
        <f t="shared" si="72"/>
        <v>-4.3586957599081355</v>
      </c>
      <c r="Z153" s="86">
        <f t="shared" si="73"/>
        <v>-163.68155479996076</v>
      </c>
      <c r="AB153" s="86" t="str">
        <f t="shared" si="74"/>
        <v>2.46119242425095-0.255092727515271j</v>
      </c>
      <c r="AC153" s="86">
        <f t="shared" si="75"/>
        <v>7.8693166299102302</v>
      </c>
      <c r="AD153" s="86">
        <f t="shared" si="76"/>
        <v>174.08265082412248</v>
      </c>
      <c r="AF153" s="86" t="str">
        <f t="shared" si="77"/>
        <v>1.52171410289772-0.325072955579542j</v>
      </c>
      <c r="AG153" s="86">
        <f t="shared" si="78"/>
        <v>3.8404613350544077</v>
      </c>
      <c r="AH153" s="86">
        <f t="shared" si="79"/>
        <v>167.94155791744311</v>
      </c>
      <c r="AJ153" s="86" t="str">
        <f t="shared" si="80"/>
        <v>9996.8346775163-177.88537199716j</v>
      </c>
      <c r="AK153" s="86" t="str">
        <f t="shared" si="81"/>
        <v>20000-0.0000151439741516905j</v>
      </c>
      <c r="AL153" s="86" t="str">
        <f t="shared" si="95"/>
        <v>10000-586958.799576176j</v>
      </c>
      <c r="AM153" s="86" t="str">
        <f t="shared" si="96"/>
        <v>963.006173312716-182170.942425828j</v>
      </c>
      <c r="AN153" s="86" t="str">
        <f t="shared" si="97"/>
        <v>10963.0061733127-182170.942425828j</v>
      </c>
      <c r="AO153" s="86" t="str">
        <f t="shared" si="98"/>
        <v>19637.2758213213-2134.08882100462j</v>
      </c>
      <c r="AP153" s="86" t="str">
        <f t="shared" si="99"/>
        <v>0.666713568579854+0.00395370336204153j</v>
      </c>
      <c r="AQ153" s="86" t="str">
        <f t="shared" si="82"/>
        <v>1+2.20344823907096j</v>
      </c>
      <c r="AR153" s="86">
        <f t="shared" si="83"/>
        <v>-9.0106889531235523E-7</v>
      </c>
      <c r="AS153" s="86" t="str">
        <f t="shared" si="84"/>
        <v>0.000184295350637705j</v>
      </c>
      <c r="AT153" s="86" t="str">
        <f t="shared" si="85"/>
        <v>-9.01068895312355E-07+0.000184295350637705j</v>
      </c>
      <c r="AU153" s="86" t="str">
        <f t="shared" si="86"/>
        <v>1.78938840090711-0.822659723672224j</v>
      </c>
      <c r="AW153" s="86" t="str">
        <f t="shared" si="100"/>
        <v>1.18122488041498-0.572511130814335j</v>
      </c>
      <c r="AX153" s="86">
        <f t="shared" si="87"/>
        <v>2.3630070635318354</v>
      </c>
      <c r="AY153" s="86">
        <f t="shared" si="88"/>
        <v>154.14165400562183</v>
      </c>
      <c r="AZ153" s="86" t="str">
        <f t="shared" si="89"/>
        <v>2.76117830112181-1.71038193451355j</v>
      </c>
      <c r="BA153" s="86">
        <f t="shared" si="90"/>
        <v>10.232323693442094</v>
      </c>
      <c r="BB153" s="86">
        <f t="shared" si="91"/>
        <v>148.22430482974426</v>
      </c>
      <c r="BD153" s="86" t="str">
        <f t="shared" si="92"/>
        <v>1.61137867382515-1.25518252490669j</v>
      </c>
      <c r="BE153" s="86">
        <f t="shared" si="93"/>
        <v>6.2034683985862742</v>
      </c>
      <c r="BF153" s="86">
        <f t="shared" si="94"/>
        <v>142.08321192306485</v>
      </c>
      <c r="BH153" s="86">
        <f t="shared" si="101"/>
        <v>-5.2034683985862742</v>
      </c>
      <c r="BI153" s="159">
        <f t="shared" si="102"/>
        <v>-142.08321192306485</v>
      </c>
      <c r="BJ153" s="88"/>
      <c r="BK153" s="88"/>
      <c r="BL153" s="88"/>
      <c r="BM153" s="88"/>
      <c r="BN153" s="42"/>
      <c r="BO153" s="42"/>
      <c r="BP153" s="42"/>
    </row>
    <row r="154" spans="1:68" s="86" customFormat="1">
      <c r="A154" s="86">
        <v>90</v>
      </c>
      <c r="B154" s="86">
        <f t="shared" si="52"/>
        <v>6309.5734448019366</v>
      </c>
      <c r="C154" s="86" t="str">
        <f t="shared" si="53"/>
        <v>39644.21916295j</v>
      </c>
      <c r="D154" s="86">
        <f t="shared" si="54"/>
        <v>0.99936302852711445</v>
      </c>
      <c r="E154" s="86" t="str">
        <f t="shared" si="55"/>
        <v>-0.03964421916295j</v>
      </c>
      <c r="F154" s="86" t="str">
        <f t="shared" si="56"/>
        <v>0.999363028527114-0.03964421916295j</v>
      </c>
      <c r="G154" s="86">
        <f t="shared" si="57"/>
        <v>1.2945557140900768E-3</v>
      </c>
      <c r="H154" s="86">
        <f t="shared" si="58"/>
        <v>-2.2717030728952481</v>
      </c>
      <c r="J154" s="86">
        <f t="shared" si="59"/>
        <v>17.283950617283953</v>
      </c>
      <c r="K154" s="86" t="str">
        <f t="shared" si="60"/>
        <v>1+0.478703946392621j</v>
      </c>
      <c r="L154" s="86">
        <f t="shared" si="61"/>
        <v>0.95314112551862196</v>
      </c>
      <c r="M154" s="86" t="str">
        <f t="shared" si="62"/>
        <v>0.106770202597501j</v>
      </c>
      <c r="N154" s="86" t="str">
        <f t="shared" si="63"/>
        <v>0.953141125518622+0.106770202597501j</v>
      </c>
      <c r="O154" s="86" t="str">
        <f t="shared" si="64"/>
        <v>1.09172365512334+0.379944145582397j</v>
      </c>
      <c r="P154" s="86" t="str">
        <f t="shared" si="65"/>
        <v>18.8692977428725+6.56693584957229j</v>
      </c>
      <c r="R154" s="86">
        <f t="shared" si="66"/>
        <v>6.9135802469135808</v>
      </c>
      <c r="S154" s="86" t="str">
        <f t="shared" si="67"/>
        <v>1+0.00297331643722125j</v>
      </c>
      <c r="T154" s="86" t="str">
        <f t="shared" si="68"/>
        <v>0.953141125518622+0.106770202597501j</v>
      </c>
      <c r="U154" s="86" t="str">
        <f t="shared" si="69"/>
        <v>1.03650561284428-0.112989141855578j</v>
      </c>
      <c r="V154" s="86" t="str">
        <f t="shared" si="70"/>
        <v>7.16596473077527-0.781159499248441j</v>
      </c>
      <c r="X154" s="86" t="str">
        <f t="shared" si="71"/>
        <v>0.586227998500078+0.178303402287975j</v>
      </c>
      <c r="Y154" s="86">
        <f t="shared" si="72"/>
        <v>-4.2544168032410665</v>
      </c>
      <c r="Z154" s="86">
        <f t="shared" si="73"/>
        <v>-163.08266829006124</v>
      </c>
      <c r="AB154" s="86" t="str">
        <f t="shared" si="74"/>
        <v>2.46897902796833-0.26914260586013j</v>
      </c>
      <c r="AC154" s="86">
        <f t="shared" si="75"/>
        <v>7.9016514863720033</v>
      </c>
      <c r="AD154" s="86">
        <f t="shared" si="76"/>
        <v>173.77877050518239</v>
      </c>
      <c r="AF154" s="86" t="str">
        <f t="shared" si="77"/>
        <v>1.51825321336504-0.340337151940482j</v>
      </c>
      <c r="AG154" s="86">
        <f t="shared" si="78"/>
        <v>3.839808323963763</v>
      </c>
      <c r="AH154" s="86">
        <f t="shared" si="79"/>
        <v>167.36523605057107</v>
      </c>
      <c r="AJ154" s="86" t="str">
        <f t="shared" si="80"/>
        <v>9996.52939889967-186.26316310866j</v>
      </c>
      <c r="AK154" s="86" t="str">
        <f t="shared" si="81"/>
        <v>20000-0.00001585768766518j</v>
      </c>
      <c r="AL154" s="86" t="str">
        <f t="shared" si="95"/>
        <v>10000-560541.301895291j</v>
      </c>
      <c r="AM154" s="86" t="str">
        <f t="shared" si="96"/>
        <v>962.993348788252-173972.941763171j</v>
      </c>
      <c r="AN154" s="86" t="str">
        <f t="shared" si="97"/>
        <v>10962.9933487883-173972.941763171j</v>
      </c>
      <c r="AO154" s="86" t="str">
        <f t="shared" si="98"/>
        <v>19603.3600686072-2228.6157791922j</v>
      </c>
      <c r="AP154" s="86" t="str">
        <f t="shared" si="99"/>
        <v>0.66671809289372+0.00413997946054495j</v>
      </c>
      <c r="AQ154" s="86" t="str">
        <f t="shared" si="82"/>
        <v>1+2.30729355528369j</v>
      </c>
      <c r="AR154" s="86">
        <f t="shared" si="83"/>
        <v>-9.9765021654714308E-7</v>
      </c>
      <c r="AS154" s="86" t="str">
        <f t="shared" si="84"/>
        <v>0.000192980922925791j</v>
      </c>
      <c r="AT154" s="86" t="str">
        <f t="shared" si="85"/>
        <v>-9.97650216547143E-07+0.000192980922925791j</v>
      </c>
      <c r="AU154" s="86" t="str">
        <f t="shared" si="86"/>
        <v>1.78934449573605-0.786529246634477j</v>
      </c>
      <c r="AW154" s="86" t="str">
        <f t="shared" si="100"/>
        <v>1.18113295394577-0.549556470580161j</v>
      </c>
      <c r="AX154" s="86">
        <f t="shared" si="87"/>
        <v>2.2970420119087271</v>
      </c>
      <c r="AY154" s="86">
        <f t="shared" si="88"/>
        <v>155.04842576740052</v>
      </c>
      <c r="AZ154" s="86" t="str">
        <f t="shared" si="89"/>
        <v>2.76828343197514-1.67473660163895j</v>
      </c>
      <c r="BA154" s="86">
        <f t="shared" si="90"/>
        <v>10.198693498280708</v>
      </c>
      <c r="BB154" s="86">
        <f t="shared" si="91"/>
        <v>148.82719627258282</v>
      </c>
      <c r="BD154" s="86" t="str">
        <f t="shared" si="92"/>
        <v>1.60622441871179-1.23634930299283j</v>
      </c>
      <c r="BE154" s="86">
        <f t="shared" si="93"/>
        <v>6.13685033587248</v>
      </c>
      <c r="BF154" s="86">
        <f t="shared" si="94"/>
        <v>142.41366181797156</v>
      </c>
      <c r="BH154" s="86">
        <f t="shared" si="101"/>
        <v>-5.13685033587248</v>
      </c>
      <c r="BI154" s="159">
        <f t="shared" si="102"/>
        <v>-142.41366181797156</v>
      </c>
      <c r="BJ154" s="88"/>
      <c r="BK154" s="88"/>
      <c r="BL154" s="88"/>
      <c r="BM154" s="88"/>
      <c r="BN154" s="42"/>
      <c r="BO154" s="42"/>
      <c r="BP154" s="42"/>
    </row>
    <row r="155" spans="1:68" s="86" customFormat="1">
      <c r="A155" s="86">
        <v>91</v>
      </c>
      <c r="B155" s="86">
        <f t="shared" si="52"/>
        <v>6606.9344800759627</v>
      </c>
      <c r="C155" s="86" t="str">
        <f t="shared" si="53"/>
        <v>41512.5936507115j</v>
      </c>
      <c r="D155" s="86">
        <f t="shared" si="54"/>
        <v>0.99930157466841574</v>
      </c>
      <c r="E155" s="86" t="str">
        <f t="shared" si="55"/>
        <v>-0.0415125936507115j</v>
      </c>
      <c r="F155" s="86" t="str">
        <f t="shared" si="56"/>
        <v>0.999301574668416-0.0415125936507115j</v>
      </c>
      <c r="G155" s="86">
        <f t="shared" si="57"/>
        <v>1.4196180483111488E-3</v>
      </c>
      <c r="H155" s="86">
        <f t="shared" si="58"/>
        <v>-2.3787910411685487</v>
      </c>
      <c r="J155" s="86">
        <f t="shared" si="59"/>
        <v>17.283950617283953</v>
      </c>
      <c r="K155" s="86" t="str">
        <f t="shared" si="60"/>
        <v>1+0.501264568332341j</v>
      </c>
      <c r="L155" s="86">
        <f t="shared" si="61"/>
        <v>0.94862026583535863</v>
      </c>
      <c r="M155" s="86" t="str">
        <f t="shared" si="62"/>
        <v>0.111802127221021j</v>
      </c>
      <c r="N155" s="86" t="str">
        <f t="shared" si="63"/>
        <v>0.948620265835359+0.111802127221021j</v>
      </c>
      <c r="O155" s="86" t="str">
        <f t="shared" si="64"/>
        <v>1.10114488906799+0.398636041180272j</v>
      </c>
      <c r="P155" s="86" t="str">
        <f t="shared" si="65"/>
        <v>19.0321338851258+6.89000565002939j</v>
      </c>
      <c r="R155" s="86">
        <f t="shared" si="66"/>
        <v>6.9135802469135808</v>
      </c>
      <c r="S155" s="86" t="str">
        <f t="shared" si="67"/>
        <v>1+0.00311344452380336j</v>
      </c>
      <c r="T155" s="86" t="str">
        <f t="shared" si="68"/>
        <v>0.948620265835359+0.111802127221021j</v>
      </c>
      <c r="U155" s="86" t="str">
        <f t="shared" si="69"/>
        <v>1.04010195988792-0.119301865239785j</v>
      </c>
      <c r="V155" s="86" t="str">
        <f t="shared" si="70"/>
        <v>7.19082836465723-0.824803018941724j</v>
      </c>
      <c r="X155" s="86" t="str">
        <f t="shared" si="71"/>
        <v>0.591969693884417+0.186902460969882j</v>
      </c>
      <c r="Y155" s="86">
        <f t="shared" si="72"/>
        <v>-4.1413263596446006</v>
      </c>
      <c r="Z155" s="86">
        <f t="shared" si="73"/>
        <v>-162.47754175375275</v>
      </c>
      <c r="AB155" s="86" t="str">
        <f t="shared" si="74"/>
        <v>2.47754560524298-0.284179650958422j</v>
      </c>
      <c r="AC155" s="86">
        <f t="shared" si="75"/>
        <v>7.9371987943355293</v>
      </c>
      <c r="AD155" s="86">
        <f t="shared" si="76"/>
        <v>173.45665054668825</v>
      </c>
      <c r="AF155" s="86" t="str">
        <f t="shared" si="77"/>
        <v>1.51444501921718-0.356309014067749j</v>
      </c>
      <c r="AG155" s="86">
        <f t="shared" si="78"/>
        <v>3.8390505642784878</v>
      </c>
      <c r="AH155" s="86">
        <f t="shared" si="79"/>
        <v>166.76059104128561</v>
      </c>
      <c r="AJ155" s="86" t="str">
        <f t="shared" si="80"/>
        <v>9996.194688982-195.034945043242j</v>
      </c>
      <c r="AK155" s="86" t="str">
        <f t="shared" si="81"/>
        <v>20000-0.0000166050374602846j</v>
      </c>
      <c r="AL155" s="86" t="str">
        <f t="shared" si="95"/>
        <v>10000-535312.787468805j</v>
      </c>
      <c r="AM155" s="86" t="str">
        <f t="shared" si="96"/>
        <v>962.979287369397-166143.961004479j</v>
      </c>
      <c r="AN155" s="86" t="str">
        <f t="shared" si="97"/>
        <v>10962.9792873694-166143.961004479j</v>
      </c>
      <c r="AO155" s="86" t="str">
        <f t="shared" si="98"/>
        <v>19566.3831127512-2326.74079565992j</v>
      </c>
      <c r="AP155" s="86" t="str">
        <f t="shared" si="99"/>
        <v>0.666723053564049+0.00433502615665492j</v>
      </c>
      <c r="AQ155" s="86" t="str">
        <f t="shared" si="82"/>
        <v>1+2.41603295047141j</v>
      </c>
      <c r="AR155" s="86">
        <f t="shared" si="83"/>
        <v>-1.1035495294357884E-6</v>
      </c>
      <c r="AS155" s="86" t="str">
        <f t="shared" si="84"/>
        <v>0.000202075833624806j</v>
      </c>
      <c r="AT155" s="86" t="str">
        <f t="shared" si="85"/>
        <v>-1.10354952943579E-06+0.000202075833624806j</v>
      </c>
      <c r="AU155" s="86" t="str">
        <f t="shared" si="86"/>
        <v>1.78930351441167-0.752067094442959j</v>
      </c>
      <c r="AW155" s="86" t="str">
        <f t="shared" si="100"/>
        <v>1.18103693979407-0.527767184317076j</v>
      </c>
      <c r="AX155" s="86">
        <f t="shared" si="87"/>
        <v>2.2359624906656181</v>
      </c>
      <c r="AY155" s="86">
        <f t="shared" si="88"/>
        <v>155.92167796713176</v>
      </c>
      <c r="AZ155" s="86" t="str">
        <f t="shared" si="89"/>
        <v>2.77609218558988-1.64319393341592j</v>
      </c>
      <c r="BA155" s="86">
        <f t="shared" si="90"/>
        <v>10.173161285001154</v>
      </c>
      <c r="BB155" s="86">
        <f t="shared" si="91"/>
        <v>149.37832851381992</v>
      </c>
      <c r="BD155" s="86" t="str">
        <f t="shared" si="92"/>
        <v>1.60056730588131-1.22008849119089j</v>
      </c>
      <c r="BE155" s="86">
        <f t="shared" si="93"/>
        <v>6.0750130549441437</v>
      </c>
      <c r="BF155" s="86">
        <f t="shared" si="94"/>
        <v>142.68226900841748</v>
      </c>
      <c r="BH155" s="86">
        <f t="shared" si="101"/>
        <v>-5.0750130549441437</v>
      </c>
      <c r="BI155" s="159">
        <f t="shared" si="102"/>
        <v>-142.68226900841748</v>
      </c>
      <c r="BJ155" s="88"/>
      <c r="BK155" s="88"/>
      <c r="BL155" s="88"/>
      <c r="BM155" s="88"/>
      <c r="BN155" s="42"/>
      <c r="BO155" s="42"/>
      <c r="BP155" s="42"/>
    </row>
    <row r="156" spans="1:68" s="86" customFormat="1">
      <c r="A156" s="86">
        <v>92</v>
      </c>
      <c r="B156" s="86">
        <f t="shared" si="52"/>
        <v>6918.309709189366</v>
      </c>
      <c r="C156" s="86" t="str">
        <f t="shared" si="53"/>
        <v>43469.0219152965j</v>
      </c>
      <c r="D156" s="86">
        <f t="shared" si="54"/>
        <v>0.99923419185228379</v>
      </c>
      <c r="E156" s="86" t="str">
        <f t="shared" si="55"/>
        <v>-0.0434690219152965j</v>
      </c>
      <c r="F156" s="86" t="str">
        <f t="shared" si="56"/>
        <v>0.999234191852284-0.0434690219152965j</v>
      </c>
      <c r="G156" s="86">
        <f t="shared" si="57"/>
        <v>1.5567797209745599E-3</v>
      </c>
      <c r="H156" s="86">
        <f t="shared" si="58"/>
        <v>-2.4909297418037681</v>
      </c>
      <c r="J156" s="86">
        <f t="shared" si="59"/>
        <v>17.283950617283953</v>
      </c>
      <c r="K156" s="86" t="str">
        <f t="shared" si="60"/>
        <v>1+0.524888439627205j</v>
      </c>
      <c r="L156" s="86">
        <f t="shared" si="61"/>
        <v>0.94366324176483751</v>
      </c>
      <c r="M156" s="86" t="str">
        <f t="shared" si="62"/>
        <v>0.11707119914595j</v>
      </c>
      <c r="N156" s="86" t="str">
        <f t="shared" si="63"/>
        <v>0.943663241764838+0.11707119914595j</v>
      </c>
      <c r="O156" s="86" t="str">
        <f t="shared" si="64"/>
        <v>1.11159689668826+0.418319205934872j</v>
      </c>
      <c r="P156" s="86" t="str">
        <f t="shared" si="65"/>
        <v>19.212785868686+7.23020849763976j</v>
      </c>
      <c r="R156" s="86">
        <f t="shared" si="66"/>
        <v>6.9135802469135808</v>
      </c>
      <c r="S156" s="86" t="str">
        <f t="shared" si="67"/>
        <v>1+0.00326017664364724j</v>
      </c>
      <c r="T156" s="86" t="str">
        <f t="shared" si="68"/>
        <v>0.943663241764838+0.11707119914595j</v>
      </c>
      <c r="U156" s="86" t="str">
        <f t="shared" si="69"/>
        <v>1.0440595792644-0.126071595263324j</v>
      </c>
      <c r="V156" s="86" t="str">
        <f t="shared" si="70"/>
        <v>7.21818968380326-0.871606090709401j</v>
      </c>
      <c r="X156" s="86" t="str">
        <f t="shared" si="71"/>
        <v>0.598332509667982+0.195929726303186j</v>
      </c>
      <c r="Y156" s="86">
        <f t="shared" si="72"/>
        <v>-4.0187703663143477</v>
      </c>
      <c r="Z156" s="86">
        <f t="shared" si="73"/>
        <v>-161.8684689467986</v>
      </c>
      <c r="AB156" s="86" t="str">
        <f t="shared" si="74"/>
        <v>2.48697274111193-0.300305295861839j</v>
      </c>
      <c r="AC156" s="86">
        <f t="shared" si="75"/>
        <v>7.9762872677515793</v>
      </c>
      <c r="AD156" s="86">
        <f t="shared" si="76"/>
        <v>173.11479274619774</v>
      </c>
      <c r="AF156" s="86" t="str">
        <f t="shared" si="77"/>
        <v>1.510253443111-0.373019278537275j</v>
      </c>
      <c r="AG156" s="86">
        <f t="shared" si="78"/>
        <v>3.8381695323217571</v>
      </c>
      <c r="AH156" s="86">
        <f t="shared" si="79"/>
        <v>166.12612304009124</v>
      </c>
      <c r="AJ156" s="86" t="str">
        <f t="shared" si="80"/>
        <v>9995.82771261622-204.219161333583j</v>
      </c>
      <c r="AK156" s="86" t="str">
        <f t="shared" si="81"/>
        <v>20000-0.0000173876087661186j</v>
      </c>
      <c r="AL156" s="86" t="str">
        <f t="shared" si="95"/>
        <v>10000-511219.743235179j</v>
      </c>
      <c r="AM156" s="86" t="str">
        <f t="shared" si="96"/>
        <v>962.963869802179-158667.393827402j</v>
      </c>
      <c r="AN156" s="86" t="str">
        <f t="shared" si="97"/>
        <v>10962.9638698022-158667.393827402j</v>
      </c>
      <c r="AO156" s="86" t="str">
        <f t="shared" si="98"/>
        <v>19526.0900212755-2428.51625575316j</v>
      </c>
      <c r="AP156" s="86" t="str">
        <f t="shared" si="99"/>
        <v>0.666728492661175+0.00453925556307975j</v>
      </c>
      <c r="AQ156" s="86" t="str">
        <f t="shared" si="82"/>
        <v>1+2.52989707547026j</v>
      </c>
      <c r="AR156" s="86">
        <f t="shared" si="83"/>
        <v>-1.2196658170047348E-6</v>
      </c>
      <c r="AS156" s="86" t="str">
        <f t="shared" si="84"/>
        <v>0.000211599374259719j</v>
      </c>
      <c r="AT156" s="86" t="str">
        <f t="shared" si="85"/>
        <v>-1.21966581700473E-06+0.000211599374259719j</v>
      </c>
      <c r="AU156" s="86" t="str">
        <f t="shared" si="86"/>
        <v>1.78926510905218-0.719200167880837j</v>
      </c>
      <c r="AW156" s="86" t="str">
        <f t="shared" si="100"/>
        <v>1.1809360252209-0.507097008970871j</v>
      </c>
      <c r="AX156" s="86">
        <f t="shared" si="87"/>
        <v>2.1794622754762152</v>
      </c>
      <c r="AY156" s="86">
        <f t="shared" si="88"/>
        <v>156.76118831699083</v>
      </c>
      <c r="AZ156" s="86" t="str">
        <f t="shared" si="89"/>
        <v>2.7846717864118-1.61577778085781j</v>
      </c>
      <c r="BA156" s="86">
        <f t="shared" si="90"/>
        <v>10.155749543227792</v>
      </c>
      <c r="BB156" s="86">
        <f t="shared" si="91"/>
        <v>149.87598106318868</v>
      </c>
      <c r="BD156" s="86" t="str">
        <f t="shared" si="92"/>
        <v>1.59435573774896-1.20635690791612j</v>
      </c>
      <c r="BE156" s="86">
        <f t="shared" si="93"/>
        <v>6.0176318077979634</v>
      </c>
      <c r="BF156" s="86">
        <f t="shared" si="94"/>
        <v>142.88731135708218</v>
      </c>
      <c r="BH156" s="86">
        <f t="shared" si="101"/>
        <v>-5.0176318077979634</v>
      </c>
      <c r="BI156" s="159">
        <f t="shared" si="102"/>
        <v>-142.88731135708218</v>
      </c>
      <c r="BJ156" s="88"/>
      <c r="BK156" s="88"/>
      <c r="BL156" s="88"/>
      <c r="BM156" s="88"/>
      <c r="BN156" s="42"/>
      <c r="BO156" s="42"/>
      <c r="BP156" s="42"/>
    </row>
    <row r="157" spans="1:68" s="86" customFormat="1">
      <c r="A157" s="86">
        <v>93</v>
      </c>
      <c r="B157" s="86">
        <f t="shared" si="52"/>
        <v>7244.3596007499063</v>
      </c>
      <c r="C157" s="86" t="str">
        <f t="shared" si="53"/>
        <v>45517.6538033572j</v>
      </c>
      <c r="D157" s="86">
        <f t="shared" si="54"/>
        <v>0.99916030806360034</v>
      </c>
      <c r="E157" s="86" t="str">
        <f t="shared" si="55"/>
        <v>-0.0455176538033572j</v>
      </c>
      <c r="F157" s="86" t="str">
        <f t="shared" si="56"/>
        <v>0.9991603080636-0.0455176538033572j</v>
      </c>
      <c r="G157" s="86">
        <f t="shared" si="57"/>
        <v>1.7072148364205113E-3</v>
      </c>
      <c r="H157" s="86">
        <f t="shared" si="58"/>
        <v>-2.6083577747958158</v>
      </c>
      <c r="J157" s="86">
        <f t="shared" si="59"/>
        <v>17.283950617283953</v>
      </c>
      <c r="K157" s="86" t="str">
        <f t="shared" si="60"/>
        <v>1+0.549625669675538j</v>
      </c>
      <c r="L157" s="86">
        <f t="shared" si="61"/>
        <v>0.93822797295375426</v>
      </c>
      <c r="M157" s="86" t="str">
        <f t="shared" si="62"/>
        <v>0.122588594780276j</v>
      </c>
      <c r="N157" s="86" t="str">
        <f t="shared" si="63"/>
        <v>0.938227972953754+0.122588594780276j</v>
      </c>
      <c r="O157" s="86" t="str">
        <f t="shared" si="64"/>
        <v>1.12320580419946+0.439054750406575j</v>
      </c>
      <c r="P157" s="86" t="str">
        <f t="shared" si="65"/>
        <v>19.4134336528302+7.58860062431117j</v>
      </c>
      <c r="R157" s="86">
        <f t="shared" si="66"/>
        <v>6.9135802469135808</v>
      </c>
      <c r="S157" s="86" t="str">
        <f t="shared" si="67"/>
        <v>1+0.00341382403525179j</v>
      </c>
      <c r="T157" s="86" t="str">
        <f t="shared" si="68"/>
        <v>0.938227972953754+0.122588594780276j</v>
      </c>
      <c r="U157" s="86" t="str">
        <f t="shared" si="69"/>
        <v>1.04841593981367-0.13334713564111j</v>
      </c>
      <c r="V157" s="86" t="str">
        <f t="shared" si="70"/>
        <v>7.24830773204513-0.921906122950884j</v>
      </c>
      <c r="X157" s="86" t="str">
        <f t="shared" si="71"/>
        <v>0.605390966242801+0.205406952212611j</v>
      </c>
      <c r="Y157" s="86">
        <f t="shared" si="72"/>
        <v>-3.8860573572177701</v>
      </c>
      <c r="Z157" s="86">
        <f t="shared" si="73"/>
        <v>-161.25811248451677</v>
      </c>
      <c r="AB157" s="86" t="str">
        <f t="shared" si="74"/>
        <v>2.49734968717101-0.317635792086165j</v>
      </c>
      <c r="AC157" s="86">
        <f t="shared" si="75"/>
        <v>8.0192811134098143</v>
      </c>
      <c r="AD157" s="86">
        <f t="shared" si="76"/>
        <v>172.75151754683714</v>
      </c>
      <c r="AF157" s="86" t="str">
        <f t="shared" si="77"/>
        <v>1.50563845333687-0.390499517626779j</v>
      </c>
      <c r="AG157" s="86">
        <f t="shared" si="78"/>
        <v>3.8371432251295818</v>
      </c>
      <c r="AH157" s="86">
        <f t="shared" si="79"/>
        <v>165.46023895587635</v>
      </c>
      <c r="AJ157" s="86" t="str">
        <f t="shared" si="80"/>
        <v>9995.42536200072-213.835106285077j</v>
      </c>
      <c r="AK157" s="86" t="str">
        <f t="shared" si="81"/>
        <v>20000-0.0000182070615213429j</v>
      </c>
      <c r="AL157" s="86" t="str">
        <f t="shared" si="95"/>
        <v>10000-488211.064617378j</v>
      </c>
      <c r="AM157" s="86" t="str">
        <f t="shared" si="96"/>
        <v>962.946965343306-151527.381425372j</v>
      </c>
      <c r="AN157" s="86" t="str">
        <f t="shared" si="97"/>
        <v>10962.9469653433-151527.381425372j</v>
      </c>
      <c r="AO157" s="86" t="str">
        <f t="shared" si="98"/>
        <v>19482.2087579916-2533.9820191931j</v>
      </c>
      <c r="AP157" s="86" t="str">
        <f t="shared" si="99"/>
        <v>0.666734456308533+0.00475309903227732j</v>
      </c>
      <c r="AQ157" s="86" t="str">
        <f t="shared" si="82"/>
        <v>1+2.64912745135539j</v>
      </c>
      <c r="AR157" s="86">
        <f t="shared" si="83"/>
        <v>-1.3469847945411762E-6</v>
      </c>
      <c r="AS157" s="86" t="str">
        <f t="shared" si="84"/>
        <v>0.000221571745537058j</v>
      </c>
      <c r="AT157" s="86" t="str">
        <f t="shared" si="85"/>
        <v>-1.34698479454118E-06+0.000221571745537058j</v>
      </c>
      <c r="AU157" s="86" t="str">
        <f t="shared" si="86"/>
        <v>1.78922895364515-0.687858751236954j</v>
      </c>
      <c r="AW157" s="86" t="str">
        <f t="shared" si="100"/>
        <v>1.18082935635756-0.487502048528786j</v>
      </c>
      <c r="AX157" s="86">
        <f t="shared" si="87"/>
        <v>2.1272446970699317</v>
      </c>
      <c r="AY157" s="86">
        <f t="shared" si="88"/>
        <v>157.56685608924028</v>
      </c>
      <c r="AZ157" s="86" t="str">
        <f t="shared" si="89"/>
        <v>2.79409572437383-1.59253675631382j</v>
      </c>
      <c r="BA157" s="86">
        <f t="shared" si="90"/>
        <v>10.146525810479748</v>
      </c>
      <c r="BB157" s="86">
        <f t="shared" si="91"/>
        <v>150.31837363607744</v>
      </c>
      <c r="BD157" s="86" t="str">
        <f t="shared" si="92"/>
        <v>1.58753277096842-1.19511512440261j</v>
      </c>
      <c r="BE157" s="86">
        <f t="shared" si="93"/>
        <v>5.9643879221995588</v>
      </c>
      <c r="BF157" s="86">
        <f t="shared" si="94"/>
        <v>143.02709504511665</v>
      </c>
      <c r="BH157" s="86">
        <f t="shared" si="101"/>
        <v>-4.9643879221995588</v>
      </c>
      <c r="BI157" s="159">
        <f t="shared" si="102"/>
        <v>-143.02709504511665</v>
      </c>
      <c r="BJ157" s="88"/>
      <c r="BK157" s="88"/>
      <c r="BL157" s="88"/>
      <c r="BM157" s="88"/>
      <c r="BN157" s="42"/>
      <c r="BO157" s="42"/>
      <c r="BP157" s="42"/>
    </row>
    <row r="158" spans="1:68" s="86" customFormat="1">
      <c r="A158" s="86">
        <v>94</v>
      </c>
      <c r="B158" s="86">
        <f t="shared" si="52"/>
        <v>7585.775750291843</v>
      </c>
      <c r="C158" s="86" t="str">
        <f t="shared" si="53"/>
        <v>47662.8347377929j</v>
      </c>
      <c r="D158" s="86">
        <f t="shared" si="54"/>
        <v>0.99907929610026058</v>
      </c>
      <c r="E158" s="86" t="str">
        <f t="shared" si="55"/>
        <v>-0.0476628347377929j</v>
      </c>
      <c r="F158" s="86" t="str">
        <f t="shared" si="56"/>
        <v>0.999079296100261-0.0476628347377929j</v>
      </c>
      <c r="G158" s="86">
        <f t="shared" si="57"/>
        <v>1.8722121449567383E-3</v>
      </c>
      <c r="H158" s="86">
        <f t="shared" si="58"/>
        <v>-2.7313250685500581</v>
      </c>
      <c r="J158" s="86">
        <f t="shared" si="59"/>
        <v>17.283950617283953</v>
      </c>
      <c r="K158" s="86" t="str">
        <f t="shared" si="60"/>
        <v>1+0.575528729458849j</v>
      </c>
      <c r="L158" s="86">
        <f t="shared" si="61"/>
        <v>0.93226831921222453</v>
      </c>
      <c r="M158" s="86" t="str">
        <f t="shared" si="62"/>
        <v>0.128366017259871j</v>
      </c>
      <c r="N158" s="86" t="str">
        <f t="shared" si="63"/>
        <v>0.932268319212225+0.128366017259871j</v>
      </c>
      <c r="O158" s="86" t="str">
        <f t="shared" si="64"/>
        <v>1.13611598592796+0.460908127354469j</v>
      </c>
      <c r="P158" s="86" t="str">
        <f t="shared" si="65"/>
        <v>19.6365725962857+7.96631331229946j</v>
      </c>
      <c r="R158" s="86">
        <f t="shared" si="66"/>
        <v>6.9135802469135808</v>
      </c>
      <c r="S158" s="86" t="str">
        <f t="shared" si="67"/>
        <v>1+0.00357471260533447j</v>
      </c>
      <c r="T158" s="86" t="str">
        <f t="shared" si="68"/>
        <v>0.932268319212225+0.128366017259871j</v>
      </c>
      <c r="U158" s="86" t="str">
        <f t="shared" si="69"/>
        <v>1.05321254310293-0.141184661291667j</v>
      </c>
      <c r="V158" s="86" t="str">
        <f t="shared" si="70"/>
        <v>7.28146943379804-0.976091485473254j</v>
      </c>
      <c r="X158" s="86" t="str">
        <f t="shared" si="71"/>
        <v>0.613230060637791+0.215356571942621j</v>
      </c>
      <c r="Y158" s="86">
        <f t="shared" si="72"/>
        <v>-3.7424569879068104</v>
      </c>
      <c r="Z158" s="86">
        <f t="shared" si="73"/>
        <v>-160.6495423186141</v>
      </c>
      <c r="AB158" s="86" t="str">
        <f t="shared" si="74"/>
        <v>2.50877530106052-0.336304949515316j</v>
      </c>
      <c r="AC158" s="86">
        <f t="shared" si="75"/>
        <v>8.0665842027699153</v>
      </c>
      <c r="AD158" s="86">
        <f t="shared" si="76"/>
        <v>172.36493446611507</v>
      </c>
      <c r="AF158" s="86" t="str">
        <f t="shared" si="77"/>
        <v>1.50055560168295-0.408782030532172j</v>
      </c>
      <c r="AG158" s="86">
        <f t="shared" si="78"/>
        <v>3.8359454867642877</v>
      </c>
      <c r="AH158" s="86">
        <f t="shared" si="79"/>
        <v>164.76124522726701</v>
      </c>
      <c r="AJ158" s="86" t="str">
        <f t="shared" si="80"/>
        <v>9994.98423055094-223.90296234617j</v>
      </c>
      <c r="AK158" s="86" t="str">
        <f t="shared" si="81"/>
        <v>20000-0.0000190651338951172j</v>
      </c>
      <c r="AL158" s="86" t="str">
        <f t="shared" si="95"/>
        <v>10000-466237.947123228j</v>
      </c>
      <c r="AM158" s="86" t="str">
        <f t="shared" si="96"/>
        <v>962.928430654872-144708.77886886j</v>
      </c>
      <c r="AN158" s="86" t="str">
        <f t="shared" si="97"/>
        <v>10962.9284306549-144708.77886886j</v>
      </c>
      <c r="AO158" s="86" t="str">
        <f t="shared" si="98"/>
        <v>19434.449846962-2643.16316387869j</v>
      </c>
      <c r="AP158" s="86" t="str">
        <f t="shared" si="99"/>
        <v>0.666740995072524+0.00497700803618666j</v>
      </c>
      <c r="AQ158" s="86" t="str">
        <f t="shared" si="82"/>
        <v>1+2.77397698173955j</v>
      </c>
      <c r="AR158" s="86">
        <f t="shared" si="83"/>
        <v>-1.4865872773651243E-6</v>
      </c>
      <c r="AS158" s="86" t="str">
        <f t="shared" si="84"/>
        <v>0.000232014100193323j</v>
      </c>
      <c r="AT158" s="86" t="str">
        <f t="shared" si="85"/>
        <v>-1.48658727736512E-06+0.000232014100193323j</v>
      </c>
      <c r="AU158" s="86" t="str">
        <f t="shared" si="86"/>
        <v>1.78919474128032-0.657976364418861j</v>
      </c>
      <c r="AW158" s="86" t="str">
        <f t="shared" si="100"/>
        <v>1.18071603105192-0.46894067992647j</v>
      </c>
      <c r="AX158" s="86">
        <f t="shared" si="87"/>
        <v>2.0790237529920406</v>
      </c>
      <c r="AY158" s="86">
        <f t="shared" si="88"/>
        <v>158.33868921100515</v>
      </c>
      <c r="AZ158" s="86" t="str">
        <f t="shared" si="89"/>
        <v>2.80444414458091-1.57354744067689j</v>
      </c>
      <c r="BA158" s="86">
        <f t="shared" si="90"/>
        <v>10.145607955761944</v>
      </c>
      <c r="BB158" s="86">
        <f t="shared" si="91"/>
        <v>150.70362367712028</v>
      </c>
      <c r="BD158" s="86" t="str">
        <f t="shared" si="92"/>
        <v>1.58003553105234-1.18632706077596j</v>
      </c>
      <c r="BE158" s="86">
        <f t="shared" si="93"/>
        <v>5.9149692397563154</v>
      </c>
      <c r="BF158" s="86">
        <f t="shared" si="94"/>
        <v>143.09993443827233</v>
      </c>
      <c r="BH158" s="86">
        <f t="shared" si="101"/>
        <v>-4.9149692397563154</v>
      </c>
      <c r="BI158" s="159">
        <f t="shared" si="102"/>
        <v>-143.09993443827233</v>
      </c>
      <c r="BJ158" s="88"/>
      <c r="BK158" s="88"/>
      <c r="BL158" s="88"/>
      <c r="BM158" s="88"/>
      <c r="BN158" s="42"/>
      <c r="BO158" s="42"/>
      <c r="BP158" s="42"/>
    </row>
    <row r="159" spans="1:68" s="86" customFormat="1">
      <c r="A159" s="86">
        <v>95</v>
      </c>
      <c r="B159" s="86">
        <f t="shared" si="52"/>
        <v>7943.2823472428199</v>
      </c>
      <c r="C159" s="86" t="str">
        <f t="shared" si="53"/>
        <v>49909.1149349751j</v>
      </c>
      <c r="D159" s="86">
        <f t="shared" si="54"/>
        <v>0.99899046824883164</v>
      </c>
      <c r="E159" s="86" t="str">
        <f t="shared" si="55"/>
        <v>-0.0499091149349751j</v>
      </c>
      <c r="F159" s="86" t="str">
        <f t="shared" si="56"/>
        <v>0.998990468248832-0.0499091149349751j</v>
      </c>
      <c r="G159" s="86">
        <f t="shared" si="57"/>
        <v>2.0531863804340825E-3</v>
      </c>
      <c r="H159" s="86">
        <f t="shared" si="58"/>
        <v>-2.8600934260567992</v>
      </c>
      <c r="J159" s="86">
        <f t="shared" si="59"/>
        <v>17.283950617283953</v>
      </c>
      <c r="K159" s="86" t="str">
        <f t="shared" si="60"/>
        <v>1+0.602652562839824j</v>
      </c>
      <c r="L159" s="86">
        <f t="shared" si="61"/>
        <v>0.92573368882807405</v>
      </c>
      <c r="M159" s="86" t="str">
        <f t="shared" si="62"/>
        <v>0.134415721272405j</v>
      </c>
      <c r="N159" s="86" t="str">
        <f t="shared" si="63"/>
        <v>0.925733688828074+0.134415721272405j</v>
      </c>
      <c r="O159" s="86" t="str">
        <f t="shared" si="64"/>
        <v>1.15049328775225+0.483949307618584j</v>
      </c>
      <c r="P159" s="86" t="str">
        <f t="shared" si="65"/>
        <v>19.8850691710265+8.36455593414837j</v>
      </c>
      <c r="R159" s="86">
        <f t="shared" si="66"/>
        <v>6.9135802469135808</v>
      </c>
      <c r="S159" s="86" t="str">
        <f t="shared" si="67"/>
        <v>1+0.00374318362012313j</v>
      </c>
      <c r="T159" s="86" t="str">
        <f t="shared" si="68"/>
        <v>0.925733688828074+0.134415721272405j</v>
      </c>
      <c r="U159" s="86" t="str">
        <f t="shared" si="69"/>
        <v>1.05849535060585-0.149649120548294j</v>
      </c>
      <c r="V159" s="86" t="str">
        <f t="shared" si="70"/>
        <v>7.31799254739847-1.03461120379067j</v>
      </c>
      <c r="X159" s="86" t="str">
        <f t="shared" si="71"/>
        <v>0.621947054499078+0.225801483168259j</v>
      </c>
      <c r="Y159" s="86">
        <f t="shared" si="72"/>
        <v>-3.5871983000833207</v>
      </c>
      <c r="Z159" s="86">
        <f t="shared" si="73"/>
        <v>-160.04627815586676</v>
      </c>
      <c r="AB159" s="86" t="str">
        <f t="shared" si="74"/>
        <v>2.52135906401546-0.356467476498991j</v>
      </c>
      <c r="AC159" s="86">
        <f t="shared" si="75"/>
        <v>8.1186447867417524</v>
      </c>
      <c r="AD159" s="86">
        <f t="shared" si="76"/>
        <v>171.95290664191907</v>
      </c>
      <c r="AF159" s="86" t="str">
        <f t="shared" si="77"/>
        <v>1.49495550544195-0.427899693133129j</v>
      </c>
      <c r="AG159" s="86">
        <f t="shared" si="78"/>
        <v>3.8345452030242235</v>
      </c>
      <c r="AH159" s="86">
        <f t="shared" si="79"/>
        <v>164.0273399709119</v>
      </c>
      <c r="AJ159" s="86" t="str">
        <f t="shared" si="80"/>
        <v>9994.50058428577-234.443838838033j</v>
      </c>
      <c r="AK159" s="86" t="str">
        <f t="shared" si="81"/>
        <v>20000-0.00001996364597399j</v>
      </c>
      <c r="AL159" s="86" t="str">
        <f t="shared" si="95"/>
        <v>10000-445253.782824536j</v>
      </c>
      <c r="AM159" s="86" t="str">
        <f t="shared" si="96"/>
        <v>962.908108593204-138197.122980828j</v>
      </c>
      <c r="AN159" s="86" t="str">
        <f t="shared" si="97"/>
        <v>10962.9081085932-138197.122980828j</v>
      </c>
      <c r="AO159" s="86" t="str">
        <f t="shared" si="98"/>
        <v>19382.5062122606-2756.06750040183j</v>
      </c>
      <c r="AP159" s="86" t="str">
        <f t="shared" si="99"/>
        <v>0.666748164389764+0.00521145508342687j</v>
      </c>
      <c r="AQ159" s="86" t="str">
        <f t="shared" si="82"/>
        <v>1+2.90471048921555j</v>
      </c>
      <c r="AR159" s="86">
        <f t="shared" si="83"/>
        <v>-1.6396583559090366E-6</v>
      </c>
      <c r="AS159" s="86" t="str">
        <f t="shared" si="84"/>
        <v>0.00024294858786277j</v>
      </c>
      <c r="AT159" s="86" t="str">
        <f t="shared" si="85"/>
        <v>-1.63965835590904E-06+0.00024294858786277j</v>
      </c>
      <c r="AU159" s="86" t="str">
        <f t="shared" si="86"/>
        <v>1.78916218154481-0.629489621925406j</v>
      </c>
      <c r="AW159" s="86" t="str">
        <f t="shared" si="100"/>
        <v>1.18059509132406-0.451373463630194j</v>
      </c>
      <c r="AX159" s="86">
        <f t="shared" si="87"/>
        <v>2.0345249498169267</v>
      </c>
      <c r="AY159" s="86">
        <f t="shared" si="88"/>
        <v>159.07679144726958</v>
      </c>
      <c r="AZ159" s="86" t="str">
        <f t="shared" si="89"/>
        <v>2.81580417490321-1.55891832675143j</v>
      </c>
      <c r="BA159" s="86">
        <f t="shared" si="90"/>
        <v>10.153169736558675</v>
      </c>
      <c r="BB159" s="86">
        <f t="shared" si="91"/>
        <v>151.02969808918857</v>
      </c>
      <c r="BD159" s="86" t="str">
        <f t="shared" si="92"/>
        <v>1.57179456489685-1.17995952175641j</v>
      </c>
      <c r="BE159" s="86">
        <f t="shared" si="93"/>
        <v>5.8690701528411724</v>
      </c>
      <c r="BF159" s="86">
        <f t="shared" si="94"/>
        <v>143.1041314181814</v>
      </c>
      <c r="BH159" s="86">
        <f t="shared" si="101"/>
        <v>-4.8690701528411724</v>
      </c>
      <c r="BI159" s="159">
        <f t="shared" si="102"/>
        <v>-143.1041314181814</v>
      </c>
      <c r="BJ159" s="88"/>
      <c r="BK159" s="88"/>
      <c r="BL159" s="88"/>
      <c r="BM159" s="88"/>
      <c r="BN159" s="42"/>
      <c r="BO159" s="42"/>
      <c r="BP159" s="42"/>
    </row>
    <row r="160" spans="1:68" s="86" customFormat="1">
      <c r="A160" s="86">
        <v>96</v>
      </c>
      <c r="B160" s="86">
        <f t="shared" si="52"/>
        <v>8317.6377110267131</v>
      </c>
      <c r="C160" s="86" t="str">
        <f t="shared" si="53"/>
        <v>52261.2590563659j</v>
      </c>
      <c r="D160" s="86">
        <f t="shared" si="54"/>
        <v>0.99889307044652975</v>
      </c>
      <c r="E160" s="86" t="str">
        <f t="shared" si="55"/>
        <v>-0.0522612590563659j</v>
      </c>
      <c r="F160" s="86" t="str">
        <f t="shared" si="56"/>
        <v>0.99889307044653-0.0522612590563659j</v>
      </c>
      <c r="G160" s="86">
        <f t="shared" si="57"/>
        <v>2.2516907476427058E-3</v>
      </c>
      <c r="H160" s="86">
        <f t="shared" si="58"/>
        <v>-2.9949370986015498</v>
      </c>
      <c r="J160" s="86">
        <f t="shared" si="59"/>
        <v>17.283950617283953</v>
      </c>
      <c r="K160" s="86" t="str">
        <f t="shared" si="60"/>
        <v>1+0.631054703105618j</v>
      </c>
      <c r="L160" s="86">
        <f t="shared" si="61"/>
        <v>0.918568609091998</v>
      </c>
      <c r="M160" s="86" t="str">
        <f t="shared" si="62"/>
        <v>0.140750539051188j</v>
      </c>
      <c r="N160" s="86" t="str">
        <f t="shared" si="63"/>
        <v>0.918568609091998+0.140750539051188j</v>
      </c>
      <c r="O160" s="86" t="str">
        <f t="shared" si="64"/>
        <v>1.16652893855797+0.508252863818488j</v>
      </c>
      <c r="P160" s="86" t="str">
        <f t="shared" si="65"/>
        <v>20.1622285676686+8.78461739933189j</v>
      </c>
      <c r="R160" s="86">
        <f t="shared" si="66"/>
        <v>6.9135802469135808</v>
      </c>
      <c r="S160" s="86" t="str">
        <f t="shared" si="67"/>
        <v>1+0.00391959442922744j</v>
      </c>
      <c r="T160" s="86" t="str">
        <f t="shared" si="68"/>
        <v>0.918568609091998+0.140750539051188j</v>
      </c>
      <c r="U160" s="86" t="str">
        <f t="shared" si="69"/>
        <v>1.06431523927816-0.158815953185874j</v>
      </c>
      <c r="V160" s="86" t="str">
        <f t="shared" si="70"/>
        <v>7.35822881476259-1.09798683684061j</v>
      </c>
      <c r="X160" s="86" t="str">
        <f t="shared" si="71"/>
        <v>0.63165362990258+0.23676471529718j</v>
      </c>
      <c r="Y160" s="86">
        <f t="shared" si="72"/>
        <v>-3.419467617258114</v>
      </c>
      <c r="Z160" s="86">
        <f t="shared" si="73"/>
        <v>-159.45233679390955</v>
      </c>
      <c r="AB160" s="86" t="str">
        <f t="shared" si="74"/>
        <v>2.53522216605657-0.378303072230089j</v>
      </c>
      <c r="AC160" s="86">
        <f t="shared" si="75"/>
        <v>8.1759608279240812</v>
      </c>
      <c r="AD160" s="86">
        <f t="shared" si="76"/>
        <v>171.51300812302188</v>
      </c>
      <c r="AF160" s="86" t="str">
        <f t="shared" si="77"/>
        <v>1.4887832675731-0.447885755483455j</v>
      </c>
      <c r="AG160" s="86">
        <f t="shared" si="78"/>
        <v>3.8329053391201073</v>
      </c>
      <c r="AH160" s="86">
        <f t="shared" si="79"/>
        <v>163.25660447317347</v>
      </c>
      <c r="AJ160" s="86" t="str">
        <f t="shared" si="80"/>
        <v>9993.97033049622-245.479812048538j</v>
      </c>
      <c r="AK160" s="86" t="str">
        <f t="shared" si="81"/>
        <v>20000-0.0000209045036225464j</v>
      </c>
      <c r="AL160" s="86" t="str">
        <f t="shared" si="95"/>
        <v>10000-425214.06149543j</v>
      </c>
      <c r="AM160" s="86" t="str">
        <f t="shared" si="96"/>
        <v>962.88582688156-131978.601658263j</v>
      </c>
      <c r="AN160" s="86" t="str">
        <f t="shared" si="97"/>
        <v>10962.8858268816-131978.601658263j</v>
      </c>
      <c r="AO160" s="86" t="str">
        <f t="shared" si="98"/>
        <v>19326.0532368986-2872.68285355295j</v>
      </c>
      <c r="AP160" s="86" t="str">
        <f t="shared" si="99"/>
        <v>0.666756025035271+0.00545693467513947j</v>
      </c>
      <c r="AQ160" s="86" t="str">
        <f t="shared" si="82"/>
        <v>1+3.0416052770805j</v>
      </c>
      <c r="AR160" s="86">
        <f t="shared" si="83"/>
        <v>-1.8074974559925624E-6</v>
      </c>
      <c r="AS160" s="86" t="str">
        <f t="shared" si="84"/>
        <v>0.000254398402059759j</v>
      </c>
      <c r="AT160" s="86" t="str">
        <f t="shared" si="85"/>
        <v>-1.80749745599256E-06+0.000254398402059759j</v>
      </c>
      <c r="AU160" s="86" t="str">
        <f t="shared" si="86"/>
        <v>1.78913099805828-0.602338098379378j</v>
      </c>
      <c r="AW160" s="86" t="str">
        <f t="shared" si="100"/>
        <v>1.1804655153708-0.434763058683412j</v>
      </c>
      <c r="AX160" s="86">
        <f t="shared" si="87"/>
        <v>1.9934858994373585</v>
      </c>
      <c r="AY160" s="86">
        <f t="shared" si="88"/>
        <v>159.78134987391849</v>
      </c>
      <c r="AZ160" s="86" t="str">
        <f t="shared" si="89"/>
        <v>2.82827014004136-1.54879467448319j</v>
      </c>
      <c r="BA160" s="86">
        <f t="shared" si="90"/>
        <v>10.169446727361446</v>
      </c>
      <c r="BB160" s="86">
        <f t="shared" si="91"/>
        <v>151.29435799694033</v>
      </c>
      <c r="BD160" s="86" t="str">
        <f t="shared" si="92"/>
        <v>1.56273312623638-1.17598165630078j</v>
      </c>
      <c r="BE160" s="86">
        <f t="shared" si="93"/>
        <v>5.8263912385574415</v>
      </c>
      <c r="BF160" s="86">
        <f t="shared" si="94"/>
        <v>143.0379543470919</v>
      </c>
      <c r="BH160" s="86">
        <f t="shared" si="101"/>
        <v>-4.8263912385574415</v>
      </c>
      <c r="BI160" s="159">
        <f t="shared" si="102"/>
        <v>-143.0379543470919</v>
      </c>
      <c r="BJ160" s="88"/>
      <c r="BK160" s="88"/>
      <c r="BL160" s="88"/>
      <c r="BM160" s="88"/>
      <c r="BN160" s="42"/>
      <c r="BO160" s="42"/>
      <c r="BP160" s="42"/>
    </row>
    <row r="161" spans="1:68" s="86" customFormat="1">
      <c r="A161" s="86">
        <v>97</v>
      </c>
      <c r="B161" s="86">
        <f t="shared" si="52"/>
        <v>8709.635899560808</v>
      </c>
      <c r="C161" s="86" t="str">
        <f t="shared" si="53"/>
        <v>54724.2563150043j</v>
      </c>
      <c r="D161" s="86">
        <f t="shared" si="54"/>
        <v>0.99878627587995328</v>
      </c>
      <c r="E161" s="86" t="str">
        <f t="shared" si="55"/>
        <v>-0.0547242563150043j</v>
      </c>
      <c r="F161" s="86" t="str">
        <f t="shared" si="56"/>
        <v>0.998786275879953-0.0547242563150043j</v>
      </c>
      <c r="G161" s="86">
        <f t="shared" si="57"/>
        <v>2.4694306814486938E-3</v>
      </c>
      <c r="H161" s="86">
        <f t="shared" si="58"/>
        <v>-3.1361433885687533</v>
      </c>
      <c r="J161" s="86">
        <f t="shared" si="59"/>
        <v>17.283950617283953</v>
      </c>
      <c r="K161" s="86" t="str">
        <f t="shared" si="60"/>
        <v>1+0.660795395003677j</v>
      </c>
      <c r="L161" s="86">
        <f t="shared" si="61"/>
        <v>0.91071225538776357</v>
      </c>
      <c r="M161" s="86" t="str">
        <f t="shared" si="62"/>
        <v>0.147383907594052j</v>
      </c>
      <c r="N161" s="86" t="str">
        <f t="shared" si="63"/>
        <v>0.910712255387764+0.147383907594052j</v>
      </c>
      <c r="O161" s="86" t="str">
        <f t="shared" si="64"/>
        <v>1.18444432112988+0.533897902165536j</v>
      </c>
      <c r="P161" s="86" t="str">
        <f t="shared" si="65"/>
        <v>20.4718771553313+9.22786497570062j</v>
      </c>
      <c r="R161" s="86">
        <f t="shared" si="66"/>
        <v>6.9135802469135808</v>
      </c>
      <c r="S161" s="86" t="str">
        <f t="shared" si="67"/>
        <v>1+0.00410431922362532j</v>
      </c>
      <c r="T161" s="86" t="str">
        <f t="shared" si="68"/>
        <v>0.910712255387764+0.147383907594052j</v>
      </c>
      <c r="U161" s="86" t="str">
        <f t="shared" si="69"/>
        <v>1.07072847604585-0.168773206508342j</v>
      </c>
      <c r="V161" s="86" t="str">
        <f t="shared" si="70"/>
        <v>7.40256724179847-1.16682710672434j</v>
      </c>
      <c r="X161" s="86" t="str">
        <f t="shared" si="71"/>
        <v>0.642478501007786+0.248268929514465j</v>
      </c>
      <c r="Y161" s="86">
        <f t="shared" si="72"/>
        <v>-3.2384059414349844</v>
      </c>
      <c r="Z161" s="86">
        <f t="shared" si="73"/>
        <v>-158.87228574119337</v>
      </c>
      <c r="AB161" s="86" t="str">
        <f t="shared" si="74"/>
        <v>2.55049863623156-0.402021467311308j</v>
      </c>
      <c r="AC161" s="86">
        <f t="shared" si="75"/>
        <v>8.2390860329019961</v>
      </c>
      <c r="AD161" s="86">
        <f t="shared" si="76"/>
        <v>171.04247216131668</v>
      </c>
      <c r="AF161" s="86" t="str">
        <f t="shared" si="77"/>
        <v>1.48197782889649-0.468773573586008j</v>
      </c>
      <c r="AG161" s="86">
        <f t="shared" si="78"/>
        <v>3.8309817901729835</v>
      </c>
      <c r="AH161" s="86">
        <f t="shared" si="79"/>
        <v>162.44699399991975</v>
      </c>
      <c r="AJ161" s="86" t="str">
        <f t="shared" si="80"/>
        <v>9993.38898344291-257.033966687171j</v>
      </c>
      <c r="AK161" s="86" t="str">
        <f t="shared" si="81"/>
        <v>20000-0.0000218897025260018j</v>
      </c>
      <c r="AL161" s="86" t="str">
        <f t="shared" si="95"/>
        <v>10000-406076.2762002j</v>
      </c>
      <c r="AM161" s="86" t="str">
        <f t="shared" si="96"/>
        <v>962.861396655759-126040.02457471j</v>
      </c>
      <c r="AN161" s="86" t="str">
        <f t="shared" si="97"/>
        <v>10962.8613966558-126040.02457471j</v>
      </c>
      <c r="AO161" s="86" t="str">
        <f t="shared" si="98"/>
        <v>19264.7490898351-2992.97411233569j</v>
      </c>
      <c r="AP161" s="86" t="str">
        <f t="shared" si="99"/>
        <v>0.666764643635466+0.00571396430061858j</v>
      </c>
      <c r="AQ161" s="86" t="str">
        <f t="shared" si="82"/>
        <v>1+3.18495171753325j</v>
      </c>
      <c r="AR161" s="86">
        <f t="shared" si="83"/>
        <v>-1.9915293696944345E-6</v>
      </c>
      <c r="AS161" s="86" t="str">
        <f t="shared" si="84"/>
        <v>0.000266387829375304j</v>
      </c>
      <c r="AT161" s="86" t="str">
        <f t="shared" si="85"/>
        <v>-1.99152936969443E-06+0.000266387829375304j</v>
      </c>
      <c r="AU161" s="86" t="str">
        <f t="shared" si="86"/>
        <v>1.78910092612748-0.576464200334697j</v>
      </c>
      <c r="AW161" s="86" t="str">
        <f t="shared" si="100"/>
        <v>1.18032620905611-0.419074142013293j</v>
      </c>
      <c r="AX161" s="86">
        <f t="shared" si="87"/>
        <v>1.955656694854462</v>
      </c>
      <c r="AY161" s="86">
        <f t="shared" si="88"/>
        <v>160.45262280177101</v>
      </c>
      <c r="AZ161" s="86" t="str">
        <f t="shared" si="89"/>
        <v>2.84194358502156-1.54336450215554j</v>
      </c>
      <c r="BA161" s="86">
        <f t="shared" si="90"/>
        <v>10.194742727756442</v>
      </c>
      <c r="BB161" s="86">
        <f t="shared" si="91"/>
        <v>151.49509496308775</v>
      </c>
      <c r="BD161" s="86" t="str">
        <f t="shared" si="92"/>
        <v>1.55276638953754-1.17436432214398j</v>
      </c>
      <c r="BE161" s="86">
        <f t="shared" si="93"/>
        <v>5.7866384850274635</v>
      </c>
      <c r="BF161" s="86">
        <f t="shared" si="94"/>
        <v>142.89961680169077</v>
      </c>
      <c r="BH161" s="86">
        <f t="shared" si="101"/>
        <v>-4.7866384850274635</v>
      </c>
      <c r="BI161" s="159">
        <f t="shared" si="102"/>
        <v>-142.89961680169077</v>
      </c>
      <c r="BJ161" s="88"/>
      <c r="BK161" s="88"/>
      <c r="BL161" s="88"/>
      <c r="BM161" s="88"/>
      <c r="BN161" s="42"/>
      <c r="BO161" s="42"/>
      <c r="BP161" s="42"/>
    </row>
    <row r="162" spans="1:68" s="86" customFormat="1">
      <c r="A162" s="86">
        <v>98</v>
      </c>
      <c r="B162" s="86">
        <f t="shared" si="52"/>
        <v>9120.1083935590977</v>
      </c>
      <c r="C162" s="86" t="str">
        <f t="shared" si="53"/>
        <v>57303.3310582957j</v>
      </c>
      <c r="D162" s="86">
        <f t="shared" si="54"/>
        <v>0.99866917796623578</v>
      </c>
      <c r="E162" s="86" t="str">
        <f t="shared" si="55"/>
        <v>-0.0573033310582957j</v>
      </c>
      <c r="F162" s="86" t="str">
        <f t="shared" si="56"/>
        <v>0.998669177966236-0.0573033310582957j</v>
      </c>
      <c r="G162" s="86">
        <f t="shared" si="57"/>
        <v>2.7082790141098856E-3</v>
      </c>
      <c r="H162" s="86">
        <f t="shared" si="58"/>
        <v>-3.2840132830064821</v>
      </c>
      <c r="J162" s="86">
        <f t="shared" si="59"/>
        <v>17.283950617283953</v>
      </c>
      <c r="K162" s="86" t="str">
        <f t="shared" si="60"/>
        <v>1+0.69193772252892j</v>
      </c>
      <c r="L162" s="86">
        <f t="shared" si="61"/>
        <v>0.90209793484988166</v>
      </c>
      <c r="M162" s="86" t="str">
        <f t="shared" si="62"/>
        <v>0.154329897165027j</v>
      </c>
      <c r="N162" s="86" t="str">
        <f t="shared" si="63"/>
        <v>0.902097934849882+0.154329897165027j</v>
      </c>
      <c r="O162" s="86" t="str">
        <f t="shared" si="64"/>
        <v>1.20449682203741+0.560967753387547j</v>
      </c>
      <c r="P162" s="86" t="str">
        <f t="shared" si="65"/>
        <v>20.8184635907701+9.69573894743909j</v>
      </c>
      <c r="R162" s="86">
        <f t="shared" si="66"/>
        <v>6.9135802469135808</v>
      </c>
      <c r="S162" s="86" t="str">
        <f t="shared" si="67"/>
        <v>1+0.00429774982937218j</v>
      </c>
      <c r="T162" s="86" t="str">
        <f t="shared" si="68"/>
        <v>0.902097934849882+0.154329897165027j</v>
      </c>
      <c r="U162" s="86" t="str">
        <f t="shared" si="69"/>
        <v>1.07779719352954-0.179624156039956j</v>
      </c>
      <c r="V162" s="86" t="str">
        <f t="shared" si="70"/>
        <v>7.45143738736472-1.24184601706636j</v>
      </c>
      <c r="X162" s="86" t="str">
        <f t="shared" si="71"/>
        <v>0.654570593058577+0.260335681384408j</v>
      </c>
      <c r="Y162" s="86">
        <f t="shared" si="72"/>
        <v>-3.0431057004265183</v>
      </c>
      <c r="Z162" s="86">
        <f t="shared" si="73"/>
        <v>-158.31130501413659</v>
      </c>
      <c r="AB162" s="86" t="str">
        <f t="shared" si="74"/>
        <v>2.56733647580096-0.427868666299049j</v>
      </c>
      <c r="AC162" s="86">
        <f t="shared" si="75"/>
        <v>8.3086366741956432</v>
      </c>
      <c r="AD162" s="86">
        <f t="shared" si="76"/>
        <v>170.53812827928454</v>
      </c>
      <c r="AF162" s="86" t="str">
        <f t="shared" si="77"/>
        <v>1.47447124632444-0.490596258810639j</v>
      </c>
      <c r="AG162" s="86">
        <f t="shared" si="78"/>
        <v>3.8287220088911917</v>
      </c>
      <c r="AH162" s="86">
        <f t="shared" si="79"/>
        <v>161.59632791202876</v>
      </c>
      <c r="AJ162" s="86" t="str">
        <f t="shared" si="80"/>
        <v>9992.75162680579-269.130438687463j</v>
      </c>
      <c r="AK162" s="86" t="str">
        <f t="shared" si="81"/>
        <v>20000-0.0000229213324233182j</v>
      </c>
      <c r="AL162" s="86" t="str">
        <f t="shared" si="95"/>
        <v>10000-387799.833130383j</v>
      </c>
      <c r="AM162" s="86" t="str">
        <f t="shared" si="96"/>
        <v>962.834610870668-120368.795201641j</v>
      </c>
      <c r="AN162" s="86" t="str">
        <f t="shared" si="97"/>
        <v>10962.8346108707-120368.795201641j</v>
      </c>
      <c r="AO162" s="86" t="str">
        <f t="shared" si="98"/>
        <v>19198.2353754819-3116.88005677284j</v>
      </c>
      <c r="AP162" s="86" t="str">
        <f t="shared" si="99"/>
        <v>0.666774093230285+0.00598308547382956j</v>
      </c>
      <c r="AQ162" s="86" t="str">
        <f t="shared" si="82"/>
        <v>1+3.33505386759281j</v>
      </c>
      <c r="AR162" s="86">
        <f t="shared" si="83"/>
        <v>-2.1933163504630454E-6</v>
      </c>
      <c r="AS162" s="86" t="str">
        <f t="shared" si="84"/>
        <v>0.000278942300992193j</v>
      </c>
      <c r="AT162" s="86" t="str">
        <f t="shared" si="85"/>
        <v>-2.19331635046305E-06+0.000278942300992193j</v>
      </c>
      <c r="AU162" s="86" t="str">
        <f t="shared" si="86"/>
        <v>1.78907171050008-0.551813044085769j</v>
      </c>
      <c r="AW162" s="86" t="str">
        <f t="shared" si="100"/>
        <v>1.18017599682048-0.404273331798265j</v>
      </c>
      <c r="AX162" s="86">
        <f t="shared" si="87"/>
        <v>1.9208000915545194</v>
      </c>
      <c r="AY162" s="86">
        <f t="shared" si="88"/>
        <v>161.09092827448751</v>
      </c>
      <c r="AZ162" s="86" t="str">
        <f t="shared" si="89"/>
        <v>2.85693299320519-1.542866000677j</v>
      </c>
      <c r="BA162" s="86">
        <f t="shared" si="90"/>
        <v>10.229436765750188</v>
      </c>
      <c r="BB162" s="86">
        <f t="shared" si="91"/>
        <v>151.62905655377213</v>
      </c>
      <c r="BD162" s="86" t="str">
        <f t="shared" si="92"/>
        <v>1.54180058879695-1.17507933217057j</v>
      </c>
      <c r="BE162" s="86">
        <f t="shared" si="93"/>
        <v>5.7495221004457537</v>
      </c>
      <c r="BF162" s="86">
        <f t="shared" si="94"/>
        <v>142.68725618651635</v>
      </c>
      <c r="BH162" s="86">
        <f t="shared" si="101"/>
        <v>-4.7495221004457537</v>
      </c>
      <c r="BI162" s="159">
        <f t="shared" si="102"/>
        <v>-142.68725618651635</v>
      </c>
      <c r="BJ162" s="88"/>
      <c r="BK162" s="88"/>
      <c r="BL162" s="88"/>
      <c r="BM162" s="88"/>
      <c r="BN162" s="42"/>
      <c r="BO162" s="42"/>
      <c r="BP162" s="42"/>
    </row>
    <row r="163" spans="1:68" s="86" customFormat="1">
      <c r="A163" s="86">
        <v>99</v>
      </c>
      <c r="B163" s="86">
        <f t="shared" si="52"/>
        <v>9549.9258602143655</v>
      </c>
      <c r="C163" s="86" t="str">
        <f t="shared" si="53"/>
        <v>60003.9538495533j</v>
      </c>
      <c r="D163" s="86">
        <f t="shared" si="54"/>
        <v>0.9985407826570305</v>
      </c>
      <c r="E163" s="86" t="str">
        <f t="shared" si="55"/>
        <v>-0.0600039538495533j</v>
      </c>
      <c r="F163" s="86" t="str">
        <f t="shared" si="56"/>
        <v>0.998540782657031-0.0600039538495533j</v>
      </c>
      <c r="G163" s="86">
        <f t="shared" si="57"/>
        <v>2.9702927027021597E-3</v>
      </c>
      <c r="H163" s="86">
        <f t="shared" si="58"/>
        <v>-3.4388621197404428</v>
      </c>
      <c r="J163" s="86">
        <f t="shared" si="59"/>
        <v>17.283950617283953</v>
      </c>
      <c r="K163" s="86" t="str">
        <f t="shared" si="60"/>
        <v>1+0.724547742733356j</v>
      </c>
      <c r="L163" s="86">
        <f t="shared" si="61"/>
        <v>0.89265252020550545</v>
      </c>
      <c r="M163" s="86" t="str">
        <f t="shared" si="62"/>
        <v>0.16160324113926j</v>
      </c>
      <c r="N163" s="86" t="str">
        <f t="shared" si="63"/>
        <v>0.892652520205505+0.16160324113926j</v>
      </c>
      <c r="O163" s="86" t="str">
        <f t="shared" si="64"/>
        <v>1.22698704291997+0.589549290288742j</v>
      </c>
      <c r="P163" s="86" t="str">
        <f t="shared" si="65"/>
        <v>21.207183457876+10.1897408198054j</v>
      </c>
      <c r="R163" s="86">
        <f t="shared" si="66"/>
        <v>6.9135802469135808</v>
      </c>
      <c r="S163" s="86" t="str">
        <f t="shared" si="67"/>
        <v>1+0.0045002965387165j</v>
      </c>
      <c r="T163" s="86" t="str">
        <f t="shared" si="68"/>
        <v>0.892652520205505+0.16160324113926j</v>
      </c>
      <c r="U163" s="86" t="str">
        <f t="shared" si="69"/>
        <v>1.08558983632304-0.191490569611088j</v>
      </c>
      <c r="V163" s="86" t="str">
        <f t="shared" si="70"/>
        <v>7.50531244865312-1.32388541953345j</v>
      </c>
      <c r="X163" s="86" t="str">
        <f t="shared" si="71"/>
        <v>0.668102930410131+0.272984345888158j</v>
      </c>
      <c r="Y163" s="86">
        <f t="shared" si="72"/>
        <v>-2.832606678633756</v>
      </c>
      <c r="Z163" s="86">
        <f t="shared" si="73"/>
        <v>-157.77525970471112</v>
      </c>
      <c r="AB163" s="86" t="str">
        <f t="shared" si="74"/>
        <v>2.58589872128346-0.456134722827126j</v>
      </c>
      <c r="AC163" s="86">
        <f t="shared" si="75"/>
        <v>8.3852992956748604</v>
      </c>
      <c r="AD163" s="86">
        <f t="shared" si="76"/>
        <v>169.99632524996187</v>
      </c>
      <c r="AF163" s="86" t="str">
        <f t="shared" si="77"/>
        <v>1.46618789166775-0.513386224417597j</v>
      </c>
      <c r="AG163" s="86">
        <f t="shared" si="78"/>
        <v>3.8260633684231058</v>
      </c>
      <c r="AH163" s="86">
        <f t="shared" si="79"/>
        <v>160.70227909348193</v>
      </c>
      <c r="AJ163" s="86" t="str">
        <f t="shared" si="80"/>
        <v>9992.05287258558-281.794459331593j</v>
      </c>
      <c r="AK163" s="86" t="str">
        <f t="shared" si="81"/>
        <v>20000-0.0000240015815398214j</v>
      </c>
      <c r="AL163" s="86" t="str">
        <f t="shared" si="95"/>
        <v>10000-370345.965499866j</v>
      </c>
      <c r="AM163" s="86" t="str">
        <f t="shared" si="96"/>
        <v>962.805242554199-114952.88408934j</v>
      </c>
      <c r="AN163" s="86" t="str">
        <f t="shared" si="97"/>
        <v>10962.8052425542-114952.88408934j</v>
      </c>
      <c r="AO163" s="86" t="str">
        <f t="shared" si="98"/>
        <v>19126.1381652521-3244.30997827888j</v>
      </c>
      <c r="AP163" s="86" t="str">
        <f t="shared" si="99"/>
        <v>0.666784453889009+0.00626486481185197j</v>
      </c>
      <c r="AQ163" s="86" t="str">
        <f t="shared" si="82"/>
        <v>1+3.492230114044j</v>
      </c>
      <c r="AR163" s="86">
        <f t="shared" si="83"/>
        <v>-2.4145713751413967E-6</v>
      </c>
      <c r="AS163" s="86" t="str">
        <f t="shared" si="84"/>
        <v>0.000292088446627933j</v>
      </c>
      <c r="AT163" s="86" t="str">
        <f t="shared" si="85"/>
        <v>-0.0000024145713751414+0.000292088446627933j</v>
      </c>
      <c r="AU163" s="86" t="str">
        <f t="shared" si="86"/>
        <v>1.78904310319881-0.528332339219335j</v>
      </c>
      <c r="AW163" s="86" t="str">
        <f t="shared" si="100"/>
        <v>1.18001361193887-0.390329114702267j</v>
      </c>
      <c r="AX163" s="86">
        <f t="shared" si="87"/>
        <v>1.8886915203073931</v>
      </c>
      <c r="AY163" s="86">
        <f t="shared" si="88"/>
        <v>161.69663322885594</v>
      </c>
      <c r="AZ163" s="86" t="str">
        <f t="shared" si="89"/>
        <v>2.87335302766373-1.54759674040227j</v>
      </c>
      <c r="BA163" s="86">
        <f t="shared" si="90"/>
        <v>10.273990815982266</v>
      </c>
      <c r="BB163" s="86">
        <f t="shared" si="91"/>
        <v>151.69295847881784</v>
      </c>
      <c r="BD163" s="86" t="str">
        <f t="shared" si="92"/>
        <v>1.52973207935065-1.17809855473653j</v>
      </c>
      <c r="BE163" s="86">
        <f t="shared" si="93"/>
        <v>5.7147548887305568</v>
      </c>
      <c r="BF163" s="86">
        <f t="shared" si="94"/>
        <v>142.39891232233796</v>
      </c>
      <c r="BH163" s="86">
        <f t="shared" si="101"/>
        <v>-4.7147548887305568</v>
      </c>
      <c r="BI163" s="159">
        <f t="shared" si="102"/>
        <v>-142.39891232233796</v>
      </c>
      <c r="BJ163" s="88"/>
      <c r="BK163" s="88"/>
      <c r="BL163" s="88"/>
      <c r="BM163" s="88"/>
      <c r="BN163" s="42"/>
      <c r="BO163" s="42"/>
      <c r="BP163" s="42"/>
    </row>
    <row r="164" spans="1:68" s="86" customFormat="1">
      <c r="A164" s="86">
        <v>100</v>
      </c>
      <c r="B164" s="86">
        <f t="shared" si="52"/>
        <v>10000</v>
      </c>
      <c r="C164" s="86" t="str">
        <f t="shared" si="53"/>
        <v>62831.8530717959j</v>
      </c>
      <c r="D164" s="86">
        <f t="shared" si="54"/>
        <v>0.99839999999999995</v>
      </c>
      <c r="E164" s="86" t="str">
        <f t="shared" si="55"/>
        <v>-0.0628318530717959j</v>
      </c>
      <c r="F164" s="86" t="str">
        <f t="shared" si="56"/>
        <v>0.9984-0.0628318530717959j</v>
      </c>
      <c r="G164" s="86">
        <f t="shared" si="57"/>
        <v>3.2577312868424012E-3</v>
      </c>
      <c r="H164" s="86">
        <f t="shared" si="58"/>
        <v>-3.601020287957196</v>
      </c>
      <c r="J164" s="86">
        <f t="shared" si="59"/>
        <v>17.283950617283953</v>
      </c>
      <c r="K164" s="86" t="str">
        <f t="shared" si="60"/>
        <v>1+0.758694625841935j</v>
      </c>
      <c r="L164" s="86">
        <f t="shared" si="61"/>
        <v>0.88229582899441561</v>
      </c>
      <c r="M164" s="86" t="str">
        <f t="shared" si="62"/>
        <v>0.169219367254473j</v>
      </c>
      <c r="N164" s="86" t="str">
        <f t="shared" si="63"/>
        <v>0.882295828994416+0.169219367254473j</v>
      </c>
      <c r="O164" s="86" t="str">
        <f t="shared" si="64"/>
        <v>1.25226773780279+0.619731674625447j</v>
      </c>
      <c r="P164" s="86" t="str">
        <f t="shared" si="65"/>
        <v>21.6441337398013+10.7114116601929j</v>
      </c>
      <c r="R164" s="86">
        <f t="shared" si="66"/>
        <v>6.9135802469135808</v>
      </c>
      <c r="S164" s="86" t="str">
        <f t="shared" si="67"/>
        <v>1+0.00471238898038469j</v>
      </c>
      <c r="T164" s="86" t="str">
        <f t="shared" si="68"/>
        <v>0.882295828994416+0.169219367254473j</v>
      </c>
      <c r="U164" s="86" t="str">
        <f t="shared" si="69"/>
        <v>1.09418152660223-0.204516796615072j</v>
      </c>
      <c r="V164" s="86" t="str">
        <f t="shared" si="70"/>
        <v>7.56471178885492-1.41394328524j</v>
      </c>
      <c r="X164" s="86" t="str">
        <f t="shared" si="71"/>
        <v>0.683277413960988+0.286230561251815j</v>
      </c>
      <c r="Y164" s="86">
        <f t="shared" si="72"/>
        <v>-2.6058909546797686</v>
      </c>
      <c r="Z164" s="86">
        <f t="shared" si="73"/>
        <v>-157.27078683948429</v>
      </c>
      <c r="AB164" s="86" t="str">
        <f t="shared" si="74"/>
        <v>2.60636431534417-0.487163480305954j</v>
      </c>
      <c r="AC164" s="86">
        <f t="shared" si="75"/>
        <v>8.4698393937874723</v>
      </c>
      <c r="AD164" s="86">
        <f t="shared" si="76"/>
        <v>169.412836284354</v>
      </c>
      <c r="AF164" s="86" t="str">
        <f t="shared" si="77"/>
        <v>1.45704356669079-0.537174603941522j</v>
      </c>
      <c r="AG164" s="86">
        <f t="shared" si="78"/>
        <v>3.8229312110861722</v>
      </c>
      <c r="AH164" s="86">
        <f t="shared" si="79"/>
        <v>159.76236272664343</v>
      </c>
      <c r="AJ164" s="86" t="str">
        <f t="shared" si="80"/>
        <v>9991.28681612929-295.052400657728j</v>
      </c>
      <c r="AK164" s="86" t="str">
        <f t="shared" si="81"/>
        <v>20000-0.0000251327412287184j</v>
      </c>
      <c r="AL164" s="86" t="str">
        <f t="shared" si="95"/>
        <v>10000-353677.651315322j</v>
      </c>
      <c r="AM164" s="86" t="str">
        <f t="shared" si="96"/>
        <v>962.773042894666-109780.803350595j</v>
      </c>
      <c r="AN164" s="86" t="str">
        <f t="shared" si="97"/>
        <v>10962.7730428947-109780.803350595j</v>
      </c>
      <c r="AO164" s="86" t="str">
        <f t="shared" si="98"/>
        <v>19048.0694751576-3375.14012078833j</v>
      </c>
      <c r="AP164" s="86" t="str">
        <f t="shared" si="99"/>
        <v>0.666795813384916+0.00655989515620251j</v>
      </c>
      <c r="AQ164" s="86" t="str">
        <f t="shared" si="82"/>
        <v>1+3.65681384877852j</v>
      </c>
      <c r="AR164" s="86">
        <f t="shared" si="83"/>
        <v>-2.6571726854883277E-6</v>
      </c>
      <c r="AS164" s="86" t="str">
        <f t="shared" si="84"/>
        <v>0.00030585415101995j</v>
      </c>
      <c r="AT164" s="86" t="str">
        <f t="shared" si="85"/>
        <v>-2.65717268548833E-06+0.00030585415101995j</v>
      </c>
      <c r="AU164" s="86" t="str">
        <f t="shared" si="86"/>
        <v>1.78901486141763-0.505972277661183j</v>
      </c>
      <c r="AW164" s="86" t="str">
        <f t="shared" si="100"/>
        <v>1.17983768605249-0.377211776785032j</v>
      </c>
      <c r="AX164" s="86">
        <f t="shared" si="87"/>
        <v>1.8591189562545591</v>
      </c>
      <c r="AY164" s="86">
        <f t="shared" si="88"/>
        <v>162.27014337575773</v>
      </c>
      <c r="AZ164" s="86" t="str">
        <f t="shared" si="89"/>
        <v>2.89132304083446-1.55792514767353j</v>
      </c>
      <c r="BA164" s="86">
        <f t="shared" si="90"/>
        <v>10.328958350042033</v>
      </c>
      <c r="BB164" s="86">
        <f t="shared" si="91"/>
        <v>151.68297966011178</v>
      </c>
      <c r="BD164" s="86" t="str">
        <f t="shared" si="92"/>
        <v>1.51644632340555-1.18339283436516j</v>
      </c>
      <c r="BE164" s="86">
        <f t="shared" si="93"/>
        <v>5.6820501673407247</v>
      </c>
      <c r="BF164" s="86">
        <f t="shared" si="94"/>
        <v>142.03250610240116</v>
      </c>
      <c r="BH164" s="86">
        <f t="shared" si="101"/>
        <v>-4.6820501673407247</v>
      </c>
      <c r="BI164" s="159">
        <f t="shared" si="102"/>
        <v>-142.03250610240116</v>
      </c>
      <c r="BJ164" s="88"/>
      <c r="BK164" s="88"/>
      <c r="BL164" s="88"/>
      <c r="BM164" s="88"/>
      <c r="BN164" s="42"/>
      <c r="BO164" s="42"/>
      <c r="BP164" s="42"/>
    </row>
    <row r="165" spans="1:68" s="86" customFormat="1">
      <c r="A165" s="86">
        <v>101</v>
      </c>
      <c r="B165" s="86">
        <f t="shared" si="52"/>
        <v>10471.285480508997</v>
      </c>
      <c r="C165" s="86" t="str">
        <f t="shared" si="53"/>
        <v>65793.0270784171j</v>
      </c>
      <c r="D165" s="86">
        <f t="shared" si="54"/>
        <v>0.99824563488617091</v>
      </c>
      <c r="E165" s="86" t="str">
        <f t="shared" si="55"/>
        <v>-0.0657930270784171j</v>
      </c>
      <c r="F165" s="86" t="str">
        <f t="shared" si="56"/>
        <v>0.998245634886171-0.0657930270784171j</v>
      </c>
      <c r="G165" s="86">
        <f t="shared" si="57"/>
        <v>3.5730772668890048E-3</v>
      </c>
      <c r="H165" s="86">
        <f t="shared" si="58"/>
        <v>-3.7708339653212288</v>
      </c>
      <c r="J165" s="86">
        <f t="shared" si="59"/>
        <v>17.283950617283953</v>
      </c>
      <c r="K165" s="86" t="str">
        <f t="shared" si="60"/>
        <v>1+0.794450801971886j</v>
      </c>
      <c r="L165" s="86">
        <f t="shared" si="61"/>
        <v>0.87093994289726773</v>
      </c>
      <c r="M165" s="86" t="str">
        <f t="shared" si="62"/>
        <v>0.177194430335268j</v>
      </c>
      <c r="N165" s="86" t="str">
        <f t="shared" si="63"/>
        <v>0.870939942897268+0.177194430335268j</v>
      </c>
      <c r="O165" s="86" t="str">
        <f t="shared" si="64"/>
        <v>1.28075494869215+0.651604238693466j</v>
      </c>
      <c r="P165" s="86" t="str">
        <f t="shared" si="65"/>
        <v>22.1365052860372+11.2622954835908j</v>
      </c>
      <c r="R165" s="86">
        <f t="shared" si="66"/>
        <v>6.9135802469135808</v>
      </c>
      <c r="S165" s="86" t="str">
        <f t="shared" si="67"/>
        <v>1+0.00493447703088128j</v>
      </c>
      <c r="T165" s="86" t="str">
        <f t="shared" si="68"/>
        <v>0.870939942897268+0.177194430335268j</v>
      </c>
      <c r="U165" s="86" t="str">
        <f t="shared" si="69"/>
        <v>1.1036542654524-0.218874921718374j</v>
      </c>
      <c r="V165" s="86" t="str">
        <f t="shared" si="70"/>
        <v>7.63020232905363-1.51320933533691j</v>
      </c>
      <c r="X165" s="86" t="str">
        <f t="shared" si="71"/>
        <v>0.700330717811918+0.300083984154232j</v>
      </c>
      <c r="Y165" s="86">
        <f t="shared" si="72"/>
        <v>-2.361876673008247</v>
      </c>
      <c r="Z165" s="86">
        <f t="shared" si="73"/>
        <v>-156.80540127851339</v>
      </c>
      <c r="AB165" s="86" t="str">
        <f t="shared" si="74"/>
        <v>2.62892858636082-0.52136484817286j</v>
      </c>
      <c r="AC165" s="86">
        <f t="shared" si="75"/>
        <v>8.5631111548767969</v>
      </c>
      <c r="AD165" s="86">
        <f t="shared" si="76"/>
        <v>168.78274159888969</v>
      </c>
      <c r="AF165" s="86" t="str">
        <f t="shared" si="77"/>
        <v>1.44694453209826-0.561990510554775j</v>
      </c>
      <c r="AG165" s="86">
        <f t="shared" si="78"/>
        <v>3.8192365253922489</v>
      </c>
      <c r="AH165" s="86">
        <f t="shared" si="79"/>
        <v>158.77392448818875</v>
      </c>
      <c r="AJ165" s="86" t="str">
        <f t="shared" si="80"/>
        <v>9990.44698692388-308.931822094001j</v>
      </c>
      <c r="AK165" s="86" t="str">
        <f t="shared" si="81"/>
        <v>20000-0.0000263172108313668j</v>
      </c>
      <c r="AL165" s="86" t="str">
        <f t="shared" si="95"/>
        <v>10000-337759.534847608j</v>
      </c>
      <c r="AM165" s="86" t="str">
        <f t="shared" si="96"/>
        <v>962.737739145414-104841.582293095j</v>
      </c>
      <c r="AN165" s="86" t="str">
        <f t="shared" si="97"/>
        <v>10962.7377391454-104841.582293095j</v>
      </c>
      <c r="AO165" s="86" t="str">
        <f t="shared" si="98"/>
        <v>18963.6292567545-3509.20998230092j</v>
      </c>
      <c r="AP165" s="86" t="str">
        <f t="shared" si="99"/>
        <v>0.666808267934341+0.00686879673788927j</v>
      </c>
      <c r="AQ165" s="86" t="str">
        <f t="shared" si="82"/>
        <v>1+3.82915417596387j</v>
      </c>
      <c r="AR165" s="86">
        <f t="shared" si="83"/>
        <v>-2.9231797326395048E-6</v>
      </c>
      <c r="AS165" s="86" t="str">
        <f t="shared" si="84"/>
        <v>0.00032026861307286j</v>
      </c>
      <c r="AT165" s="86" t="str">
        <f t="shared" si="85"/>
        <v>-0.0000029231797326395+0.00032026861307286j</v>
      </c>
      <c r="AU165" s="86" t="str">
        <f t="shared" si="86"/>
        <v>1.78898674546186-0.484685427981607j</v>
      </c>
      <c r="AW165" s="86" t="str">
        <f t="shared" si="100"/>
        <v>1.17964673789485-0.364893337900239j</v>
      </c>
      <c r="AX165" s="86">
        <f t="shared" si="87"/>
        <v>1.8318826676656181</v>
      </c>
      <c r="AY165" s="86">
        <f t="shared" si="88"/>
        <v>162.81189383426727</v>
      </c>
      <c r="AZ165" s="86" t="str">
        <f t="shared" si="89"/>
        <v>2.91096447134541-1.57430486937871j</v>
      </c>
      <c r="BA165" s="86">
        <f t="shared" si="90"/>
        <v>10.3949938225424</v>
      </c>
      <c r="BB165" s="86">
        <f t="shared" si="91"/>
        <v>151.59463543315695</v>
      </c>
      <c r="BD165" s="86" t="str">
        <f t="shared" si="92"/>
        <v>1.50181680393991-1.19093069257763j</v>
      </c>
      <c r="BE165" s="86">
        <f t="shared" si="93"/>
        <v>5.6511191930578502</v>
      </c>
      <c r="BF165" s="86">
        <f t="shared" si="94"/>
        <v>141.58581832245613</v>
      </c>
      <c r="BH165" s="86">
        <f t="shared" si="101"/>
        <v>-4.6511191930578502</v>
      </c>
      <c r="BI165" s="159">
        <f t="shared" si="102"/>
        <v>-141.58581832245613</v>
      </c>
      <c r="BJ165" s="88"/>
      <c r="BK165" s="88"/>
      <c r="BL165" s="88"/>
      <c r="BM165" s="88"/>
      <c r="BN165" s="42"/>
      <c r="BO165" s="42"/>
      <c r="BP165" s="42"/>
    </row>
    <row r="166" spans="1:68" s="86" customFormat="1">
      <c r="A166" s="86">
        <v>102</v>
      </c>
      <c r="B166" s="86">
        <f t="shared" si="52"/>
        <v>10964.781961431861</v>
      </c>
      <c r="C166" s="86" t="str">
        <f t="shared" si="53"/>
        <v>68893.7569164964j</v>
      </c>
      <c r="D166" s="86">
        <f t="shared" si="54"/>
        <v>0.99807637690461215</v>
      </c>
      <c r="E166" s="86" t="str">
        <f t="shared" si="55"/>
        <v>-0.0688937569164964j</v>
      </c>
      <c r="F166" s="86" t="str">
        <f t="shared" si="56"/>
        <v>0.998076376904612-0.0688937569164964j</v>
      </c>
      <c r="G166" s="86">
        <f t="shared" si="57"/>
        <v>3.919058616091823E-3</v>
      </c>
      <c r="H166" s="86">
        <f t="shared" si="58"/>
        <v>-3.9486658938485877</v>
      </c>
      <c r="J166" s="86">
        <f t="shared" si="59"/>
        <v>17.283950617283953</v>
      </c>
      <c r="K166" s="86" t="str">
        <f t="shared" si="60"/>
        <v>1+0.831892114766694j</v>
      </c>
      <c r="L166" s="86">
        <f t="shared" si="61"/>
        <v>0.85848846139386015</v>
      </c>
      <c r="M166" s="86" t="str">
        <f t="shared" si="62"/>
        <v>0.185545346559675j</v>
      </c>
      <c r="N166" s="86" t="str">
        <f t="shared" si="63"/>
        <v>0.85848846139386+0.185545346559675j</v>
      </c>
      <c r="O166" s="86" t="str">
        <f t="shared" si="64"/>
        <v>1.31294195228258+0.685253060084861j</v>
      </c>
      <c r="P166" s="86" t="str">
        <f t="shared" si="65"/>
        <v>22.6928238666125+11.8438800508495j</v>
      </c>
      <c r="R166" s="86">
        <f t="shared" si="66"/>
        <v>6.9135802469135808</v>
      </c>
      <c r="S166" s="86" t="str">
        <f t="shared" si="67"/>
        <v>1+0.00516703176873723j</v>
      </c>
      <c r="T166" s="86" t="str">
        <f t="shared" si="68"/>
        <v>0.85848846139386+0.185545346559675j</v>
      </c>
      <c r="U166" s="86" t="str">
        <f t="shared" si="69"/>
        <v>1.11409683519112-0.234771299419213j</v>
      </c>
      <c r="V166" s="86" t="str">
        <f t="shared" si="70"/>
        <v>7.70239787292626-1.6231102182069j</v>
      </c>
      <c r="X166" s="86" t="str">
        <f t="shared" si="71"/>
        <v>0.71954159762707+0.314545054734088j</v>
      </c>
      <c r="Y166" s="86">
        <f t="shared" si="72"/>
        <v>-2.0994105025748846</v>
      </c>
      <c r="Z166" s="86">
        <f t="shared" si="73"/>
        <v>-156.38762702828453</v>
      </c>
      <c r="AB166" s="86" t="str">
        <f t="shared" si="74"/>
        <v>2.65380301575464-0.559230367353535j</v>
      </c>
      <c r="AC166" s="86">
        <f t="shared" si="75"/>
        <v>8.6660682979017878</v>
      </c>
      <c r="AD166" s="86">
        <f t="shared" si="76"/>
        <v>168.10028203060639</v>
      </c>
      <c r="AF166" s="86" t="str">
        <f t="shared" si="77"/>
        <v>1.43578645138668-0.587860099858224j</v>
      </c>
      <c r="AG166" s="86">
        <f t="shared" si="78"/>
        <v>3.8148731845391328</v>
      </c>
      <c r="AH166" s="86">
        <f t="shared" si="79"/>
        <v>157.73412829261838</v>
      </c>
      <c r="AJ166" s="86" t="str">
        <f t="shared" si="80"/>
        <v>9989.52629477143-323.461518243578j</v>
      </c>
      <c r="AK166" s="86" t="str">
        <f t="shared" si="81"/>
        <v>20000-0.0000275575027665986j</v>
      </c>
      <c r="AL166" s="86" t="str">
        <f t="shared" si="95"/>
        <v>10000-322557.851637514j</v>
      </c>
      <c r="AM166" s="86" t="str">
        <f t="shared" si="96"/>
        <v>962.699032329839-100124.744148817j</v>
      </c>
      <c r="AN166" s="86" t="str">
        <f t="shared" si="97"/>
        <v>10962.6990323298-100124.744148817j</v>
      </c>
      <c r="AO166" s="86" t="str">
        <f t="shared" si="98"/>
        <v>18872.4079703492-3646.31853111892j</v>
      </c>
      <c r="AP166" s="86" t="str">
        <f t="shared" si="99"/>
        <v>0.666821923006146+0.00719221838691462j</v>
      </c>
      <c r="AQ166" s="86" t="str">
        <f t="shared" si="82"/>
        <v>1+4.00961665254009j</v>
      </c>
      <c r="AR166" s="86">
        <f t="shared" si="83"/>
        <v>-3.2148506598611926E-6</v>
      </c>
      <c r="AS166" s="86" t="str">
        <f t="shared" si="84"/>
        <v>0.000335362407793259j</v>
      </c>
      <c r="AT166" s="86" t="str">
        <f t="shared" si="85"/>
        <v>-3.21485065986119E-06+0.000335362407793259j</v>
      </c>
      <c r="AU166" s="86" t="str">
        <f t="shared" si="86"/>
        <v>1.78895851671523-0.464426634734631j</v>
      </c>
      <c r="AW166" s="86" t="str">
        <f t="shared" si="100"/>
        <v>1.17943916112829-0.353347489394947j</v>
      </c>
      <c r="AX166" s="86">
        <f t="shared" si="87"/>
        <v>1.8067948659048514</v>
      </c>
      <c r="AY166" s="86">
        <f t="shared" si="88"/>
        <v>163.32234052981022</v>
      </c>
      <c r="AZ166" s="86" t="str">
        <f t="shared" si="89"/>
        <v>2.93239655640359-1.59729282831456j</v>
      </c>
      <c r="BA166" s="86">
        <f t="shared" si="90"/>
        <v>10.472863163806634</v>
      </c>
      <c r="BB166" s="86">
        <f t="shared" si="91"/>
        <v>151.42262256041656</v>
      </c>
      <c r="BD166" s="86" t="str">
        <f t="shared" si="92"/>
        <v>1.4857038773825-1.20067676094234j</v>
      </c>
      <c r="BE166" s="86">
        <f t="shared" si="93"/>
        <v>5.6216680504439722</v>
      </c>
      <c r="BF166" s="86">
        <f t="shared" si="94"/>
        <v>141.05646882242851</v>
      </c>
      <c r="BH166" s="86">
        <f t="shared" si="101"/>
        <v>-4.6216680504439722</v>
      </c>
      <c r="BI166" s="159">
        <f t="shared" si="102"/>
        <v>-141.05646882242851</v>
      </c>
      <c r="BJ166" s="88"/>
      <c r="BK166" s="88"/>
      <c r="BL166" s="88"/>
      <c r="BM166" s="88"/>
      <c r="BN166" s="42"/>
      <c r="BO166" s="42"/>
      <c r="BP166" s="42"/>
    </row>
    <row r="167" spans="1:68" s="86" customFormat="1">
      <c r="A167" s="86">
        <v>103</v>
      </c>
      <c r="B167" s="86">
        <f t="shared" si="52"/>
        <v>11481.536214968835</v>
      </c>
      <c r="C167" s="86" t="str">
        <f t="shared" si="53"/>
        <v>72140.6196497425j</v>
      </c>
      <c r="D167" s="86">
        <f t="shared" si="54"/>
        <v>0.99789078921830976</v>
      </c>
      <c r="E167" s="86" t="str">
        <f t="shared" si="55"/>
        <v>-0.0721406196497425j</v>
      </c>
      <c r="F167" s="86" t="str">
        <f t="shared" si="56"/>
        <v>0.99789078921831-0.0721406196497425j</v>
      </c>
      <c r="G167" s="86">
        <f t="shared" si="57"/>
        <v>4.2986736663635922E-3</v>
      </c>
      <c r="H167" s="86">
        <f t="shared" si="58"/>
        <v>-4.1348961969339113</v>
      </c>
      <c r="J167" s="86">
        <f t="shared" si="59"/>
        <v>17.283950617283953</v>
      </c>
      <c r="K167" s="86" t="str">
        <f t="shared" si="60"/>
        <v>1+0.871097982270641j</v>
      </c>
      <c r="L167" s="86">
        <f t="shared" si="61"/>
        <v>0.84483568341569293</v>
      </c>
      <c r="M167" s="86" t="str">
        <f t="shared" si="62"/>
        <v>0.194289829340634j</v>
      </c>
      <c r="N167" s="86" t="str">
        <f t="shared" si="63"/>
        <v>0.844835683415693+0.194289829340634j</v>
      </c>
      <c r="O167" s="86" t="str">
        <f t="shared" si="64"/>
        <v>1.34941681323814+0.720755564508521j</v>
      </c>
      <c r="P167" s="86" t="str">
        <f t="shared" si="65"/>
        <v>23.3232535621407+12.4575035840979j</v>
      </c>
      <c r="R167" s="86">
        <f t="shared" si="66"/>
        <v>6.9135802469135808</v>
      </c>
      <c r="S167" s="86" t="str">
        <f t="shared" si="67"/>
        <v>1+0.00541054647373069j</v>
      </c>
      <c r="T167" s="86" t="str">
        <f t="shared" si="68"/>
        <v>0.844835683415693+0.194289829340634j</v>
      </c>
      <c r="U167" s="86" t="str">
        <f t="shared" si="69"/>
        <v>1.12560418707222-0.252454889305012j</v>
      </c>
      <c r="V167" s="86" t="str">
        <f t="shared" si="70"/>
        <v>7.78195487358572-1.74536713593589j</v>
      </c>
      <c r="X167" s="86" t="str">
        <f t="shared" si="71"/>
        <v>0.741239981380136+0.329600329586342j</v>
      </c>
      <c r="Y167" s="86">
        <f t="shared" si="72"/>
        <v>-1.8172586986485129</v>
      </c>
      <c r="Z167" s="86">
        <f t="shared" si="73"/>
        <v>-156.02716250407559</v>
      </c>
      <c r="AB167" s="86" t="str">
        <f t="shared" si="74"/>
        <v>2.68121377948791-0.601353065027526j</v>
      </c>
      <c r="AC167" s="86">
        <f t="shared" si="75"/>
        <v>8.7797760081652605</v>
      </c>
      <c r="AD167" s="86">
        <f t="shared" si="76"/>
        <v>167.35867533787226</v>
      </c>
      <c r="AF167" s="86" t="str">
        <f t="shared" si="77"/>
        <v>1.42345325547429-0.614805390773353j</v>
      </c>
      <c r="AG167" s="86">
        <f t="shared" si="78"/>
        <v>3.809714669400166</v>
      </c>
      <c r="AH167" s="86">
        <f t="shared" si="79"/>
        <v>156.63994378263277</v>
      </c>
      <c r="AJ167" s="86" t="str">
        <f t="shared" si="80"/>
        <v>9988.51697092597-338.671567722348j</v>
      </c>
      <c r="AK167" s="86" t="str">
        <f t="shared" si="81"/>
        <v>20000-0.000028856247859897j</v>
      </c>
      <c r="AL167" s="86" t="str">
        <f t="shared" si="95"/>
        <v>10000-308040.356876829j</v>
      </c>
      <c r="AM167" s="86" t="str">
        <f t="shared" si="96"/>
        <v>962.656594727669-95620.2838510599j</v>
      </c>
      <c r="AN167" s="86" t="str">
        <f t="shared" si="97"/>
        <v>10962.6565947277-95620.2838510599j</v>
      </c>
      <c r="AO167" s="86" t="str">
        <f t="shared" si="98"/>
        <v>18773.9898086317-3786.22040776341j</v>
      </c>
      <c r="AP167" s="86" t="str">
        <f t="shared" si="99"/>
        <v>0.666836894208277+0.00753083878678406j</v>
      </c>
      <c r="AQ167" s="86" t="str">
        <f t="shared" si="82"/>
        <v>1+4.19858406361501j</v>
      </c>
      <c r="AR167" s="86">
        <f t="shared" si="83"/>
        <v>-3.5346614720086493E-6</v>
      </c>
      <c r="AS167" s="86" t="str">
        <f t="shared" si="84"/>
        <v>0.000351167551143409j</v>
      </c>
      <c r="AT167" s="86" t="str">
        <f t="shared" si="85"/>
        <v>-3.53466147200865E-06+0.000351167551143409j</v>
      </c>
      <c r="AU167" s="86" t="str">
        <f t="shared" si="86"/>
        <v>1.78892993561634-0.445152922616437j</v>
      </c>
      <c r="AW167" s="86" t="str">
        <f t="shared" si="100"/>
        <v>1.17921321120103-0.342549534923908j</v>
      </c>
      <c r="AX167" s="86">
        <f t="shared" si="87"/>
        <v>1.7836792760877784</v>
      </c>
      <c r="AY167" s="86">
        <f t="shared" si="88"/>
        <v>163.8019523498493</v>
      </c>
      <c r="AZ167" s="86" t="str">
        <f t="shared" si="89"/>
        <v>2.95572949807615-1.62757201207185j</v>
      </c>
      <c r="BA167" s="86">
        <f t="shared" si="90"/>
        <v>10.563455284253058</v>
      </c>
      <c r="BB167" s="86">
        <f t="shared" si="91"/>
        <v>151.16062768772159</v>
      </c>
      <c r="BD167" s="86" t="str">
        <f t="shared" si="92"/>
        <v>1.46795358370428-1.21258988976619j</v>
      </c>
      <c r="BE167" s="86">
        <f t="shared" si="93"/>
        <v>5.5933939454879633</v>
      </c>
      <c r="BF167" s="86">
        <f t="shared" si="94"/>
        <v>140.44189613248219</v>
      </c>
      <c r="BH167" s="86">
        <f t="shared" si="101"/>
        <v>-4.5933939454879633</v>
      </c>
      <c r="BI167" s="159">
        <f t="shared" si="102"/>
        <v>-140.44189613248219</v>
      </c>
      <c r="BJ167" s="88"/>
      <c r="BK167" s="88"/>
      <c r="BL167" s="88"/>
      <c r="BM167" s="88"/>
      <c r="BN167" s="42"/>
      <c r="BO167" s="42"/>
      <c r="BP167" s="42"/>
    </row>
    <row r="168" spans="1:68" s="86" customFormat="1">
      <c r="A168" s="86">
        <v>104</v>
      </c>
      <c r="B168" s="86">
        <f t="shared" si="52"/>
        <v>12022.644346174135</v>
      </c>
      <c r="C168" s="86" t="str">
        <f t="shared" si="53"/>
        <v>75540.502309327j</v>
      </c>
      <c r="D168" s="86">
        <f t="shared" si="54"/>
        <v>0.99768729636680653</v>
      </c>
      <c r="E168" s="86" t="str">
        <f t="shared" si="55"/>
        <v>-0.075540502309327j</v>
      </c>
      <c r="F168" s="86" t="str">
        <f t="shared" si="56"/>
        <v>0.997687296366807-0.075540502309327j</v>
      </c>
      <c r="G168" s="86">
        <f t="shared" si="57"/>
        <v>4.7152186370384205E-3</v>
      </c>
      <c r="H168" s="86">
        <f t="shared" si="58"/>
        <v>-4.3299232401185153</v>
      </c>
      <c r="J168" s="86">
        <f t="shared" si="59"/>
        <v>17.283950617283953</v>
      </c>
      <c r="K168" s="86" t="str">
        <f t="shared" si="60"/>
        <v>1+0.912151565385123j</v>
      </c>
      <c r="L168" s="86">
        <f t="shared" si="61"/>
        <v>0.82986571004584897</v>
      </c>
      <c r="M168" s="86" t="str">
        <f t="shared" si="62"/>
        <v>0.203446426898515j</v>
      </c>
      <c r="N168" s="86" t="str">
        <f t="shared" si="63"/>
        <v>0.829865710045849+0.203446426898515j</v>
      </c>
      <c r="O168" s="86" t="str">
        <f t="shared" si="64"/>
        <v>1.39088457405346+0.758172148757564j</v>
      </c>
      <c r="P168" s="86" t="str">
        <f t="shared" si="65"/>
        <v>24.039980292282+13.1042099785258j</v>
      </c>
      <c r="R168" s="86">
        <f t="shared" si="66"/>
        <v>6.9135802469135808</v>
      </c>
      <c r="S168" s="86" t="str">
        <f t="shared" si="67"/>
        <v>1+0.00566553767319952j</v>
      </c>
      <c r="T168" s="86" t="str">
        <f t="shared" si="68"/>
        <v>0.829865710045849+0.203446426898515j</v>
      </c>
      <c r="U168" s="86" t="str">
        <f t="shared" si="69"/>
        <v>1.13827597016237-0.272227950312942j</v>
      </c>
      <c r="V168" s="86" t="str">
        <f t="shared" si="70"/>
        <v>7.86956226285095-1.88206977994133j</v>
      </c>
      <c r="X168" s="86" t="str">
        <f t="shared" si="71"/>
        <v>0.765818308177025+0.345215730346079j</v>
      </c>
      <c r="Y168" s="86">
        <f t="shared" si="72"/>
        <v>-1.5140968072052228</v>
      </c>
      <c r="Z168" s="86">
        <f t="shared" si="73"/>
        <v>-155.73509116454025</v>
      </c>
      <c r="AB168" s="86" t="str">
        <f t="shared" si="74"/>
        <v>2.71139824381579-0.648452928590591j</v>
      </c>
      <c r="AC168" s="86">
        <f t="shared" si="75"/>
        <v>8.9054238279889848</v>
      </c>
      <c r="AD168" s="86">
        <f t="shared" si="76"/>
        <v>166.54988407181978</v>
      </c>
      <c r="AF168" s="86" t="str">
        <f t="shared" si="77"/>
        <v>1.40981594138274-0.64284279033241j</v>
      </c>
      <c r="AG168" s="86">
        <f t="shared" si="78"/>
        <v>3.8036101882502384</v>
      </c>
      <c r="AH168" s="86">
        <f t="shared" si="79"/>
        <v>155.48813386224475</v>
      </c>
      <c r="AJ168" s="86" t="str">
        <f t="shared" si="80"/>
        <v>9987.41050373702-354.593382924219j</v>
      </c>
      <c r="AK168" s="86" t="str">
        <f t="shared" si="81"/>
        <v>20000-0.0000302162009237308j</v>
      </c>
      <c r="AL168" s="86" t="str">
        <f t="shared" si="95"/>
        <v>10000-294176.257012769j</v>
      </c>
      <c r="AM168" s="86" t="str">
        <f t="shared" si="96"/>
        <v>962.610067122313-91318.6468119624j</v>
      </c>
      <c r="AN168" s="86" t="str">
        <f t="shared" si="97"/>
        <v>10962.6100671223-91318.6468119624j</v>
      </c>
      <c r="AO168" s="86" t="str">
        <f t="shared" si="98"/>
        <v>18667.9566350687-3928.62220219338j</v>
      </c>
      <c r="AP168" s="86" t="str">
        <f t="shared" si="99"/>
        <v>0.666853308258644+0.007885367774378j</v>
      </c>
      <c r="AQ168" s="86" t="str">
        <f t="shared" si="82"/>
        <v>1+4.39645723440283j</v>
      </c>
      <c r="AR168" s="86">
        <f t="shared" si="83"/>
        <v>-3.8853270544191754E-6</v>
      </c>
      <c r="AS168" s="86" t="str">
        <f t="shared" si="84"/>
        <v>0.000367717567951388j</v>
      </c>
      <c r="AT168" s="86" t="str">
        <f t="shared" si="85"/>
        <v>-3.88532705441918E-06+0.000367717567951388j</v>
      </c>
      <c r="AU168" s="86" t="str">
        <f t="shared" si="86"/>
        <v>1.78890075962743-0.426823405238556j</v>
      </c>
      <c r="AW168" s="86" t="str">
        <f t="shared" si="100"/>
        <v>1.17896699112984-0.332476334191275j</v>
      </c>
      <c r="AX168" s="86">
        <f t="shared" si="87"/>
        <v>1.7623706457583508</v>
      </c>
      <c r="AY168" s="86">
        <f t="shared" si="88"/>
        <v>164.25120403688186</v>
      </c>
      <c r="AZ168" s="86" t="str">
        <f t="shared" si="89"/>
        <v>2.98105377667284-1.66598034674632j</v>
      </c>
      <c r="BA168" s="86">
        <f t="shared" si="90"/>
        <v>10.667794473747342</v>
      </c>
      <c r="BB168" s="86">
        <f t="shared" si="91"/>
        <v>150.80108810870161</v>
      </c>
      <c r="BD168" s="86" t="str">
        <f t="shared" si="92"/>
        <v>1.44839644406788-1.22662086636307j</v>
      </c>
      <c r="BE168" s="86">
        <f t="shared" si="93"/>
        <v>5.5659808340085917</v>
      </c>
      <c r="BF168" s="86">
        <f t="shared" si="94"/>
        <v>139.73933789912653</v>
      </c>
      <c r="BH168" s="86">
        <f t="shared" si="101"/>
        <v>-4.5659808340085917</v>
      </c>
      <c r="BI168" s="159">
        <f t="shared" si="102"/>
        <v>-139.73933789912653</v>
      </c>
      <c r="BJ168" s="88"/>
      <c r="BK168" s="88"/>
      <c r="BL168" s="88"/>
      <c r="BM168" s="88"/>
      <c r="BN168" s="42"/>
      <c r="BO168" s="42"/>
      <c r="BP168" s="42"/>
    </row>
    <row r="169" spans="1:68" s="86" customFormat="1">
      <c r="A169" s="86">
        <v>105</v>
      </c>
      <c r="B169" s="86">
        <f t="shared" si="52"/>
        <v>12589.254117941677</v>
      </c>
      <c r="C169" s="86" t="str">
        <f t="shared" si="53"/>
        <v>79100.6165022012j</v>
      </c>
      <c r="D169" s="86">
        <f t="shared" si="54"/>
        <v>0.99746417089206219</v>
      </c>
      <c r="E169" s="86" t="str">
        <f t="shared" si="55"/>
        <v>-0.0791006165022012j</v>
      </c>
      <c r="F169" s="86" t="str">
        <f t="shared" si="56"/>
        <v>0.997464170892062-0.0791006165022012j</v>
      </c>
      <c r="G169" s="86">
        <f t="shared" si="57"/>
        <v>5.1723181103352084E-3</v>
      </c>
      <c r="H169" s="86">
        <f t="shared" si="58"/>
        <v>-4.5341645383970892</v>
      </c>
      <c r="J169" s="86">
        <f t="shared" si="59"/>
        <v>17.283950617283953</v>
      </c>
      <c r="K169" s="86" t="str">
        <f t="shared" si="60"/>
        <v>1+0.955139944264079j</v>
      </c>
      <c r="L169" s="86">
        <f t="shared" si="61"/>
        <v>0.81345146064897078</v>
      </c>
      <c r="M169" s="86" t="str">
        <f t="shared" si="62"/>
        <v>0.213034561604385j</v>
      </c>
      <c r="N169" s="86" t="str">
        <f t="shared" si="63"/>
        <v>0.813451460648971+0.213034561604385j</v>
      </c>
      <c r="O169" s="86" t="str">
        <f t="shared" si="64"/>
        <v>1.43819540628427+0.797533285965573j</v>
      </c>
      <c r="P169" s="86" t="str">
        <f t="shared" si="65"/>
        <v>24.857698380222+13.7845259302692j</v>
      </c>
      <c r="R169" s="86">
        <f t="shared" si="66"/>
        <v>6.9135802469135808</v>
      </c>
      <c r="S169" s="86" t="str">
        <f t="shared" si="67"/>
        <v>1+0.00593254623766509j</v>
      </c>
      <c r="T169" s="86" t="str">
        <f t="shared" si="68"/>
        <v>0.813451460648971+0.213034561604385j</v>
      </c>
      <c r="U169" s="86" t="str">
        <f t="shared" si="69"/>
        <v>1.15221365159912-0.294459836256542j</v>
      </c>
      <c r="V169" s="86" t="str">
        <f t="shared" si="70"/>
        <v>7.96592154191984-2.03577170745264j</v>
      </c>
      <c r="X169" s="86" t="str">
        <f t="shared" si="71"/>
        <v>0.793745690597619+0.361326736518486j</v>
      </c>
      <c r="Y169" s="86">
        <f t="shared" si="72"/>
        <v>-1.1884982745789081</v>
      </c>
      <c r="Z169" s="86">
        <f t="shared" si="73"/>
        <v>-155.52415282043458</v>
      </c>
      <c r="AB169" s="86" t="str">
        <f t="shared" si="74"/>
        <v>2.744598105678-0.701409766900717j</v>
      </c>
      <c r="AC169" s="86">
        <f t="shared" si="75"/>
        <v>9.0443391557045203</v>
      </c>
      <c r="AD169" s="86">
        <f t="shared" si="76"/>
        <v>165.66432015482278</v>
      </c>
      <c r="AF169" s="86" t="str">
        <f t="shared" si="77"/>
        <v>1.39473132881861-0.671981258313851j</v>
      </c>
      <c r="AG169" s="86">
        <f t="shared" si="78"/>
        <v>3.7963800944339834</v>
      </c>
      <c r="AH169" s="86">
        <f t="shared" si="79"/>
        <v>154.27524269580118</v>
      </c>
      <c r="AJ169" s="86" t="str">
        <f t="shared" si="80"/>
        <v>9986.19756830698-371.259760557956j</v>
      </c>
      <c r="AK169" s="86" t="str">
        <f t="shared" si="81"/>
        <v>20000-0.0000316402466008804j</v>
      </c>
      <c r="AL169" s="86" t="str">
        <f t="shared" si="95"/>
        <v>10000-280936.144430731j</v>
      </c>
      <c r="AM169" s="86" t="str">
        <f t="shared" si="96"/>
        <v>962.559055786656-87210.7086554885j</v>
      </c>
      <c r="AN169" s="86" t="str">
        <f t="shared" si="97"/>
        <v>10962.5590557867-87210.7086554885j</v>
      </c>
      <c r="AO169" s="86" t="str">
        <f t="shared" si="98"/>
        <v>18553.8926936795-4073.17891614429j</v>
      </c>
      <c r="AP169" s="86" t="str">
        <f t="shared" si="99"/>
        <v>0.666871304048141+0.00825654768530191j</v>
      </c>
      <c r="AQ169" s="86" t="str">
        <f t="shared" si="82"/>
        <v>1+4.60365588042811j</v>
      </c>
      <c r="AR169" s="86">
        <f t="shared" si="83"/>
        <v>-4.2698242196701717E-6</v>
      </c>
      <c r="AS169" s="86" t="str">
        <f t="shared" si="84"/>
        <v>0.000385047563021745j</v>
      </c>
      <c r="AT169" s="86" t="str">
        <f t="shared" si="85"/>
        <v>-4.26982421967017E-06+0.000385047563021745j</v>
      </c>
      <c r="AU169" s="86" t="str">
        <f t="shared" si="86"/>
        <v>1.78887074117857-0.409399198320964j</v>
      </c>
      <c r="AW169" s="86" t="str">
        <f t="shared" si="100"/>
        <v>1.17869843610729-0.323106249429738j</v>
      </c>
      <c r="AX169" s="86">
        <f t="shared" si="87"/>
        <v>1.7427142067549897</v>
      </c>
      <c r="AY169" s="86">
        <f t="shared" si="88"/>
        <v>164.67056978818485</v>
      </c>
      <c r="AZ169" s="86" t="str">
        <f t="shared" si="89"/>
        <v>3.00842361580902-1.71354739543384j</v>
      </c>
      <c r="BA169" s="86">
        <f t="shared" si="90"/>
        <v>10.787053362459529</v>
      </c>
      <c r="BB169" s="86">
        <f t="shared" si="91"/>
        <v>150.33488994300762</v>
      </c>
      <c r="BD169" s="86" t="str">
        <f t="shared" si="92"/>
        <v>1.42684629200748-1.24270966688468j</v>
      </c>
      <c r="BE169" s="86">
        <f t="shared" si="93"/>
        <v>5.5390943011889924</v>
      </c>
      <c r="BF169" s="86">
        <f t="shared" si="94"/>
        <v>138.94581248398617</v>
      </c>
      <c r="BH169" s="86">
        <f t="shared" si="101"/>
        <v>-4.5390943011889924</v>
      </c>
      <c r="BI169" s="159">
        <f t="shared" si="102"/>
        <v>-138.94581248398617</v>
      </c>
      <c r="BJ169" s="88"/>
      <c r="BK169" s="88"/>
      <c r="BL169" s="88"/>
      <c r="BM169" s="88"/>
      <c r="BN169" s="42"/>
      <c r="BO169" s="42"/>
      <c r="BP169" s="42"/>
    </row>
    <row r="170" spans="1:68" s="86" customFormat="1">
      <c r="A170" s="86">
        <v>106</v>
      </c>
      <c r="B170" s="86">
        <f t="shared" si="52"/>
        <v>13182.567385564085</v>
      </c>
      <c r="C170" s="86" t="str">
        <f t="shared" si="53"/>
        <v>82828.5137078811j</v>
      </c>
      <c r="D170" s="86">
        <f t="shared" si="54"/>
        <v>0.99721951867400094</v>
      </c>
      <c r="E170" s="86" t="str">
        <f t="shared" si="55"/>
        <v>-0.0828285137078811j</v>
      </c>
      <c r="F170" s="86" t="str">
        <f t="shared" si="56"/>
        <v>0.997219518674001-0.0828285137078811j</v>
      </c>
      <c r="G170" s="86">
        <f t="shared" si="57"/>
        <v>5.6739587960906411E-3</v>
      </c>
      <c r="H170" s="86">
        <f t="shared" si="58"/>
        <v>-4.7480577130911259</v>
      </c>
      <c r="J170" s="86">
        <f t="shared" si="59"/>
        <v>17.283950617283953</v>
      </c>
      <c r="K170" s="86" t="str">
        <f t="shared" si="60"/>
        <v>1+1.00015430302266j</v>
      </c>
      <c r="L170" s="86">
        <f t="shared" si="61"/>
        <v>0.79545359407923699</v>
      </c>
      <c r="M170" s="86" t="str">
        <f t="shared" si="62"/>
        <v>0.22307457117746j</v>
      </c>
      <c r="N170" s="86" t="str">
        <f t="shared" si="63"/>
        <v>0.795453594079237+0.22307457117746j</v>
      </c>
      <c r="O170" s="86" t="str">
        <f t="shared" si="64"/>
        <v>1.49238040373829+0.838819749375136j</v>
      </c>
      <c r="P170" s="86" t="str">
        <f t="shared" si="65"/>
        <v>25.7942292004149+14.4981191250024j</v>
      </c>
      <c r="R170" s="86">
        <f t="shared" si="66"/>
        <v>6.9135802469135808</v>
      </c>
      <c r="S170" s="86" t="str">
        <f t="shared" si="67"/>
        <v>1+0.00621213852809108j</v>
      </c>
      <c r="T170" s="86" t="str">
        <f t="shared" si="68"/>
        <v>0.795453594079237+0.22307457117746j</v>
      </c>
      <c r="U170" s="86" t="str">
        <f t="shared" si="69"/>
        <v>1.16751534764466-0.319604875612041j</v>
      </c>
      <c r="V170" s="86" t="str">
        <f t="shared" si="70"/>
        <v>8.07171104544456-2.20961395484868j</v>
      </c>
      <c r="X170" s="86" t="str">
        <f t="shared" si="71"/>
        <v>0.825585590303702+0.37782406424532j</v>
      </c>
      <c r="Y170" s="86">
        <f t="shared" si="72"/>
        <v>-0.83892261341275121</v>
      </c>
      <c r="Z170" s="86">
        <f t="shared" si="73"/>
        <v>-155.40909615594717</v>
      </c>
      <c r="AB170" s="86" t="str">
        <f t="shared" si="74"/>
        <v>2.78104708015593-0.76130580031997j</v>
      </c>
      <c r="AC170" s="86">
        <f t="shared" si="75"/>
        <v>9.1980006291973915</v>
      </c>
      <c r="AD170" s="86">
        <f t="shared" si="76"/>
        <v>164.69046618318879</v>
      </c>
      <c r="AF170" s="86" t="str">
        <f t="shared" si="77"/>
        <v>1.37804081335437-0.702220037190467j</v>
      </c>
      <c r="AG170" s="86">
        <f t="shared" si="78"/>
        <v>3.7878104926325511</v>
      </c>
      <c r="AH170" s="86">
        <f t="shared" si="79"/>
        <v>152.99758476183959</v>
      </c>
      <c r="AJ170" s="86" t="str">
        <f t="shared" si="80"/>
        <v>9984.86794962969-388.704932763524j</v>
      </c>
      <c r="AK170" s="86" t="str">
        <f t="shared" si="81"/>
        <v>20000-0.0000331314054831524j</v>
      </c>
      <c r="AL170" s="86" t="str">
        <f t="shared" si="95"/>
        <v>10000-268291.935076795j</v>
      </c>
      <c r="AM170" s="86" t="str">
        <f t="shared" si="96"/>
        <v>962.503129183017-83287.7558628901j</v>
      </c>
      <c r="AN170" s="86" t="str">
        <f t="shared" si="97"/>
        <v>10962.503129183-83287.7558628901j</v>
      </c>
      <c r="AO170" s="86" t="str">
        <f t="shared" si="98"/>
        <v>18431.3901343379-4219.49074152204j</v>
      </c>
      <c r="AP170" s="86" t="str">
        <f t="shared" si="99"/>
        <v>0.666891033804497+0.00864515474454198j</v>
      </c>
      <c r="AQ170" s="86" t="str">
        <f t="shared" si="82"/>
        <v>1+4.82061949779868j</v>
      </c>
      <c r="AR170" s="86">
        <f t="shared" si="83"/>
        <v>-4.6914169778467642E-6</v>
      </c>
      <c r="AS170" s="86" t="str">
        <f t="shared" si="84"/>
        <v>0.000403194295597498j</v>
      </c>
      <c r="AT170" s="86" t="str">
        <f t="shared" si="85"/>
        <v>-4.69141697784676E-06+0.000403194295597498j</v>
      </c>
      <c r="AU170" s="86" t="str">
        <f t="shared" si="86"/>
        <v>1.78883962556955-0.392843337119437j</v>
      </c>
      <c r="AW170" s="86" t="str">
        <f t="shared" si="100"/>
        <v>1.1784052968265-0.314419094423061j</v>
      </c>
      <c r="AX170" s="86">
        <f t="shared" si="87"/>
        <v>1.7245651033342158</v>
      </c>
      <c r="AY170" s="86">
        <f t="shared" si="88"/>
        <v>165.06051752431745</v>
      </c>
      <c r="AZ170" s="86" t="str">
        <f t="shared" si="89"/>
        <v>3.03783152966399-1.77154109209231j</v>
      </c>
      <c r="BA170" s="86">
        <f t="shared" si="90"/>
        <v>10.922565732531595</v>
      </c>
      <c r="BB170" s="86">
        <f t="shared" si="91"/>
        <v>149.75098370750629</v>
      </c>
      <c r="BD170" s="86" t="str">
        <f t="shared" si="92"/>
        <v>1.40309920552073-1.26078215597584j</v>
      </c>
      <c r="BE170" s="86">
        <f t="shared" si="93"/>
        <v>5.5123755959667342</v>
      </c>
      <c r="BF170" s="86">
        <f t="shared" si="94"/>
        <v>138.05810228615715</v>
      </c>
      <c r="BH170" s="86">
        <f t="shared" si="101"/>
        <v>-4.5123755959667342</v>
      </c>
      <c r="BI170" s="159">
        <f t="shared" si="102"/>
        <v>-138.05810228615715</v>
      </c>
      <c r="BJ170" s="88"/>
      <c r="BK170" s="88"/>
      <c r="BL170" s="88"/>
      <c r="BM170" s="88"/>
      <c r="BN170" s="42"/>
      <c r="BO170" s="42"/>
      <c r="BP170" s="42"/>
    </row>
    <row r="171" spans="1:68" s="86" customFormat="1">
      <c r="A171" s="86">
        <v>107</v>
      </c>
      <c r="B171" s="86">
        <f t="shared" si="52"/>
        <v>13803.842646028861</v>
      </c>
      <c r="C171" s="86" t="str">
        <f t="shared" si="53"/>
        <v>86732.1012961475j</v>
      </c>
      <c r="D171" s="86">
        <f t="shared" si="54"/>
        <v>0.99695126285125879</v>
      </c>
      <c r="E171" s="86" t="str">
        <f t="shared" si="55"/>
        <v>-0.0867321012961475j</v>
      </c>
      <c r="F171" s="86" t="str">
        <f t="shared" si="56"/>
        <v>0.996951262851259-0.0867321012961475j</v>
      </c>
      <c r="G171" s="86">
        <f t="shared" si="57"/>
        <v>6.2245269729113784E-3</v>
      </c>
      <c r="H171" s="86">
        <f t="shared" si="58"/>
        <v>-4.9720615015708471</v>
      </c>
      <c r="J171" s="86">
        <f t="shared" si="59"/>
        <v>17.283950617283953</v>
      </c>
      <c r="K171" s="86" t="str">
        <f t="shared" si="60"/>
        <v>1+1.04729012315098j</v>
      </c>
      <c r="L171" s="86">
        <f t="shared" si="61"/>
        <v>0.7757193258084305</v>
      </c>
      <c r="M171" s="86" t="str">
        <f t="shared" si="62"/>
        <v>0.233587751824131j</v>
      </c>
      <c r="N171" s="86" t="str">
        <f t="shared" si="63"/>
        <v>0.775719325808431+0.233587751824131j</v>
      </c>
      <c r="O171" s="86" t="str">
        <f t="shared" si="64"/>
        <v>1.55469709415116+0.881932293549241j</v>
      </c>
      <c r="P171" s="86" t="str">
        <f t="shared" si="65"/>
        <v>26.8713078001435+15.2432742094931j</v>
      </c>
      <c r="R171" s="86">
        <f t="shared" si="66"/>
        <v>6.9135802469135808</v>
      </c>
      <c r="S171" s="86" t="str">
        <f t="shared" si="67"/>
        <v>1+0.00650490759721106j</v>
      </c>
      <c r="T171" s="86" t="str">
        <f t="shared" si="68"/>
        <v>0.775719325808431+0.233587751824131j</v>
      </c>
      <c r="U171" s="86" t="str">
        <f t="shared" si="69"/>
        <v>1.18426694901916-0.348225624393567j</v>
      </c>
      <c r="V171" s="86" t="str">
        <f t="shared" si="70"/>
        <v>8.18752458581148-2.40748579827651j</v>
      </c>
      <c r="X171" s="86" t="str">
        <f t="shared" si="71"/>
        <v>0.862017786979403+0.394532623688105j</v>
      </c>
      <c r="Y171" s="86">
        <f t="shared" si="72"/>
        <v>-0.46370444020443297</v>
      </c>
      <c r="Z171" s="86">
        <f t="shared" si="73"/>
        <v>-155.40714008764709</v>
      </c>
      <c r="AB171" s="86" t="str">
        <f t="shared" si="74"/>
        <v>2.82094976082259-0.829481049571565j</v>
      </c>
      <c r="AC171" s="86">
        <f t="shared" si="75"/>
        <v>9.3680500233621551</v>
      </c>
      <c r="AD171" s="86">
        <f t="shared" si="76"/>
        <v>163.61438648116021</v>
      </c>
      <c r="AF171" s="86" t="str">
        <f t="shared" si="77"/>
        <v>1.35956917534605-0.733545862428127j</v>
      </c>
      <c r="AG171" s="86">
        <f t="shared" si="78"/>
        <v>3.7776469154693575</v>
      </c>
      <c r="AH171" s="86">
        <f t="shared" si="79"/>
        <v>151.65123576381939</v>
      </c>
      <c r="AJ171" s="86" t="str">
        <f t="shared" si="80"/>
        <v>9983.41045863459-406.964618574277j</v>
      </c>
      <c r="AK171" s="86" t="str">
        <f t="shared" si="81"/>
        <v>20000-0.000034692840518459j</v>
      </c>
      <c r="AL171" s="86" t="str">
        <f t="shared" si="95"/>
        <v>10000-256216.808887683j</v>
      </c>
      <c r="AM171" s="86" t="str">
        <f t="shared" si="96"/>
        <v>962.441814350713-79541.4672895708j</v>
      </c>
      <c r="AN171" s="86" t="str">
        <f t="shared" si="97"/>
        <v>10962.4418143507-79541.4672895708j</v>
      </c>
      <c r="AO171" s="86" t="str">
        <f t="shared" si="98"/>
        <v>18300.0553797458-4367.10030695296j</v>
      </c>
      <c r="AP171" s="86" t="str">
        <f t="shared" si="99"/>
        <v>0.666912664366233+0.00905200050190597j</v>
      </c>
      <c r="AQ171" s="86" t="str">
        <f t="shared" si="82"/>
        <v>1+5.04780829543579j</v>
      </c>
      <c r="AR171" s="86">
        <f t="shared" si="83"/>
        <v>-5.1536842448392406E-6</v>
      </c>
      <c r="AS171" s="86" t="str">
        <f t="shared" si="84"/>
        <v>0.000422196257331413j</v>
      </c>
      <c r="AT171" s="86" t="str">
        <f t="shared" si="85"/>
        <v>-5.15368424483924E-06+0.000422196257331413j</v>
      </c>
      <c r="AU171" s="86" t="str">
        <f t="shared" si="86"/>
        <v>1.7888071488121-0.37712069791018j</v>
      </c>
      <c r="AW171" s="86" t="str">
        <f t="shared" si="100"/>
        <v>1.17808512141017-0.30639608587212j</v>
      </c>
      <c r="AX171" s="86">
        <f t="shared" si="87"/>
        <v>1.7077877976314162</v>
      </c>
      <c r="AY171" s="86">
        <f t="shared" si="88"/>
        <v>165.42150378345451</v>
      </c>
      <c r="AZ171" s="86" t="str">
        <f t="shared" si="89"/>
        <v>3.06916919457684-1.84152724814989j</v>
      </c>
      <c r="BA171" s="86">
        <f t="shared" si="90"/>
        <v>11.075837820993563</v>
      </c>
      <c r="BB171" s="86">
        <f t="shared" si="91"/>
        <v>149.03589026461464</v>
      </c>
      <c r="BD171" s="86" t="str">
        <f t="shared" si="92"/>
        <v>1.37693263594741-1.28074614019699j</v>
      </c>
      <c r="BE171" s="86">
        <f t="shared" si="93"/>
        <v>5.4854347131007977</v>
      </c>
      <c r="BF171" s="86">
        <f t="shared" si="94"/>
        <v>137.07273954727376</v>
      </c>
      <c r="BH171" s="86">
        <f t="shared" si="101"/>
        <v>-4.4854347131007977</v>
      </c>
      <c r="BI171" s="159">
        <f t="shared" si="102"/>
        <v>-137.07273954727376</v>
      </c>
      <c r="BJ171" s="88"/>
      <c r="BK171" s="88"/>
      <c r="BL171" s="88"/>
      <c r="BM171" s="88"/>
      <c r="BN171" s="42"/>
      <c r="BO171" s="42"/>
      <c r="BP171" s="42"/>
    </row>
    <row r="172" spans="1:68" s="86" customFormat="1">
      <c r="A172" s="86">
        <v>108</v>
      </c>
      <c r="B172" s="86">
        <f t="shared" si="52"/>
        <v>14454.397707459284</v>
      </c>
      <c r="C172" s="86" t="str">
        <f t="shared" si="53"/>
        <v>90819.6592996385j</v>
      </c>
      <c r="D172" s="86">
        <f t="shared" si="54"/>
        <v>0.99665712619063351</v>
      </c>
      <c r="E172" s="86" t="str">
        <f t="shared" si="55"/>
        <v>-0.0908196592996385j</v>
      </c>
      <c r="F172" s="86" t="str">
        <f t="shared" si="56"/>
        <v>0.996657126190634-0.0908196592996385j</v>
      </c>
      <c r="G172" s="86">
        <f t="shared" si="57"/>
        <v>6.8288500445522239E-3</v>
      </c>
      <c r="H172" s="86">
        <f t="shared" si="58"/>
        <v>-5.2066568233858179</v>
      </c>
      <c r="J172" s="86">
        <f t="shared" si="59"/>
        <v>17.283950617283953</v>
      </c>
      <c r="K172" s="86" t="str">
        <f t="shared" si="60"/>
        <v>1+1.09664738604313j</v>
      </c>
      <c r="L172" s="86">
        <f t="shared" si="61"/>
        <v>0.75408113093265039</v>
      </c>
      <c r="M172" s="86" t="str">
        <f t="shared" si="62"/>
        <v>0.244596403410076j</v>
      </c>
      <c r="N172" s="86" t="str">
        <f t="shared" si="63"/>
        <v>0.75408113093265+0.244596403410076j</v>
      </c>
      <c r="O172" s="86" t="str">
        <f t="shared" si="64"/>
        <v>1.62668710769847+0.926645080168375j</v>
      </c>
      <c r="P172" s="86" t="str">
        <f t="shared" si="65"/>
        <v>28.1155796392328+16.0160878053793j</v>
      </c>
      <c r="R172" s="86">
        <f t="shared" si="66"/>
        <v>6.9135802469135808</v>
      </c>
      <c r="S172" s="86" t="str">
        <f t="shared" si="67"/>
        <v>1+0.00681147444747289j</v>
      </c>
      <c r="T172" s="86" t="str">
        <f t="shared" si="68"/>
        <v>0.75408113093265+0.244596403410076j</v>
      </c>
      <c r="U172" s="86" t="str">
        <f t="shared" si="69"/>
        <v>1.20252724984632-0.381023147353105j</v>
      </c>
      <c r="V172" s="86" t="str">
        <f t="shared" si="70"/>
        <v>8.31376864091283-2.63423410515727j</v>
      </c>
      <c r="X172" s="86" t="str">
        <f t="shared" si="71"/>
        <v>0.903865418742254+0.411180388856136j</v>
      </c>
      <c r="Y172" s="86">
        <f t="shared" si="72"/>
        <v>-6.1045828439310085E-2</v>
      </c>
      <c r="Z172" s="86">
        <f t="shared" si="73"/>
        <v>-155.53858115700652</v>
      </c>
      <c r="AB172" s="86" t="str">
        <f t="shared" si="74"/>
        <v>2.86444619656589-0.907605466220118j</v>
      </c>
      <c r="AC172" s="86">
        <f t="shared" si="75"/>
        <v>9.5563001827119312</v>
      </c>
      <c r="AD172" s="86">
        <f t="shared" si="76"/>
        <v>162.41909143101111</v>
      </c>
      <c r="AF172" s="86" t="str">
        <f t="shared" si="77"/>
        <v>1.33912353129972-0.765929558986205j</v>
      </c>
      <c r="AG172" s="86">
        <f t="shared" si="78"/>
        <v>3.765586946642923</v>
      </c>
      <c r="AH172" s="86">
        <f t="shared" si="79"/>
        <v>150.23202647006099</v>
      </c>
      <c r="AJ172" s="86" t="str">
        <f t="shared" si="80"/>
        <v>9981.81284051648-426.076075443178j</v>
      </c>
      <c r="AK172" s="86" t="str">
        <f t="shared" si="81"/>
        <v>20000-0.0000363278637198554j</v>
      </c>
      <c r="AL172" s="86" t="str">
        <f t="shared" si="95"/>
        <v>10000-244685.152901809j</v>
      </c>
      <c r="AM172" s="86" t="str">
        <f t="shared" si="96"/>
        <v>962.374592952176-75963.8965141427j</v>
      </c>
      <c r="AN172" s="86" t="str">
        <f t="shared" si="97"/>
        <v>10962.3745929522-75963.8965141427j</v>
      </c>
      <c r="AO172" s="86" t="str">
        <f t="shared" si="98"/>
        <v>18159.516335944-4515.49056456042j</v>
      </c>
      <c r="AP172" s="86" t="str">
        <f t="shared" si="99"/>
        <v>0.666936378576987+0.00947793331131952j</v>
      </c>
      <c r="AQ172" s="86" t="str">
        <f t="shared" si="82"/>
        <v>1+5.28570417123896j</v>
      </c>
      <c r="AR172" s="86">
        <f t="shared" si="83"/>
        <v>-5.6605502238872035E-6</v>
      </c>
      <c r="AS172" s="86" t="str">
        <f t="shared" si="84"/>
        <v>0.000442093753931966j</v>
      </c>
      <c r="AT172" s="86" t="str">
        <f t="shared" si="85"/>
        <v>-0.0000056605502238872+0.000442093753931966j</v>
      </c>
      <c r="AU172" s="86" t="str">
        <f t="shared" si="86"/>
        <v>1.78877303539411-0.362197923363163j</v>
      </c>
      <c r="AW172" s="86" t="str">
        <f t="shared" si="100"/>
        <v>1.17773523582426-0.299019796896867j</v>
      </c>
      <c r="AX172" s="86">
        <f t="shared" si="87"/>
        <v>1.6922554616901051</v>
      </c>
      <c r="AY172" s="86">
        <f t="shared" si="88"/>
        <v>165.75396919575215</v>
      </c>
      <c r="AZ172" s="86" t="str">
        <f t="shared" si="89"/>
        <v>3.1021672146468-1.92544505771327j</v>
      </c>
      <c r="BA172" s="86">
        <f t="shared" si="90"/>
        <v>11.248555644402018</v>
      </c>
      <c r="BB172" s="86">
        <f t="shared" si="91"/>
        <v>148.17306062676326</v>
      </c>
      <c r="BD172" s="86" t="str">
        <f t="shared" si="92"/>
        <v>1.34810486676772-1.30248667612644j</v>
      </c>
      <c r="BE172" s="86">
        <f t="shared" si="93"/>
        <v>5.457842408332974</v>
      </c>
      <c r="BF172" s="86">
        <f t="shared" si="94"/>
        <v>135.98599566581311</v>
      </c>
      <c r="BH172" s="86">
        <f t="shared" si="101"/>
        <v>-4.457842408332974</v>
      </c>
      <c r="BI172" s="159">
        <f t="shared" si="102"/>
        <v>-135.98599566581311</v>
      </c>
      <c r="BJ172" s="88"/>
      <c r="BK172" s="88"/>
      <c r="BL172" s="88"/>
      <c r="BM172" s="88"/>
      <c r="BN172" s="42"/>
      <c r="BO172" s="42"/>
      <c r="BP172" s="42"/>
    </row>
    <row r="173" spans="1:68" s="86" customFormat="1">
      <c r="A173" s="86">
        <v>109</v>
      </c>
      <c r="B173" s="86">
        <f t="shared" si="52"/>
        <v>15135.612484362091</v>
      </c>
      <c r="C173" s="86" t="str">
        <f t="shared" si="53"/>
        <v>95099.8579769078j</v>
      </c>
      <c r="D173" s="86">
        <f t="shared" si="54"/>
        <v>0.99633461175557159</v>
      </c>
      <c r="E173" s="86" t="str">
        <f t="shared" si="55"/>
        <v>-0.0950998579769078j</v>
      </c>
      <c r="F173" s="86" t="str">
        <f t="shared" si="56"/>
        <v>0.996334611755572-0.0950998579769078j</v>
      </c>
      <c r="G173" s="86">
        <f t="shared" si="57"/>
        <v>7.4922427088752915E-3</v>
      </c>
      <c r="H173" s="86">
        <f t="shared" si="58"/>
        <v>-5.4523479066701679</v>
      </c>
      <c r="J173" s="86">
        <f t="shared" si="59"/>
        <v>17.283950617283953</v>
      </c>
      <c r="K173" s="86" t="str">
        <f t="shared" si="60"/>
        <v>1+1.14833078507116j</v>
      </c>
      <c r="L173" s="86">
        <f t="shared" si="61"/>
        <v>0.73035532204746068</v>
      </c>
      <c r="M173" s="86" t="str">
        <f t="shared" si="62"/>
        <v>0.256123876761265j</v>
      </c>
      <c r="N173" s="86" t="str">
        <f t="shared" si="63"/>
        <v>0.730355322047461+0.256123876761265j</v>
      </c>
      <c r="O173" s="86" t="str">
        <f t="shared" si="64"/>
        <v>1.71024857132864+0.972533874013307j</v>
      </c>
      <c r="P173" s="86" t="str">
        <f t="shared" si="65"/>
        <v>29.5598518501246+16.8092274520819j</v>
      </c>
      <c r="R173" s="86">
        <f t="shared" si="66"/>
        <v>6.9135802469135808</v>
      </c>
      <c r="S173" s="86" t="str">
        <f t="shared" si="67"/>
        <v>1+0.00713248934826809j</v>
      </c>
      <c r="T173" s="86" t="str">
        <f t="shared" si="68"/>
        <v>0.730355322047461+0.256123876761265j</v>
      </c>
      <c r="U173" s="86" t="str">
        <f t="shared" si="69"/>
        <v>1.22230335537939-0.418876367946728j</v>
      </c>
      <c r="V173" s="86" t="str">
        <f t="shared" si="70"/>
        <v>8.45049233348714-2.8959353833354j</v>
      </c>
      <c r="X173" s="86" t="str">
        <f t="shared" si="71"/>
        <v>0.952127625669659+0.427352014925858j</v>
      </c>
      <c r="Y173" s="86">
        <f t="shared" si="72"/>
        <v>0.37098366221065632</v>
      </c>
      <c r="Z173" s="86">
        <f t="shared" si="73"/>
        <v>-155.82759695173581</v>
      </c>
      <c r="AB173" s="86" t="str">
        <f t="shared" si="74"/>
        <v>2.91155331225439-0.997772665151392j</v>
      </c>
      <c r="AC173" s="86">
        <f t="shared" si="75"/>
        <v>9.7647346165495588</v>
      </c>
      <c r="AD173" s="86">
        <f t="shared" si="76"/>
        <v>161.08370584050962</v>
      </c>
      <c r="AF173" s="86" t="str">
        <f t="shared" si="77"/>
        <v>1.31649255085542-0.799321923872199j</v>
      </c>
      <c r="AG173" s="86">
        <f t="shared" si="78"/>
        <v>3.7512716671493513</v>
      </c>
      <c r="AH173" s="86">
        <f t="shared" si="79"/>
        <v>148.73554089279958</v>
      </c>
      <c r="AJ173" s="86" t="str">
        <f t="shared" si="80"/>
        <v>9980.06167468339-446.078150495691j</v>
      </c>
      <c r="AK173" s="86" t="str">
        <f t="shared" si="81"/>
        <v>20000-0.0000380399431907632j</v>
      </c>
      <c r="AL173" s="86" t="str">
        <f t="shared" si="95"/>
        <v>10000-233672.506930749j</v>
      </c>
      <c r="AM173" s="86" t="str">
        <f t="shared" si="96"/>
        <v>962.300896946268-72547.4549822213j</v>
      </c>
      <c r="AN173" s="86" t="str">
        <f t="shared" si="97"/>
        <v>10962.3008969463-72547.4549822213j</v>
      </c>
      <c r="AO173" s="86" t="str">
        <f t="shared" si="98"/>
        <v>18009.4304171995-4664.08350625424j</v>
      </c>
      <c r="AP173" s="86" t="str">
        <f t="shared" si="99"/>
        <v>0.666962376811268+0.00992383985256062j</v>
      </c>
      <c r="AQ173" s="86" t="str">
        <f t="shared" si="82"/>
        <v>1+5.53481173425603j</v>
      </c>
      <c r="AR173" s="86">
        <f t="shared" si="83"/>
        <v>-6.2163177182800556E-6</v>
      </c>
      <c r="AS173" s="86" t="str">
        <f t="shared" si="84"/>
        <v>0.000462928990657151j</v>
      </c>
      <c r="AT173" s="86" t="str">
        <f t="shared" si="85"/>
        <v>-6.21631771828006E-06+0.000462928990657151j</v>
      </c>
      <c r="AU173" s="86" t="str">
        <f t="shared" si="86"/>
        <v>1.78873699594701-0.348043351643481j</v>
      </c>
      <c r="AW173" s="86" t="str">
        <f t="shared" si="100"/>
        <v>1.17735272265037-0.292274112456834j</v>
      </c>
      <c r="AX173" s="86">
        <f t="shared" si="87"/>
        <v>1.6778493636043843</v>
      </c>
      <c r="AY173" s="86">
        <f t="shared" si="88"/>
        <v>166.05833449076624</v>
      </c>
      <c r="AZ173" s="86" t="str">
        <f t="shared" si="89"/>
        <v>3.1363020991836-2.02570202411201j</v>
      </c>
      <c r="BA173" s="86">
        <f t="shared" si="90"/>
        <v>11.442583980153946</v>
      </c>
      <c r="BB173" s="86">
        <f t="shared" si="91"/>
        <v>147.14204033127595</v>
      </c>
      <c r="BD173" s="86" t="str">
        <f t="shared" si="92"/>
        <v>1.31635498323153-1.32586053520237j</v>
      </c>
      <c r="BE173" s="86">
        <f t="shared" si="93"/>
        <v>5.4291210307537696</v>
      </c>
      <c r="BF173" s="86">
        <f t="shared" si="94"/>
        <v>134.79387538356588</v>
      </c>
      <c r="BH173" s="86">
        <f t="shared" si="101"/>
        <v>-4.4291210307537696</v>
      </c>
      <c r="BI173" s="159">
        <f t="shared" si="102"/>
        <v>-134.79387538356588</v>
      </c>
      <c r="BJ173" s="88"/>
      <c r="BK173" s="88"/>
      <c r="BL173" s="88"/>
      <c r="BM173" s="88"/>
      <c r="BN173" s="42"/>
      <c r="BO173" s="42"/>
      <c r="BP173" s="42"/>
    </row>
    <row r="174" spans="1:68" s="86" customFormat="1">
      <c r="A174" s="86">
        <v>110</v>
      </c>
      <c r="B174" s="86">
        <f t="shared" si="52"/>
        <v>15848.931924611154</v>
      </c>
      <c r="C174" s="86" t="str">
        <f t="shared" si="53"/>
        <v>99581.7762032063j</v>
      </c>
      <c r="D174" s="86">
        <f t="shared" si="54"/>
        <v>0.99598098170958471</v>
      </c>
      <c r="E174" s="86" t="str">
        <f t="shared" si="55"/>
        <v>-0.0995817762032063j</v>
      </c>
      <c r="F174" s="86" t="str">
        <f t="shared" si="56"/>
        <v>0.995980981709585-0.0995817762032063j</v>
      </c>
      <c r="G174" s="86">
        <f t="shared" si="57"/>
        <v>8.2205583050737278E-3</v>
      </c>
      <c r="H174" s="86">
        <f t="shared" si="58"/>
        <v>-5.7096634790239831</v>
      </c>
      <c r="J174" s="86">
        <f t="shared" si="59"/>
        <v>17.283950617283953</v>
      </c>
      <c r="K174" s="86" t="str">
        <f t="shared" si="60"/>
        <v>1+1.20244994765372j</v>
      </c>
      <c r="L174" s="86">
        <f t="shared" si="61"/>
        <v>0.7043404899189889</v>
      </c>
      <c r="M174" s="86" t="str">
        <f t="shared" si="62"/>
        <v>0.268194623194191j</v>
      </c>
      <c r="N174" s="86" t="str">
        <f t="shared" si="63"/>
        <v>0.704340489918989+0.268194623194191j</v>
      </c>
      <c r="O174" s="86" t="str">
        <f t="shared" si="64"/>
        <v>1.80772522725248+1.01886484131367j</v>
      </c>
      <c r="P174" s="86" t="str">
        <f t="shared" si="65"/>
        <v>31.2446335574503+17.6100096029523j</v>
      </c>
      <c r="R174" s="86">
        <f t="shared" si="66"/>
        <v>6.9135802469135808</v>
      </c>
      <c r="S174" s="86" t="str">
        <f t="shared" si="67"/>
        <v>1+0.00746863321524047j</v>
      </c>
      <c r="T174" s="86" t="str">
        <f t="shared" si="68"/>
        <v>0.704340489918989+0.268194623194191j</v>
      </c>
      <c r="U174" s="86" t="str">
        <f t="shared" si="69"/>
        <v>1.24351028188927-0.462892795374655j</v>
      </c>
      <c r="V174" s="86" t="str">
        <f t="shared" si="70"/>
        <v>8.5971081217036-3.20024648654082j</v>
      </c>
      <c r="X174" s="86" t="str">
        <f t="shared" si="71"/>
        <v>1.00801750918693+0.442419249784904j</v>
      </c>
      <c r="Y174" s="86">
        <f t="shared" si="72"/>
        <v>0.83443165937344843</v>
      </c>
      <c r="Z174" s="86">
        <f t="shared" si="73"/>
        <v>-156.30331226224442</v>
      </c>
      <c r="AB174" s="86" t="str">
        <f t="shared" si="74"/>
        <v>2.96206867478762-1.10262075749064j</v>
      </c>
      <c r="AC174" s="86">
        <f t="shared" si="75"/>
        <v>9.9954911466789937</v>
      </c>
      <c r="AD174" s="86">
        <f t="shared" si="76"/>
        <v>159.58237539817122</v>
      </c>
      <c r="AF174" s="86" t="str">
        <f t="shared" si="77"/>
        <v>1.29144610967948-0.83364879480084j</v>
      </c>
      <c r="AG174" s="86">
        <f t="shared" si="78"/>
        <v>3.7342758110808711</v>
      </c>
      <c r="AH174" s="86">
        <f t="shared" si="79"/>
        <v>147.15712063018458</v>
      </c>
      <c r="AJ174" s="86" t="str">
        <f t="shared" si="80"/>
        <v>9978.14226560637-467.011331108162j</v>
      </c>
      <c r="AK174" s="86" t="str">
        <f t="shared" si="81"/>
        <v>20000-0.0000398327104812826j</v>
      </c>
      <c r="AL174" s="86" t="str">
        <f t="shared" si="95"/>
        <v>10000-223155.511675908j</v>
      </c>
      <c r="AM174" s="86" t="str">
        <f t="shared" si="96"/>
        <v>962.220103854369-69284.8959091907j</v>
      </c>
      <c r="AN174" s="86" t="str">
        <f t="shared" si="97"/>
        <v>10962.2201038544-69284.8959091907j</v>
      </c>
      <c r="AO174" s="86" t="str">
        <f t="shared" si="98"/>
        <v>17849.4933181623-4812.23991138341j</v>
      </c>
      <c r="AP174" s="86" t="str">
        <f t="shared" si="99"/>
        <v>0.666990878643703+0.0103906466934448j</v>
      </c>
      <c r="AQ174" s="86" t="str">
        <f t="shared" si="82"/>
        <v>1+5.79565937502661j</v>
      </c>
      <c r="AR174" s="86">
        <f t="shared" si="83"/>
        <v>-6.8257046580069714E-6</v>
      </c>
      <c r="AS174" s="86" t="str">
        <f t="shared" si="84"/>
        <v>0.000484746161837492j</v>
      </c>
      <c r="AT174" s="86" t="str">
        <f t="shared" si="85"/>
        <v>-6.82570465800697E-06+0.000484746161837492j</v>
      </c>
      <c r="AU174" s="86" t="str">
        <f t="shared" si="86"/>
        <v>1.78869872479689-0.334626949087628j</v>
      </c>
      <c r="AW174" s="86" t="str">
        <f t="shared" si="100"/>
        <v>1.1769343980853-0.286144186460701j</v>
      </c>
      <c r="AX174" s="86">
        <f t="shared" si="87"/>
        <v>1.6644582538067045</v>
      </c>
      <c r="AY174" s="86">
        <f t="shared" si="88"/>
        <v>166.33499699111658</v>
      </c>
      <c r="AZ174" s="86" t="str">
        <f t="shared" si="89"/>
        <v>3.17065199322166-2.14529102872143j</v>
      </c>
      <c r="BA174" s="86">
        <f t="shared" si="90"/>
        <v>11.659949400485715</v>
      </c>
      <c r="BB174" s="86">
        <f t="shared" si="91"/>
        <v>145.91737238928795</v>
      </c>
      <c r="BD174" s="86" t="str">
        <f t="shared" si="92"/>
        <v>1.281403593573-1.35068973893553j</v>
      </c>
      <c r="BE174" s="86">
        <f t="shared" si="93"/>
        <v>5.3987340648875906</v>
      </c>
      <c r="BF174" s="86">
        <f t="shared" si="94"/>
        <v>133.49211762130147</v>
      </c>
      <c r="BH174" s="86">
        <f t="shared" si="101"/>
        <v>-4.3987340648875906</v>
      </c>
      <c r="BI174" s="159">
        <f t="shared" si="102"/>
        <v>-133.49211762130147</v>
      </c>
      <c r="BJ174" s="88"/>
      <c r="BK174" s="88"/>
      <c r="BL174" s="88"/>
      <c r="BM174" s="88"/>
      <c r="BN174" s="42"/>
      <c r="BO174" s="42"/>
      <c r="BP174" s="42"/>
    </row>
    <row r="175" spans="1:68" s="86" customFormat="1">
      <c r="A175" s="86">
        <v>111</v>
      </c>
      <c r="B175" s="86">
        <f t="shared" si="52"/>
        <v>16595.869074375623</v>
      </c>
      <c r="C175" s="86" t="str">
        <f t="shared" si="53"/>
        <v>104274.920727993j</v>
      </c>
      <c r="D175" s="86">
        <f t="shared" si="54"/>
        <v>0.99559323407465894</v>
      </c>
      <c r="E175" s="86" t="str">
        <f t="shared" si="55"/>
        <v>-0.104274920727993j</v>
      </c>
      <c r="F175" s="86" t="str">
        <f t="shared" si="56"/>
        <v>0.995593234074659-0.104274920727993j</v>
      </c>
      <c r="G175" s="86">
        <f t="shared" si="57"/>
        <v>9.0202459831120272E-3</v>
      </c>
      <c r="H175" s="86">
        <f t="shared" si="58"/>
        <v>-5.9791580274393175</v>
      </c>
      <c r="J175" s="86">
        <f t="shared" si="59"/>
        <v>17.283950617283953</v>
      </c>
      <c r="K175" s="86" t="str">
        <f t="shared" si="60"/>
        <v>1+1.25911966779052j</v>
      </c>
      <c r="L175" s="86">
        <f t="shared" si="61"/>
        <v>0.67581579371379608</v>
      </c>
      <c r="M175" s="86" t="str">
        <f t="shared" si="62"/>
        <v>0.280834246380391j</v>
      </c>
      <c r="N175" s="86" t="str">
        <f t="shared" si="63"/>
        <v>0.675815793713796+0.280834246380391j</v>
      </c>
      <c r="O175" s="86" t="str">
        <f t="shared" si="64"/>
        <v>1.9220119379978+1.06442154850473j</v>
      </c>
      <c r="P175" s="86" t="str">
        <f t="shared" si="65"/>
        <v>33.2199594221842+18.3974094803287j</v>
      </c>
      <c r="R175" s="86">
        <f t="shared" si="66"/>
        <v>6.9135802469135808</v>
      </c>
      <c r="S175" s="86" t="str">
        <f t="shared" si="67"/>
        <v>1+0.00782061905459948j</v>
      </c>
      <c r="T175" s="86" t="str">
        <f t="shared" si="68"/>
        <v>0.675815793713796+0.280834246380391j</v>
      </c>
      <c r="U175" s="86" t="str">
        <f t="shared" si="69"/>
        <v>1.26590477388157-0.514472726653997j</v>
      </c>
      <c r="V175" s="86" t="str">
        <f t="shared" si="70"/>
        <v>8.75193423918123-3.55684848057084j</v>
      </c>
      <c r="X175" s="86" t="str">
        <f t="shared" si="71"/>
        <v>1.073003037982+0.455435905227569j</v>
      </c>
      <c r="Y175" s="86">
        <f t="shared" si="72"/>
        <v>1.3314191699351081</v>
      </c>
      <c r="Z175" s="86">
        <f t="shared" si="73"/>
        <v>-157.0012153963149</v>
      </c>
      <c r="AB175" s="86" t="str">
        <f t="shared" si="74"/>
        <v>3.01541284426035-1.22548528134332j</v>
      </c>
      <c r="AC175" s="86">
        <f t="shared" si="75"/>
        <v>10.25081645728649</v>
      </c>
      <c r="AD175" s="86">
        <f t="shared" si="76"/>
        <v>157.88282451462752</v>
      </c>
      <c r="AF175" s="86" t="str">
        <f t="shared" si="77"/>
        <v>1.26373560786562-0.868805215853981j</v>
      </c>
      <c r="AG175" s="86">
        <f t="shared" si="78"/>
        <v>3.7140965419562679</v>
      </c>
      <c r="AH175" s="86">
        <f t="shared" si="79"/>
        <v>145.49187769115551</v>
      </c>
      <c r="AJ175" s="86" t="str">
        <f t="shared" si="80"/>
        <v>9976.03852380391-488.917794337056j</v>
      </c>
      <c r="AK175" s="86" t="str">
        <f t="shared" si="81"/>
        <v>20000-0.0000417099682911972j</v>
      </c>
      <c r="AL175" s="86" t="str">
        <f t="shared" si="95"/>
        <v>10000-213111.859180312j</v>
      </c>
      <c r="AM175" s="86" t="str">
        <f t="shared" si="96"/>
        <v>962.131531582202-66169.2989077752j</v>
      </c>
      <c r="AN175" s="86" t="str">
        <f t="shared" si="97"/>
        <v>10962.1315315822-66169.2989077752j</v>
      </c>
      <c r="AO175" s="86" t="str">
        <f t="shared" si="98"/>
        <v>17679.4484216286-4959.26033333193j</v>
      </c>
      <c r="AP175" s="86" t="str">
        <f t="shared" si="99"/>
        <v>0.667022124674888+0.0108793218898019j</v>
      </c>
      <c r="AQ175" s="86" t="str">
        <f t="shared" si="82"/>
        <v>1+6.06880038636919j</v>
      </c>
      <c r="AR175" s="86">
        <f t="shared" si="83"/>
        <v>-7.4938841504319129E-6</v>
      </c>
      <c r="AS175" s="86" t="str">
        <f t="shared" si="84"/>
        <v>0.000507591544618139j</v>
      </c>
      <c r="AT175" s="86" t="str">
        <f t="shared" si="85"/>
        <v>-7.49388415043191E-06+0.000507591544618139j</v>
      </c>
      <c r="AU175" s="86" t="str">
        <f t="shared" si="86"/>
        <v>1.78865789737864-0.32192024630875j</v>
      </c>
      <c r="AW175" s="86" t="str">
        <f t="shared" si="100"/>
        <v>1.17647678702997-0.280616400320803j</v>
      </c>
      <c r="AX175" s="86">
        <f t="shared" si="87"/>
        <v>1.6519777561834259</v>
      </c>
      <c r="AY175" s="86">
        <f t="shared" si="88"/>
        <v>166.58432754679964</v>
      </c>
      <c r="AZ175" s="86" t="str">
        <f t="shared" si="89"/>
        <v>3.20367194628763-2.28792928418476j</v>
      </c>
      <c r="BA175" s="86">
        <f t="shared" si="90"/>
        <v>11.902794213469912</v>
      </c>
      <c r="BB175" s="86">
        <f t="shared" si="91"/>
        <v>144.46715206142716</v>
      </c>
      <c r="BD175" s="86" t="str">
        <f t="shared" si="92"/>
        <v>1.24295461534423-1.37675410613924j</v>
      </c>
      <c r="BE175" s="86">
        <f t="shared" si="93"/>
        <v>5.3660742981396918</v>
      </c>
      <c r="BF175" s="86">
        <f t="shared" si="94"/>
        <v>132.07620523795526</v>
      </c>
      <c r="BH175" s="86">
        <f t="shared" si="101"/>
        <v>-4.3660742981396918</v>
      </c>
      <c r="BI175" s="159">
        <f t="shared" si="102"/>
        <v>-132.07620523795526</v>
      </c>
      <c r="BJ175" s="88"/>
      <c r="BK175" s="88"/>
      <c r="BL175" s="88"/>
      <c r="BM175" s="88"/>
      <c r="BN175" s="42"/>
      <c r="BO175" s="42"/>
      <c r="BP175" s="42"/>
    </row>
    <row r="176" spans="1:68" s="86" customFormat="1">
      <c r="A176" s="86">
        <v>112</v>
      </c>
      <c r="B176" s="86">
        <f t="shared" si="52"/>
        <v>17378.008287493769</v>
      </c>
      <c r="C176" s="86" t="str">
        <f t="shared" si="53"/>
        <v>109189.246340026j</v>
      </c>
      <c r="D176" s="86">
        <f t="shared" si="54"/>
        <v>0.99516807724735679</v>
      </c>
      <c r="E176" s="86" t="str">
        <f t="shared" si="55"/>
        <v>-0.109189246340026j</v>
      </c>
      <c r="F176" s="86" t="str">
        <f t="shared" si="56"/>
        <v>0.995168077247357-0.109189246340026j</v>
      </c>
      <c r="G176" s="86">
        <f t="shared" si="57"/>
        <v>9.8984144300547795E-3</v>
      </c>
      <c r="H176" s="86">
        <f t="shared" si="58"/>
        <v>-6.2614131322408664</v>
      </c>
      <c r="J176" s="86">
        <f t="shared" si="59"/>
        <v>17.283950617283953</v>
      </c>
      <c r="K176" s="86" t="str">
        <f t="shared" si="60"/>
        <v>1+1.31846014955581j</v>
      </c>
      <c r="L176" s="86">
        <f t="shared" si="61"/>
        <v>0.64453908627319145</v>
      </c>
      <c r="M176" s="86" t="str">
        <f t="shared" si="62"/>
        <v>0.294069556655268j</v>
      </c>
      <c r="N176" s="86" t="str">
        <f t="shared" si="63"/>
        <v>0.644539086273191+0.294069556655268j</v>
      </c>
      <c r="O176" s="86" t="str">
        <f t="shared" si="64"/>
        <v>2.05666980470135+1.10723490180783j</v>
      </c>
      <c r="P176" s="86" t="str">
        <f t="shared" si="65"/>
        <v>35.5473793405172+19.1373933645798j</v>
      </c>
      <c r="R176" s="86">
        <f t="shared" si="66"/>
        <v>6.9135802469135808</v>
      </c>
      <c r="S176" s="86" t="str">
        <f t="shared" si="67"/>
        <v>1+0.00818919347550195j</v>
      </c>
      <c r="T176" s="86" t="str">
        <f t="shared" si="68"/>
        <v>0.644539086273191+0.294069556655268j</v>
      </c>
      <c r="U176" s="86" t="str">
        <f t="shared" si="69"/>
        <v>1.28897701256628-0.575387456008376j</v>
      </c>
      <c r="V176" s="86" t="str">
        <f t="shared" si="70"/>
        <v>8.91144601280391-3.97798735018137j</v>
      </c>
      <c r="X176" s="86" t="str">
        <f t="shared" si="71"/>
        <v>1.14884375310121+0.464978739827557j</v>
      </c>
      <c r="Y176" s="86">
        <f t="shared" si="72"/>
        <v>1.8640456029997685</v>
      </c>
      <c r="Z176" s="86">
        <f t="shared" si="73"/>
        <v>-157.96503488959874</v>
      </c>
      <c r="AB176" s="86" t="str">
        <f t="shared" si="74"/>
        <v>3.07037142117004-1.37058549827087j</v>
      </c>
      <c r="AC176" s="86">
        <f t="shared" si="75"/>
        <v>10.532968913900946</v>
      </c>
      <c r="AD176" s="86">
        <f t="shared" si="76"/>
        <v>155.94445596577449</v>
      </c>
      <c r="AF176" s="86" t="str">
        <f t="shared" si="77"/>
        <v>1.23309525565517-0.904648638844609j</v>
      </c>
      <c r="AG176" s="86">
        <f t="shared" si="78"/>
        <v>3.6901408062385106</v>
      </c>
      <c r="AH176" s="86">
        <f t="shared" si="79"/>
        <v>143.73471870046677</v>
      </c>
      <c r="AJ176" s="86" t="str">
        <f t="shared" si="80"/>
        <v>9973.73283614145-511.841454640276j</v>
      </c>
      <c r="AK176" s="86" t="str">
        <f t="shared" si="81"/>
        <v>20000-0.0000436756985360104j</v>
      </c>
      <c r="AL176" s="86" t="str">
        <f t="shared" si="95"/>
        <v>10000-203520.245510442j</v>
      </c>
      <c r="AM176" s="86" t="str">
        <f t="shared" si="96"/>
        <v>962.034432756908-63194.0553077921j</v>
      </c>
      <c r="AN176" s="86" t="str">
        <f t="shared" si="97"/>
        <v>10962.0344327569-63194.0553077921j</v>
      </c>
      <c r="AO176" s="86" t="str">
        <f t="shared" si="98"/>
        <v>17499.0966800251-5104.38752917432j</v>
      </c>
      <c r="AP176" s="86" t="str">
        <f t="shared" si="99"/>
        <v>0.66705637852805+0.0113908766197997j</v>
      </c>
      <c r="AQ176" s="86" t="str">
        <f t="shared" si="82"/>
        <v>1+6.35481413698951j</v>
      </c>
      <c r="AR176" s="86">
        <f t="shared" si="83"/>
        <v>-8.2265283949859457E-6</v>
      </c>
      <c r="AS176" s="86" t="str">
        <f t="shared" si="84"/>
        <v>0.000531513597118905j</v>
      </c>
      <c r="AT176" s="86" t="str">
        <f t="shared" si="85"/>
        <v>-8.22652839498595E-06+0.000531513597118905j</v>
      </c>
      <c r="AU176" s="86" t="str">
        <f t="shared" si="86"/>
        <v>1.78861416749164-0.309896277591739j</v>
      </c>
      <c r="AW176" s="86" t="str">
        <f t="shared" si="100"/>
        <v>1.17597609612557-0.275678322691096j</v>
      </c>
      <c r="AX176" s="86">
        <f t="shared" si="87"/>
        <v>1.6403097675266609</v>
      </c>
      <c r="AY176" s="86">
        <f t="shared" si="88"/>
        <v>166.80666786656744</v>
      </c>
      <c r="AZ176" s="86" t="str">
        <f t="shared" si="89"/>
        <v>3.232842686255-2.45821062708973j</v>
      </c>
      <c r="BA176" s="86">
        <f t="shared" si="90"/>
        <v>12.173278681427593</v>
      </c>
      <c r="BB176" s="86">
        <f t="shared" si="91"/>
        <v>142.75112383234188</v>
      </c>
      <c r="BD176" s="86" t="str">
        <f t="shared" si="92"/>
        <v>1.20069852551486-1.40378280647116j</v>
      </c>
      <c r="BE176" s="86">
        <f t="shared" si="93"/>
        <v>5.3304505737651633</v>
      </c>
      <c r="BF176" s="86">
        <f t="shared" si="94"/>
        <v>130.5413865670341</v>
      </c>
      <c r="BH176" s="86">
        <f t="shared" si="101"/>
        <v>-4.3304505737651633</v>
      </c>
      <c r="BI176" s="159">
        <f t="shared" si="102"/>
        <v>-130.5413865670341</v>
      </c>
      <c r="BJ176" s="88"/>
      <c r="BK176" s="88"/>
      <c r="BL176" s="88"/>
      <c r="BM176" s="88"/>
      <c r="BN176" s="42"/>
      <c r="BO176" s="42"/>
      <c r="BP176" s="42"/>
    </row>
    <row r="177" spans="1:68" s="86" customFormat="1">
      <c r="A177" s="86">
        <v>113</v>
      </c>
      <c r="B177" s="86">
        <f t="shared" si="52"/>
        <v>18197.008586099848</v>
      </c>
      <c r="C177" s="86" t="str">
        <f t="shared" si="53"/>
        <v>114335.176982803j</v>
      </c>
      <c r="D177" s="86">
        <f t="shared" si="54"/>
        <v>0.99470190205627851</v>
      </c>
      <c r="E177" s="86" t="str">
        <f t="shared" si="55"/>
        <v>-0.114335176982803j</v>
      </c>
      <c r="F177" s="86" t="str">
        <f t="shared" si="56"/>
        <v>0.994701902056279-0.114335176982803j</v>
      </c>
      <c r="G177" s="86">
        <f t="shared" si="57"/>
        <v>1.0862902993041993E-2</v>
      </c>
      <c r="H177" s="86">
        <f t="shared" si="58"/>
        <v>-6.5570388804482063</v>
      </c>
      <c r="J177" s="86">
        <f t="shared" si="59"/>
        <v>17.283950617283953</v>
      </c>
      <c r="K177" s="86" t="str">
        <f t="shared" si="60"/>
        <v>1+1.38059726206735j</v>
      </c>
      <c r="L177" s="86">
        <f t="shared" si="61"/>
        <v>0.61024485851742361</v>
      </c>
      <c r="M177" s="86" t="str">
        <f t="shared" si="62"/>
        <v>0.307928627886401j</v>
      </c>
      <c r="N177" s="86" t="str">
        <f t="shared" si="63"/>
        <v>0.610244858517424+0.307928627886401j</v>
      </c>
      <c r="O177" s="86" t="str">
        <f t="shared" si="64"/>
        <v>2.21602859039826+1.14416141180654j</v>
      </c>
      <c r="P177" s="86" t="str">
        <f t="shared" si="65"/>
        <v>38.3017287229329+19.7756293398661j</v>
      </c>
      <c r="R177" s="86">
        <f t="shared" si="66"/>
        <v>6.9135802469135808</v>
      </c>
      <c r="S177" s="86" t="str">
        <f t="shared" si="67"/>
        <v>1+0.00857513827371022j</v>
      </c>
      <c r="T177" s="86" t="str">
        <f t="shared" si="68"/>
        <v>0.610244858517424+0.307928627886401j</v>
      </c>
      <c r="U177" s="86" t="str">
        <f t="shared" si="69"/>
        <v>1.31177374149944-0.647867072578266j</v>
      </c>
      <c r="V177" s="86" t="str">
        <f t="shared" si="70"/>
        <v>9.06905302765045-4.47908099560283j</v>
      </c>
      <c r="X177" s="86" t="str">
        <f t="shared" si="71"/>
        <v>1.23760573039573+0.468906520670219j</v>
      </c>
      <c r="Y177" s="86">
        <f t="shared" si="72"/>
        <v>2.4342037442744786</v>
      </c>
      <c r="Z177" s="86">
        <f t="shared" si="73"/>
        <v>-159.24920434156186</v>
      </c>
      <c r="AB177" s="86" t="str">
        <f t="shared" si="74"/>
        <v>3.12467372782885-1.54323352935599j</v>
      </c>
      <c r="AC177" s="86">
        <f t="shared" si="75"/>
        <v>10.844030843510282</v>
      </c>
      <c r="AD177" s="86">
        <f t="shared" si="76"/>
        <v>153.71586516540663</v>
      </c>
      <c r="AF177" s="86" t="str">
        <f t="shared" si="77"/>
        <v>1.19924471238235-0.940991152404216j</v>
      </c>
      <c r="AG177" s="86">
        <f t="shared" si="78"/>
        <v>3.6617112961617764</v>
      </c>
      <c r="AH177" s="86">
        <f t="shared" si="79"/>
        <v>141.8803840263987</v>
      </c>
      <c r="AJ177" s="86" t="str">
        <f t="shared" si="80"/>
        <v>9971.2059245739-535.828009235521j</v>
      </c>
      <c r="AK177" s="86" t="str">
        <f t="shared" si="81"/>
        <v>20000-0.0000457340707931212j</v>
      </c>
      <c r="AL177" s="86" t="str">
        <f t="shared" si="95"/>
        <v>10000-194360.325567735j</v>
      </c>
      <c r="AM177" s="86" t="str">
        <f t="shared" si="96"/>
        <v>961.927988535599-60352.854136929j</v>
      </c>
      <c r="AN177" s="86" t="str">
        <f t="shared" si="97"/>
        <v>10961.9279885356-60352.854136929j</v>
      </c>
      <c r="AO177" s="86" t="str">
        <f t="shared" si="98"/>
        <v>17308.3067545237-5246.81052147293j</v>
      </c>
      <c r="AP177" s="86" t="str">
        <f t="shared" si="99"/>
        <v>0.667093929031923+0.0119263668482572j</v>
      </c>
      <c r="AQ177" s="86" t="str">
        <f t="shared" si="82"/>
        <v>1+6.65430730039913j</v>
      </c>
      <c r="AR177" s="86">
        <f t="shared" si="83"/>
        <v>-9.0298568346691269E-6</v>
      </c>
      <c r="AS177" s="86" t="str">
        <f t="shared" si="84"/>
        <v>0.000556563061220428j</v>
      </c>
      <c r="AT177" s="86" t="str">
        <f t="shared" si="85"/>
        <v>-9.02985683466913E-06+0.000556563061220428j</v>
      </c>
      <c r="AU177" s="86" t="str">
        <f t="shared" si="86"/>
        <v>1.78856716437382-0.298529523445468j</v>
      </c>
      <c r="AW177" s="86" t="str">
        <f t="shared" si="100"/>
        <v>1.17542818459008-0.27131867010664j</v>
      </c>
      <c r="AX177" s="86">
        <f t="shared" si="87"/>
        <v>1.6293618678045187</v>
      </c>
      <c r="AY177" s="86">
        <f t="shared" si="88"/>
        <v>167.00232820537764</v>
      </c>
      <c r="AZ177" s="86" t="str">
        <f t="shared" si="89"/>
        <v>3.25412149848934-2.66174250616114j</v>
      </c>
      <c r="BA177" s="86">
        <f t="shared" si="90"/>
        <v>12.473392711314812</v>
      </c>
      <c r="BB177" s="86">
        <f t="shared" si="91"/>
        <v>140.71819337078421</v>
      </c>
      <c r="BD177" s="86" t="str">
        <f t="shared" si="92"/>
        <v>1.15431756710241-1.43144500248182j</v>
      </c>
      <c r="BE177" s="86">
        <f t="shared" si="93"/>
        <v>5.2910731639663133</v>
      </c>
      <c r="BF177" s="86">
        <f t="shared" si="94"/>
        <v>128.8827122317762</v>
      </c>
      <c r="BH177" s="86">
        <f t="shared" si="101"/>
        <v>-4.2910731639663133</v>
      </c>
      <c r="BI177" s="159">
        <f t="shared" si="102"/>
        <v>-128.8827122317762</v>
      </c>
      <c r="BJ177" s="88"/>
      <c r="BK177" s="88"/>
      <c r="BL177" s="88"/>
      <c r="BM177" s="88"/>
      <c r="BN177" s="42"/>
      <c r="BO177" s="42"/>
      <c r="BP177" s="42"/>
    </row>
    <row r="178" spans="1:68" s="86" customFormat="1">
      <c r="A178" s="86">
        <v>114</v>
      </c>
      <c r="B178" s="86">
        <f t="shared" si="52"/>
        <v>19054.607179632498</v>
      </c>
      <c r="C178" s="86" t="str">
        <f t="shared" si="53"/>
        <v>119723.627865146j</v>
      </c>
      <c r="D178" s="86">
        <f t="shared" si="54"/>
        <v>0.99419075112367827</v>
      </c>
      <c r="E178" s="86" t="str">
        <f t="shared" si="55"/>
        <v>-0.119723627865146j</v>
      </c>
      <c r="F178" s="86" t="str">
        <f t="shared" si="56"/>
        <v>0.994190751123678-0.119723627865146j</v>
      </c>
      <c r="G178" s="86">
        <f t="shared" si="57"/>
        <v>1.1922361160379006E-2</v>
      </c>
      <c r="H178" s="86">
        <f t="shared" si="58"/>
        <v>-6.866675364441539</v>
      </c>
      <c r="J178" s="86">
        <f t="shared" si="59"/>
        <v>17.283950617283953</v>
      </c>
      <c r="K178" s="86" t="str">
        <f t="shared" si="60"/>
        <v>1+1.44566280647164j</v>
      </c>
      <c r="L178" s="86">
        <f t="shared" si="61"/>
        <v>0.57264198552964607</v>
      </c>
      <c r="M178" s="86" t="str">
        <f t="shared" si="62"/>
        <v>0.322440857021995j</v>
      </c>
      <c r="N178" s="86" t="str">
        <f t="shared" si="63"/>
        <v>0.572641985529646+0.322440857021995j</v>
      </c>
      <c r="O178" s="86" t="str">
        <f t="shared" si="64"/>
        <v>2.40521909756634+1.17022837350439j</v>
      </c>
      <c r="P178" s="86" t="str">
        <f t="shared" si="65"/>
        <v>41.5716881060849+20.2261694185944j</v>
      </c>
      <c r="R178" s="86">
        <f t="shared" si="66"/>
        <v>6.9135802469135808</v>
      </c>
      <c r="S178" s="86" t="str">
        <f t="shared" si="67"/>
        <v>1+0.00897927208988595j</v>
      </c>
      <c r="T178" s="86" t="str">
        <f t="shared" si="68"/>
        <v>0.572641985529646+0.322440857021995j</v>
      </c>
      <c r="U178" s="86" t="str">
        <f t="shared" si="69"/>
        <v>1.33261092953398-0.734680566107648j</v>
      </c>
      <c r="V178" s="86" t="str">
        <f t="shared" si="70"/>
        <v>9.21311259924727-5.07927304963312j</v>
      </c>
      <c r="X178" s="86" t="str">
        <f t="shared" si="71"/>
        <v>1.34161545623644+0.463998275653893j</v>
      </c>
      <c r="Y178" s="86">
        <f t="shared" si="72"/>
        <v>3.043238508442669</v>
      </c>
      <c r="Z178" s="86">
        <f t="shared" si="73"/>
        <v>-160.92203401825014</v>
      </c>
      <c r="AB178" s="86" t="str">
        <f t="shared" si="74"/>
        <v>3.17430836523128-1.75002516869939j</v>
      </c>
      <c r="AC178" s="86">
        <f t="shared" si="75"/>
        <v>11.185564187200006</v>
      </c>
      <c r="AD178" s="86">
        <f t="shared" si="76"/>
        <v>151.13165086652842</v>
      </c>
      <c r="AF178" s="86" t="str">
        <f t="shared" si="77"/>
        <v>1.16189355640652-0.977590820588709j</v>
      </c>
      <c r="AG178" s="86">
        <f t="shared" si="78"/>
        <v>3.6279911697084808</v>
      </c>
      <c r="AH178" s="86">
        <f t="shared" si="79"/>
        <v>139.92350605346743</v>
      </c>
      <c r="AJ178" s="86" t="str">
        <f t="shared" si="80"/>
        <v>9968.43669240547-560.924980330645j</v>
      </c>
      <c r="AK178" s="86" t="str">
        <f t="shared" si="81"/>
        <v>20000-0.0000478894511460584j</v>
      </c>
      <c r="AL178" s="86" t="str">
        <f t="shared" si="95"/>
        <v>10000-185612.669933898j</v>
      </c>
      <c r="AM178" s="86" t="str">
        <f t="shared" si="96"/>
        <v>961.811301838011-57639.6687327753j</v>
      </c>
      <c r="AN178" s="86" t="str">
        <f t="shared" si="97"/>
        <v>10961.811301838-57639.6687327753j</v>
      </c>
      <c r="AO178" s="86" t="str">
        <f t="shared" si="98"/>
        <v>17107.0251400551-5385.67045253197j</v>
      </c>
      <c r="AP178" s="86" t="str">
        <f t="shared" si="99"/>
        <v>0.667135092606535+0.0124868950155254j</v>
      </c>
      <c r="AQ178" s="86" t="str">
        <f t="shared" si="82"/>
        <v>1+6.9679151417515j</v>
      </c>
      <c r="AR178" s="86">
        <f t="shared" si="83"/>
        <v>-9.9106889531236904E-6</v>
      </c>
      <c r="AS178" s="86" t="str">
        <f t="shared" si="84"/>
        <v>0.000582793070194515j</v>
      </c>
      <c r="AT178" s="86" t="str">
        <f t="shared" si="85"/>
        <v>-9.91068895312369E-06+0.000582793070194515j</v>
      </c>
      <c r="AU178" s="86" t="str">
        <f t="shared" si="86"/>
        <v>1.78851648957009-0.287795856185595j</v>
      </c>
      <c r="AW178" s="86" t="str">
        <f t="shared" si="100"/>
        <v>1.17482853270623-0.267527268219014j</v>
      </c>
      <c r="AX178" s="86">
        <f t="shared" si="87"/>
        <v>1.6190467428612978</v>
      </c>
      <c r="AY178" s="86">
        <f t="shared" si="88"/>
        <v>167.1715853699213</v>
      </c>
      <c r="AZ178" s="86" t="str">
        <f t="shared" si="89"/>
        <v>3.26108858638511-2.90519354657717j</v>
      </c>
      <c r="BA178" s="86">
        <f t="shared" si="90"/>
        <v>12.804610930061306</v>
      </c>
      <c r="BB178" s="86">
        <f t="shared" si="91"/>
        <v>138.30323623644969</v>
      </c>
      <c r="BD178" s="86" t="str">
        <f t="shared" si="92"/>
        <v>1.10349350036582-1.45933979844603j</v>
      </c>
      <c r="BE178" s="86">
        <f t="shared" si="93"/>
        <v>5.2470379125698212</v>
      </c>
      <c r="BF178" s="86">
        <f t="shared" si="94"/>
        <v>127.09509142338877</v>
      </c>
      <c r="BH178" s="86">
        <f t="shared" si="101"/>
        <v>-4.2470379125698212</v>
      </c>
      <c r="BI178" s="159">
        <f t="shared" si="102"/>
        <v>-127.09509142338877</v>
      </c>
      <c r="BJ178" s="88"/>
      <c r="BK178" s="88"/>
      <c r="BL178" s="88"/>
      <c r="BM178" s="88"/>
      <c r="BN178" s="42"/>
      <c r="BO178" s="42"/>
      <c r="BP178" s="42"/>
    </row>
    <row r="179" spans="1:68" s="86" customFormat="1">
      <c r="A179" s="86">
        <v>115</v>
      </c>
      <c r="B179" s="86">
        <f t="shared" si="52"/>
        <v>19952.623149688818</v>
      </c>
      <c r="C179" s="86" t="str">
        <f t="shared" si="53"/>
        <v>125366.028613816j</v>
      </c>
      <c r="D179" s="86">
        <f t="shared" si="54"/>
        <v>0.99363028527114405</v>
      </c>
      <c r="E179" s="86" t="str">
        <f t="shared" si="55"/>
        <v>-0.125366028613816j</v>
      </c>
      <c r="F179" s="86" t="str">
        <f t="shared" si="56"/>
        <v>0.993630285271144-0.125366028613816j</v>
      </c>
      <c r="G179" s="86">
        <f t="shared" si="57"/>
        <v>1.3086337503647546E-2</v>
      </c>
      <c r="H179" s="86">
        <f t="shared" si="58"/>
        <v>-7.1909942723247662</v>
      </c>
      <c r="J179" s="86">
        <f t="shared" si="59"/>
        <v>17.283950617283953</v>
      </c>
      <c r="K179" s="86" t="str">
        <f t="shared" si="60"/>
        <v>1+1.51379479551183j</v>
      </c>
      <c r="L179" s="86">
        <f t="shared" si="61"/>
        <v>0.53141125518621934</v>
      </c>
      <c r="M179" s="86" t="str">
        <f t="shared" si="62"/>
        <v>0.337637026445728j</v>
      </c>
      <c r="N179" s="86" t="str">
        <f t="shared" si="63"/>
        <v>0.531411255186219+0.337637026445728j</v>
      </c>
      <c r="O179" s="86" t="str">
        <f t="shared" si="64"/>
        <v>2.63000290186092+1.17763489214126j</v>
      </c>
      <c r="P179" s="86" t="str">
        <f t="shared" si="65"/>
        <v>45.4568402790776+20.3541833209601j</v>
      </c>
      <c r="R179" s="86">
        <f t="shared" si="66"/>
        <v>6.9135802469135808</v>
      </c>
      <c r="S179" s="86" t="str">
        <f t="shared" si="67"/>
        <v>1+0.0094024521460362j</v>
      </c>
      <c r="T179" s="86" t="str">
        <f t="shared" si="68"/>
        <v>0.531411255186219+0.337637026445728j</v>
      </c>
      <c r="U179" s="86" t="str">
        <f t="shared" si="69"/>
        <v>1.3486133791323-0.839160545918151j</v>
      </c>
      <c r="V179" s="86" t="str">
        <f t="shared" si="70"/>
        <v>9.32374681869245-5.80160377424895j</v>
      </c>
      <c r="X179" s="86" t="str">
        <f t="shared" si="71"/>
        <v>1.46326917410968+0.445422843236155j</v>
      </c>
      <c r="Y179" s="86">
        <f t="shared" si="72"/>
        <v>3.6913385063387278</v>
      </c>
      <c r="Z179" s="86">
        <f t="shared" si="73"/>
        <v>-163.06961822343132</v>
      </c>
      <c r="AB179" s="86" t="str">
        <f t="shared" si="74"/>
        <v>3.21242654999051-1.99889876455656j</v>
      </c>
      <c r="AC179" s="86">
        <f t="shared" si="75"/>
        <v>11.557998655391064</v>
      </c>
      <c r="AD179" s="86">
        <f t="shared" si="76"/>
        <v>148.10849360073408</v>
      </c>
      <c r="AF179" s="86" t="str">
        <f t="shared" si="77"/>
        <v>1.12074815416665-1.01414235203916j</v>
      </c>
      <c r="AG179" s="86">
        <f t="shared" si="78"/>
        <v>3.5880278434578767</v>
      </c>
      <c r="AH179" s="86">
        <f t="shared" si="79"/>
        <v>137.85869147241976</v>
      </c>
      <c r="AJ179" s="86" t="str">
        <f t="shared" si="80"/>
        <v>9965.40205708962-587.18175333552j</v>
      </c>
      <c r="AK179" s="86" t="str">
        <f t="shared" si="81"/>
        <v>20000-0.0000501464114455264j</v>
      </c>
      <c r="AL179" s="86" t="str">
        <f t="shared" si="95"/>
        <v>10000-177258.723658518j</v>
      </c>
      <c r="AM179" s="86" t="str">
        <f t="shared" si="96"/>
        <v>961.683389951965-55048.743957693j</v>
      </c>
      <c r="AN179" s="86" t="str">
        <f t="shared" si="97"/>
        <v>10961.683389952-55048.743957693j</v>
      </c>
      <c r="AO179" s="86" t="str">
        <f t="shared" si="98"/>
        <v>16895.2859508092-5520.06834724224j</v>
      </c>
      <c r="AP179" s="86" t="str">
        <f t="shared" si="99"/>
        <v>0.66718021586992+0.0130736117442771j</v>
      </c>
      <c r="AQ179" s="86" t="str">
        <f t="shared" si="82"/>
        <v>1+7.29630286532409j</v>
      </c>
      <c r="AR179" s="86">
        <f t="shared" si="83"/>
        <v>-1.0876502165471429E-5</v>
      </c>
      <c r="AS179" s="86" t="str">
        <f t="shared" si="84"/>
        <v>0.000610259261406906j</v>
      </c>
      <c r="AT179" s="86" t="str">
        <f t="shared" si="85"/>
        <v>-0.0000108765021654714+0.000610259261406906j</v>
      </c>
      <c r="AU179" s="86" t="str">
        <f t="shared" si="86"/>
        <v>1.78846171356867-0.277672488427023j</v>
      </c>
      <c r="AW179" s="86" t="str">
        <f t="shared" si="100"/>
        <v>1.17417220780997-0.264295013294685j</v>
      </c>
      <c r="AX179" s="86">
        <f t="shared" si="87"/>
        <v>1.6092816204100688</v>
      </c>
      <c r="AY179" s="86">
        <f t="shared" si="88"/>
        <v>167.31468100749635</v>
      </c>
      <c r="AZ179" s="86" t="str">
        <f t="shared" si="89"/>
        <v>3.24364299907652-3.19607969330593j</v>
      </c>
      <c r="BA179" s="86">
        <f t="shared" si="90"/>
        <v>13.167280275801128</v>
      </c>
      <c r="BB179" s="86">
        <f t="shared" si="91"/>
        <v>135.42317460823054</v>
      </c>
      <c r="BD179" s="86" t="str">
        <f t="shared" si="92"/>
        <v>1.04791856816191-1.48698591283288j</v>
      </c>
      <c r="BE179" s="86">
        <f t="shared" si="93"/>
        <v>5.1973094638679251</v>
      </c>
      <c r="BF179" s="86">
        <f t="shared" si="94"/>
        <v>125.17337247991617</v>
      </c>
      <c r="BH179" s="86">
        <f t="shared" si="101"/>
        <v>-4.1973094638679251</v>
      </c>
      <c r="BI179" s="159">
        <f t="shared" si="102"/>
        <v>-125.17337247991617</v>
      </c>
      <c r="BJ179" s="88"/>
      <c r="BK179" s="88"/>
      <c r="BL179" s="88"/>
      <c r="BM179" s="88"/>
      <c r="BN179" s="42"/>
      <c r="BO179" s="42"/>
      <c r="BP179" s="42"/>
    </row>
    <row r="180" spans="1:68" s="86" customFormat="1">
      <c r="A180" s="86">
        <v>116</v>
      </c>
      <c r="B180" s="86">
        <f t="shared" si="52"/>
        <v>20892.961308540394</v>
      </c>
      <c r="C180" s="86" t="str">
        <f t="shared" si="53"/>
        <v>131274.347517293j</v>
      </c>
      <c r="D180" s="86">
        <f t="shared" si="54"/>
        <v>0.99301574668415726</v>
      </c>
      <c r="E180" s="86" t="str">
        <f t="shared" si="55"/>
        <v>-0.131274347517293j</v>
      </c>
      <c r="F180" s="86" t="str">
        <f t="shared" si="56"/>
        <v>0.993015746684157-0.131274347517293j</v>
      </c>
      <c r="G180" s="86">
        <f t="shared" si="57"/>
        <v>1.4365379348041421E-2</v>
      </c>
      <c r="H180" s="86">
        <f t="shared" si="58"/>
        <v>-7.5307005769330457</v>
      </c>
      <c r="J180" s="86">
        <f t="shared" si="59"/>
        <v>17.283950617283953</v>
      </c>
      <c r="K180" s="86" t="str">
        <f t="shared" si="60"/>
        <v>1+1.58513774627131j</v>
      </c>
      <c r="L180" s="86">
        <f t="shared" si="61"/>
        <v>0.48620265835358323</v>
      </c>
      <c r="M180" s="86" t="str">
        <f t="shared" si="62"/>
        <v>0.353549369270339j</v>
      </c>
      <c r="N180" s="86" t="str">
        <f t="shared" si="63"/>
        <v>0.486202658353583+0.353549369270339j</v>
      </c>
      <c r="O180" s="86" t="str">
        <f t="shared" si="64"/>
        <v>2.89611384682828+1.15428929222748j</v>
      </c>
      <c r="P180" s="86" t="str">
        <f t="shared" si="65"/>
        <v>50.0562887106123+19.9506791249194j</v>
      </c>
      <c r="R180" s="86">
        <f t="shared" si="66"/>
        <v>6.9135802469135808</v>
      </c>
      <c r="S180" s="86" t="str">
        <f t="shared" si="67"/>
        <v>1+0.00984557606379697j</v>
      </c>
      <c r="T180" s="86" t="str">
        <f t="shared" si="68"/>
        <v>0.486202658353583+0.353549369270339j</v>
      </c>
      <c r="U180" s="86" t="str">
        <f t="shared" si="69"/>
        <v>1.35499961157342-0.965057829092147j</v>
      </c>
      <c r="V180" s="86" t="str">
        <f t="shared" si="70"/>
        <v>9.36789854914957-6.67200474434077j</v>
      </c>
      <c r="X180" s="86" t="str">
        <f t="shared" si="71"/>
        <v>1.60452965864191+0.406002149281072j</v>
      </c>
      <c r="Y180" s="86">
        <f t="shared" si="72"/>
        <v>4.3764802721228513</v>
      </c>
      <c r="Z180" s="86">
        <f t="shared" si="73"/>
        <v>-165.80021049168593</v>
      </c>
      <c r="AB180" s="86" t="str">
        <f t="shared" si="74"/>
        <v>3.22763869526928-2.29878884521113j</v>
      </c>
      <c r="AC180" s="86">
        <f t="shared" si="75"/>
        <v>11.959572327779771</v>
      </c>
      <c r="AD180" s="86">
        <f t="shared" si="76"/>
        <v>144.54076997901359</v>
      </c>
      <c r="AF180" s="86" t="str">
        <f t="shared" si="77"/>
        <v>1.07552156845217-1.05026752316855j</v>
      </c>
      <c r="AG180" s="86">
        <f t="shared" si="78"/>
        <v>3.5407164062954912</v>
      </c>
      <c r="AH180" s="86">
        <f t="shared" si="79"/>
        <v>135.68063297160631</v>
      </c>
      <c r="AJ180" s="86" t="str">
        <f t="shared" si="80"/>
        <v>9962.07676854149-614.649610022509j</v>
      </c>
      <c r="AK180" s="86" t="str">
        <f t="shared" si="81"/>
        <v>20000-0.0000525097390069172j</v>
      </c>
      <c r="AL180" s="86" t="str">
        <f t="shared" si="95"/>
        <v>10000-169280.766901506j</v>
      </c>
      <c r="AM180" s="86" t="str">
        <f t="shared" si="96"/>
        <v>961.543176456296-52574.5839893602j</v>
      </c>
      <c r="AN180" s="86" t="str">
        <f t="shared" si="97"/>
        <v>10961.5431764563-52574.5839893602j</v>
      </c>
      <c r="AO180" s="86" t="str">
        <f t="shared" si="98"/>
        <v>16673.2199933665-5649.07484023456j</v>
      </c>
      <c r="AP180" s="86" t="str">
        <f t="shared" si="99"/>
        <v>0.667229678485216+0.0136877175561239j</v>
      </c>
      <c r="AQ180" s="86" t="str">
        <f t="shared" si="82"/>
        <v>1+7.64016702550645j</v>
      </c>
      <c r="AR180" s="86">
        <f t="shared" si="83"/>
        <v>-1.1935495294357953E-5</v>
      </c>
      <c r="AS180" s="86" t="str">
        <f t="shared" si="84"/>
        <v>0.000639019894331629j</v>
      </c>
      <c r="AT180" s="86" t="str">
        <f t="shared" si="85"/>
        <v>-0.000011935495294358+0.000639019894331629j</v>
      </c>
      <c r="AU180" s="86" t="str">
        <f t="shared" si="86"/>
        <v>1.78840237217766-0.268137924370509j</v>
      </c>
      <c r="AW180" s="86" t="str">
        <f t="shared" si="100"/>
        <v>1.17345382763045-0.261613833612241j</v>
      </c>
      <c r="AX180" s="86">
        <f t="shared" si="87"/>
        <v>1.5999877195636438</v>
      </c>
      <c r="AY180" s="86">
        <f t="shared" si="88"/>
        <v>167.43182014692803</v>
      </c>
      <c r="AZ180" s="86" t="str">
        <f t="shared" si="89"/>
        <v>3.18609001871115-3.54191750191179j</v>
      </c>
      <c r="BA180" s="86">
        <f t="shared" si="90"/>
        <v>13.559560047343417</v>
      </c>
      <c r="BB180" s="86">
        <f t="shared" si="91"/>
        <v>131.97259012594162</v>
      </c>
      <c r="BD180" s="86" t="str">
        <f t="shared" si="92"/>
        <v>0.987310388144748-1.51381176575351j</v>
      </c>
      <c r="BE180" s="86">
        <f t="shared" si="93"/>
        <v>5.1407041258591377</v>
      </c>
      <c r="BF180" s="86">
        <f t="shared" si="94"/>
        <v>123.1124531185344</v>
      </c>
      <c r="BH180" s="86">
        <f t="shared" si="101"/>
        <v>-4.1407041258591377</v>
      </c>
      <c r="BI180" s="159">
        <f t="shared" si="102"/>
        <v>-123.1124531185344</v>
      </c>
      <c r="BJ180" s="88"/>
      <c r="BK180" s="88"/>
      <c r="BL180" s="88"/>
      <c r="BM180" s="88"/>
      <c r="BN180" s="42"/>
      <c r="BO180" s="42"/>
      <c r="BP180" s="42"/>
    </row>
    <row r="181" spans="1:68" s="86" customFormat="1">
      <c r="A181" s="86">
        <v>117</v>
      </c>
      <c r="B181" s="86">
        <f t="shared" si="52"/>
        <v>21877.616239495524</v>
      </c>
      <c r="C181" s="86" t="str">
        <f t="shared" si="53"/>
        <v>137461.116912112j</v>
      </c>
      <c r="D181" s="86">
        <f t="shared" si="54"/>
        <v>0.99234191852283782</v>
      </c>
      <c r="E181" s="86" t="str">
        <f t="shared" si="55"/>
        <v>-0.137461116912112j</v>
      </c>
      <c r="F181" s="86" t="str">
        <f t="shared" si="56"/>
        <v>0.992341918522838-0.137461116912112j</v>
      </c>
      <c r="G181" s="86">
        <f t="shared" si="57"/>
        <v>1.5771144629746114E-2</v>
      </c>
      <c r="H181" s="86">
        <f t="shared" si="58"/>
        <v>-7.8865343310160654</v>
      </c>
      <c r="J181" s="86">
        <f t="shared" si="59"/>
        <v>17.283950617283953</v>
      </c>
      <c r="K181" s="86" t="str">
        <f t="shared" si="60"/>
        <v>1+1.65984298671375j</v>
      </c>
      <c r="L181" s="86">
        <f t="shared" si="61"/>
        <v>0.43663241764837546</v>
      </c>
      <c r="M181" s="86" t="str">
        <f t="shared" si="62"/>
        <v>0.370211637708361j</v>
      </c>
      <c r="N181" s="86" t="str">
        <f t="shared" si="63"/>
        <v>0.436632417648375+0.370211637708361j</v>
      </c>
      <c r="O181" s="86" t="str">
        <f t="shared" si="64"/>
        <v>3.20754072170317+1.08185756261499j</v>
      </c>
      <c r="P181" s="86" t="str">
        <f t="shared" si="65"/>
        <v>55.4389754368449+18.6987726871727j</v>
      </c>
      <c r="R181" s="86">
        <f t="shared" si="66"/>
        <v>6.9135802469135808</v>
      </c>
      <c r="S181" s="86" t="str">
        <f t="shared" si="67"/>
        <v>1+0.0103095837684084j</v>
      </c>
      <c r="T181" s="86" t="str">
        <f t="shared" si="68"/>
        <v>0.436632417648375+0.370211637708361j</v>
      </c>
      <c r="U181" s="86" t="str">
        <f t="shared" si="69"/>
        <v>1.34404352750259-1.11597525058722j</v>
      </c>
      <c r="V181" s="86" t="str">
        <f t="shared" si="70"/>
        <v>9.29215278273396-7.71538444850424j</v>
      </c>
      <c r="X181" s="86" t="str">
        <f t="shared" si="71"/>
        <v>1.76579549158349+0.335309967812004j</v>
      </c>
      <c r="Y181" s="86">
        <f t="shared" si="72"/>
        <v>5.0926524076397275</v>
      </c>
      <c r="Z181" s="86">
        <f t="shared" si="73"/>
        <v>-169.24802008192492</v>
      </c>
      <c r="AB181" s="86" t="str">
        <f t="shared" si="74"/>
        <v>3.20154106351087-2.6582774422906j</v>
      </c>
      <c r="AC181" s="86">
        <f t="shared" si="75"/>
        <v>12.384552051055106</v>
      </c>
      <c r="AD181" s="86">
        <f t="shared" si="76"/>
        <v>140.29674942194345</v>
      </c>
      <c r="AF181" s="86" t="str">
        <f t="shared" si="77"/>
        <v>1.02594717197326-1.08550605590252j</v>
      </c>
      <c r="AG181" s="86">
        <f t="shared" si="78"/>
        <v>3.4847835086530674</v>
      </c>
      <c r="AH181" s="86">
        <f t="shared" si="79"/>
        <v>133.38425592055344</v>
      </c>
      <c r="AJ181" s="86" t="str">
        <f t="shared" si="80"/>
        <v>9958.43321188925-643.381755440454j</v>
      </c>
      <c r="AK181" s="86" t="str">
        <f t="shared" si="81"/>
        <v>20000-0.0000549844467648448j</v>
      </c>
      <c r="AL181" s="86" t="str">
        <f t="shared" si="95"/>
        <v>10000-161661.877346962j</v>
      </c>
      <c r="AM181" s="86" t="str">
        <f t="shared" si="96"/>
        <v>961.389482401477-50211.940661069j</v>
      </c>
      <c r="AN181" s="86" t="str">
        <f t="shared" si="97"/>
        <v>10961.3894824015-50211.940661069j</v>
      </c>
      <c r="AO181" s="86" t="str">
        <f t="shared" si="98"/>
        <v>16441.0627182129-5771.74184672311j</v>
      </c>
      <c r="AP181" s="86" t="str">
        <f t="shared" si="99"/>
        <v>0.667283896269164+0.0143304645883221j</v>
      </c>
      <c r="AQ181" s="86" t="str">
        <f t="shared" si="82"/>
        <v>1+8.00023700428492j</v>
      </c>
      <c r="AR181" s="86">
        <f t="shared" si="83"/>
        <v>-1.3096658170047349E-5</v>
      </c>
      <c r="AS181" s="86" t="str">
        <f t="shared" si="84"/>
        <v>0.000669135974127117j</v>
      </c>
      <c r="AT181" s="86" t="str">
        <f t="shared" si="85"/>
        <v>-0.0000130966581700473+0.000669135974127117j</v>
      </c>
      <c r="AU181" s="86" t="str">
        <f t="shared" si="86"/>
        <v>1.78833796261183-0.25917191377294j</v>
      </c>
      <c r="AW181" s="86" t="str">
        <f t="shared" si="100"/>
        <v>1.17266752083584-0.259476650359111j</v>
      </c>
      <c r="AX181" s="86">
        <f t="shared" si="87"/>
        <v>1.5910897136307591</v>
      </c>
      <c r="AY181" s="86">
        <f t="shared" si="88"/>
        <v>167.52316996373389</v>
      </c>
      <c r="AZ181" s="86" t="str">
        <f t="shared" si="89"/>
        <v>3.06458229535068-3.9480007690917j</v>
      </c>
      <c r="BA181" s="86">
        <f t="shared" si="90"/>
        <v>13.975641764685863</v>
      </c>
      <c r="BB181" s="86">
        <f t="shared" si="91"/>
        <v>127.81991938567737</v>
      </c>
      <c r="BD181" s="86" t="str">
        <f t="shared" si="92"/>
        <v>0.921431451336302-1.53914703105652j</v>
      </c>
      <c r="BE181" s="86">
        <f t="shared" si="93"/>
        <v>5.0758732222837981</v>
      </c>
      <c r="BF181" s="86">
        <f t="shared" si="94"/>
        <v>120.90742588428722</v>
      </c>
      <c r="BH181" s="86">
        <f t="shared" si="101"/>
        <v>-4.0758732222837981</v>
      </c>
      <c r="BI181" s="159">
        <f t="shared" si="102"/>
        <v>-120.90742588428722</v>
      </c>
      <c r="BJ181" s="88"/>
      <c r="BK181" s="88"/>
      <c r="BL181" s="88"/>
      <c r="BM181" s="88"/>
      <c r="BN181" s="42"/>
      <c r="BO181" s="42"/>
      <c r="BP181" s="42"/>
    </row>
    <row r="182" spans="1:68" s="86" customFormat="1">
      <c r="A182" s="86">
        <v>118</v>
      </c>
      <c r="B182" s="86">
        <f t="shared" si="52"/>
        <v>22908.676527677744</v>
      </c>
      <c r="C182" s="86" t="str">
        <f t="shared" si="53"/>
        <v>143939.459765635j</v>
      </c>
      <c r="D182" s="86">
        <f t="shared" si="54"/>
        <v>0.99160308063600355</v>
      </c>
      <c r="E182" s="86" t="str">
        <f t="shared" si="55"/>
        <v>-0.143939459765635j</v>
      </c>
      <c r="F182" s="86" t="str">
        <f t="shared" si="56"/>
        <v>0.991603080636004-0.143939459765635j</v>
      </c>
      <c r="G182" s="86">
        <f t="shared" si="57"/>
        <v>1.7316527621686041E-2</v>
      </c>
      <c r="H182" s="86">
        <f t="shared" si="58"/>
        <v>-8.2592725767532915</v>
      </c>
      <c r="J182" s="86">
        <f t="shared" si="59"/>
        <v>17.283950617283953</v>
      </c>
      <c r="K182" s="86" t="str">
        <f t="shared" si="60"/>
        <v>1+1.73806897667004j</v>
      </c>
      <c r="L182" s="86">
        <f t="shared" si="61"/>
        <v>0.38227972953753964</v>
      </c>
      <c r="M182" s="86" t="str">
        <f t="shared" si="62"/>
        <v>0.387659174665102j</v>
      </c>
      <c r="N182" s="86" t="str">
        <f t="shared" si="63"/>
        <v>0.38227972953754+0.387659174665102j</v>
      </c>
      <c r="O182" s="86" t="str">
        <f t="shared" si="64"/>
        <v>3.56273962736316+0.933714883631389j</v>
      </c>
      <c r="P182" s="86" t="str">
        <f t="shared" si="65"/>
        <v>61.5782157815855+16.138281939308j</v>
      </c>
      <c r="R182" s="86">
        <f t="shared" si="66"/>
        <v>6.9135802469135808</v>
      </c>
      <c r="S182" s="86" t="str">
        <f t="shared" si="67"/>
        <v>1+0.0107954594824226j</v>
      </c>
      <c r="T182" s="86" t="str">
        <f t="shared" si="68"/>
        <v>0.38227972953754+0.387659174665102j</v>
      </c>
      <c r="U182" s="86" t="str">
        <f t="shared" si="69"/>
        <v>1.30378531366479-1.29389251099378j</v>
      </c>
      <c r="V182" s="86" t="str">
        <f t="shared" si="70"/>
        <v>9.01382439076892-8.94542970563601j</v>
      </c>
      <c r="X182" s="86" t="str">
        <f t="shared" si="71"/>
        <v>1.94362716397294+0.218919484808738j</v>
      </c>
      <c r="Y182" s="86">
        <f t="shared" si="72"/>
        <v>5.8270095435170894</v>
      </c>
      <c r="Z182" s="86">
        <f t="shared" si="73"/>
        <v>-173.5736030943911</v>
      </c>
      <c r="AB182" s="86" t="str">
        <f t="shared" si="74"/>
        <v>3.10564511809844-3.0820802458779j</v>
      </c>
      <c r="AC182" s="86">
        <f t="shared" si="75"/>
        <v>12.820383624668249</v>
      </c>
      <c r="AD182" s="86">
        <f t="shared" si="76"/>
        <v>135.21819992264102</v>
      </c>
      <c r="AF182" s="86" t="str">
        <f t="shared" si="77"/>
        <v>0.971796571638134-1.11930800578456j</v>
      </c>
      <c r="AG182" s="86">
        <f t="shared" si="78"/>
        <v>3.418772966679354</v>
      </c>
      <c r="AH182" s="86">
        <f t="shared" si="79"/>
        <v>130.96490530027685</v>
      </c>
      <c r="AJ182" s="86" t="str">
        <f t="shared" si="80"/>
        <v>9954.44119354969-673.433337204112j</v>
      </c>
      <c r="AK182" s="86" t="str">
        <f t="shared" si="81"/>
        <v>20000-0.000057575783906254j</v>
      </c>
      <c r="AL182" s="86" t="str">
        <f t="shared" si="95"/>
        <v>10000-154385.894308655j</v>
      </c>
      <c r="AM182" s="86" t="str">
        <f t="shared" si="96"/>
        <v>961.221016683927-47955.8023269865j</v>
      </c>
      <c r="AN182" s="86" t="str">
        <f t="shared" si="97"/>
        <v>10961.2210166839-47955.8023269865j</v>
      </c>
      <c r="AO182" s="86" t="str">
        <f t="shared" si="98"/>
        <v>16199.1606202538-5887.11606599539j</v>
      </c>
      <c r="AP182" s="86" t="str">
        <f t="shared" si="99"/>
        <v>0.667343324584499+0.0150031582989314j</v>
      </c>
      <c r="AQ182" s="86" t="str">
        <f t="shared" si="82"/>
        <v>1+8.37727655835996j</v>
      </c>
      <c r="AR182" s="86">
        <f t="shared" si="83"/>
        <v>-1.4369847945411831E-5</v>
      </c>
      <c r="AS182" s="86" t="str">
        <f t="shared" si="84"/>
        <v>0.000700671381036353j</v>
      </c>
      <c r="AT182" s="86" t="str">
        <f t="shared" si="85"/>
        <v>-0.0000143698479454118+0.000700671381036353j</v>
      </c>
      <c r="AU182" s="86" t="str">
        <f t="shared" si="86"/>
        <v>1.78826793925726-0.250755408495364j</v>
      </c>
      <c r="AW182" s="86" t="str">
        <f t="shared" si="100"/>
        <v>1.17180688464712-0.257877337588588j</v>
      </c>
      <c r="AX182" s="86">
        <f t="shared" si="87"/>
        <v>1.5825152054870721</v>
      </c>
      <c r="AY182" s="86">
        <f t="shared" si="88"/>
        <v>167.58885874526226</v>
      </c>
      <c r="AZ182" s="86" t="str">
        <f t="shared" si="89"/>
        <v>2.8444176826171-4.41247834570483j</v>
      </c>
      <c r="BA182" s="86">
        <f t="shared" si="90"/>
        <v>14.402898830155326</v>
      </c>
      <c r="BB182" s="86">
        <f t="shared" si="91"/>
        <v>122.80705866790335</v>
      </c>
      <c r="BD182" s="86" t="str">
        <f t="shared" si="92"/>
        <v>0.850113744648721-1.56221713979075j</v>
      </c>
      <c r="BE182" s="86">
        <f t="shared" si="93"/>
        <v>5.0012881721664515</v>
      </c>
      <c r="BF182" s="86">
        <f t="shared" si="94"/>
        <v>118.5537640455391</v>
      </c>
      <c r="BH182" s="86">
        <f t="shared" si="101"/>
        <v>-4.0012881721664515</v>
      </c>
      <c r="BI182" s="159">
        <f t="shared" si="102"/>
        <v>-118.5537640455391</v>
      </c>
      <c r="BJ182" s="88"/>
      <c r="BK182" s="88"/>
      <c r="BL182" s="88"/>
      <c r="BM182" s="88"/>
      <c r="BN182" s="42"/>
      <c r="BO182" s="42"/>
      <c r="BP182" s="42"/>
    </row>
    <row r="183" spans="1:68" s="86" customFormat="1">
      <c r="A183" s="86">
        <v>119</v>
      </c>
      <c r="B183" s="86">
        <f t="shared" si="52"/>
        <v>23988.329190194912</v>
      </c>
      <c r="C183" s="86" t="str">
        <f t="shared" si="53"/>
        <v>150723.11751162j</v>
      </c>
      <c r="D183" s="86">
        <f t="shared" si="54"/>
        <v>0.9907929610026055</v>
      </c>
      <c r="E183" s="86" t="str">
        <f t="shared" si="55"/>
        <v>-0.15072311751162j</v>
      </c>
      <c r="F183" s="86" t="str">
        <f t="shared" si="56"/>
        <v>0.990792961002605-0.15072311751162j</v>
      </c>
      <c r="G183" s="86">
        <f t="shared" si="57"/>
        <v>1.9015800469394072E-2</v>
      </c>
      <c r="H183" s="86">
        <f t="shared" si="58"/>
        <v>-8.64973137840175</v>
      </c>
      <c r="J183" s="86">
        <f t="shared" si="59"/>
        <v>17.283950617283953</v>
      </c>
      <c r="K183" s="86" t="str">
        <f t="shared" si="60"/>
        <v>1+1.81998164395281j</v>
      </c>
      <c r="L183" s="86">
        <f t="shared" si="61"/>
        <v>0.32268319212224505</v>
      </c>
      <c r="M183" s="86" t="str">
        <f t="shared" si="62"/>
        <v>0.405928988705678j</v>
      </c>
      <c r="N183" s="86" t="str">
        <f t="shared" si="63"/>
        <v>0.322683192122245+0.405928988705678j</v>
      </c>
      <c r="O183" s="86" t="str">
        <f t="shared" si="64"/>
        <v>3.9473986667213+0.674401705652054j</v>
      </c>
      <c r="P183" s="86" t="str">
        <f t="shared" si="65"/>
        <v>68.2266436223435+11.6563257767022j</v>
      </c>
      <c r="R183" s="86">
        <f t="shared" si="66"/>
        <v>6.9135802469135808</v>
      </c>
      <c r="S183" s="86" t="str">
        <f t="shared" si="67"/>
        <v>1+0.0113042338133715j</v>
      </c>
      <c r="T183" s="86" t="str">
        <f t="shared" si="68"/>
        <v>0.322683192122245+0.405928988705678j</v>
      </c>
      <c r="U183" s="86" t="str">
        <f t="shared" si="69"/>
        <v>1.21706402809992-1.49601016752186j</v>
      </c>
      <c r="V183" s="86" t="str">
        <f t="shared" si="70"/>
        <v>8.41426982390068-10.342786343361j</v>
      </c>
      <c r="X183" s="86" t="str">
        <f t="shared" si="71"/>
        <v>2.12673190642729+0.0388109517940435j</v>
      </c>
      <c r="Y183" s="86">
        <f t="shared" si="72"/>
        <v>6.5557010222617871</v>
      </c>
      <c r="Z183" s="86">
        <f t="shared" si="73"/>
        <v>-178.95451940788735</v>
      </c>
      <c r="AB183" s="86" t="str">
        <f t="shared" si="74"/>
        <v>2.89907312014219-3.56352892205106j</v>
      </c>
      <c r="AC183" s="86">
        <f t="shared" si="75"/>
        <v>13.243516762025003</v>
      </c>
      <c r="AD183" s="86">
        <f t="shared" si="76"/>
        <v>129.12973146807053</v>
      </c>
      <c r="AF183" s="86" t="str">
        <f t="shared" si="77"/>
        <v>0.912902247210276-1.15102913676808j</v>
      </c>
      <c r="AG183" s="86">
        <f t="shared" si="78"/>
        <v>3.3410347743102302</v>
      </c>
      <c r="AH183" s="86">
        <f t="shared" si="79"/>
        <v>128.41857694336196</v>
      </c>
      <c r="AJ183" s="86" t="str">
        <f t="shared" si="80"/>
        <v>9950.06770948102-704.861455573601j</v>
      </c>
      <c r="AK183" s="86" t="str">
        <f t="shared" si="81"/>
        <v>20000-0.000060289247004648j</v>
      </c>
      <c r="AL183" s="86" t="str">
        <f t="shared" si="95"/>
        <v>10000-147437.384451055j</v>
      </c>
      <c r="AM183" s="86" t="str">
        <f t="shared" si="96"/>
        <v>961.036365544833-45801.3832287243j</v>
      </c>
      <c r="AN183" s="86" t="str">
        <f t="shared" si="97"/>
        <v>10961.0363655448-45801.3832287243j</v>
      </c>
      <c r="AO183" s="86" t="str">
        <f t="shared" si="98"/>
        <v>15947.9756600589-5994.25410551296j</v>
      </c>
      <c r="AP183" s="86" t="str">
        <f t="shared" si="99"/>
        <v>0.667408462040516+0.015707159146602j</v>
      </c>
      <c r="AQ183" s="86" t="str">
        <f t="shared" si="82"/>
        <v>1+8.77208543917628j</v>
      </c>
      <c r="AR183" s="86">
        <f t="shared" si="83"/>
        <v>-1.5765872773651245E-5</v>
      </c>
      <c r="AS183" s="86" t="str">
        <f t="shared" si="84"/>
        <v>0.000733693005885414j</v>
      </c>
      <c r="AT183" s="86" t="str">
        <f t="shared" si="85"/>
        <v>-0.0000157658727736512+0.000733693005885414j</v>
      </c>
      <c r="AU183" s="86" t="str">
        <f t="shared" si="86"/>
        <v>1.78819170907903-0.242870521527184j</v>
      </c>
      <c r="AW183" s="86" t="str">
        <f t="shared" si="100"/>
        <v>1.1708649393936-0.256810680753722j</v>
      </c>
      <c r="AX183" s="86">
        <f t="shared" si="87"/>
        <v>1.574194214493789</v>
      </c>
      <c r="AY183" s="86">
        <f t="shared" si="88"/>
        <v>167.62897503502541</v>
      </c>
      <c r="AZ183" s="86" t="str">
        <f t="shared" si="89"/>
        <v>2.47927078475539-4.91692401688319j</v>
      </c>
      <c r="BA183" s="86">
        <f t="shared" si="90"/>
        <v>14.817710976518795</v>
      </c>
      <c r="BB183" s="86">
        <f t="shared" si="91"/>
        <v>116.75870650309594</v>
      </c>
      <c r="BD183" s="86" t="str">
        <f t="shared" si="92"/>
        <v>0.773288658171362-1.5821427080299j</v>
      </c>
      <c r="BE183" s="86">
        <f t="shared" si="93"/>
        <v>4.9152289888040226</v>
      </c>
      <c r="BF183" s="86">
        <f t="shared" si="94"/>
        <v>116.04755197838736</v>
      </c>
      <c r="BH183" s="86">
        <f t="shared" si="101"/>
        <v>-3.9152289888040226</v>
      </c>
      <c r="BI183" s="159">
        <f t="shared" si="102"/>
        <v>-116.04755197838736</v>
      </c>
      <c r="BJ183" s="88"/>
      <c r="BK183" s="88"/>
      <c r="BL183" s="88"/>
      <c r="BM183" s="88"/>
      <c r="BN183" s="42"/>
      <c r="BO183" s="42"/>
      <c r="BP183" s="42"/>
    </row>
    <row r="184" spans="1:68" s="86" customFormat="1">
      <c r="A184" s="86">
        <v>120</v>
      </c>
      <c r="B184" s="86">
        <f t="shared" si="52"/>
        <v>25118.864315095805</v>
      </c>
      <c r="C184" s="86" t="str">
        <f t="shared" si="53"/>
        <v>157826.479197648j</v>
      </c>
      <c r="D184" s="86">
        <f t="shared" si="54"/>
        <v>0.98990468248831687</v>
      </c>
      <c r="E184" s="86" t="str">
        <f t="shared" si="55"/>
        <v>-0.157826479197648j</v>
      </c>
      <c r="F184" s="86" t="str">
        <f t="shared" si="56"/>
        <v>0.989904682488317-0.157826479197648j</v>
      </c>
      <c r="G184" s="86">
        <f t="shared" si="57"/>
        <v>2.0884772781622211E-2</v>
      </c>
      <c r="H184" s="86">
        <f t="shared" si="58"/>
        <v>-9.0587679875449378</v>
      </c>
      <c r="J184" s="86">
        <f t="shared" si="59"/>
        <v>17.283950617283953</v>
      </c>
      <c r="K184" s="86" t="str">
        <f t="shared" si="60"/>
        <v>1+1.9057547363116j</v>
      </c>
      <c r="L184" s="86">
        <f t="shared" si="61"/>
        <v>0.25733688828073698</v>
      </c>
      <c r="M184" s="86" t="str">
        <f t="shared" si="62"/>
        <v>0.425059832555147j</v>
      </c>
      <c r="N184" s="86" t="str">
        <f t="shared" si="63"/>
        <v>0.257336888280737+0.425059832555147j</v>
      </c>
      <c r="O184" s="86" t="str">
        <f t="shared" si="64"/>
        <v>4.32322696968616+0.26472926184056j</v>
      </c>
      <c r="P184" s="86" t="str">
        <f t="shared" si="65"/>
        <v>74.7224414513657+4.57556748860227j</v>
      </c>
      <c r="R184" s="86">
        <f t="shared" si="66"/>
        <v>6.9135802469135808</v>
      </c>
      <c r="S184" s="86" t="str">
        <f t="shared" si="67"/>
        <v>1+0.0118369859398236j</v>
      </c>
      <c r="T184" s="86" t="str">
        <f t="shared" si="68"/>
        <v>0.257336888280737+0.425059832555147j</v>
      </c>
      <c r="U184" s="86" t="str">
        <f t="shared" si="69"/>
        <v>1.06265814928205-1.70926256237898j</v>
      </c>
      <c r="V184" s="86" t="str">
        <f t="shared" si="70"/>
        <v>7.34677239009812-11.8171238880522j</v>
      </c>
      <c r="X184" s="86" t="str">
        <f t="shared" si="71"/>
        <v>2.29032228308241-0.222739309216109j</v>
      </c>
      <c r="Y184" s="86">
        <f t="shared" si="72"/>
        <v>7.2388146263638431</v>
      </c>
      <c r="Z184" s="86">
        <f t="shared" si="73"/>
        <v>174.44531683618371</v>
      </c>
      <c r="AB184" s="86" t="str">
        <f t="shared" si="74"/>
        <v>2.53127494146159-4.07150078833111j</v>
      </c>
      <c r="AC184" s="86">
        <f t="shared" si="75"/>
        <v>13.614345221016499</v>
      </c>
      <c r="AD184" s="86">
        <f t="shared" si="76"/>
        <v>121.86944912994855</v>
      </c>
      <c r="AF184" s="86" t="str">
        <f t="shared" si="77"/>
        <v>0.84918490110487-1.17993120309942j</v>
      </c>
      <c r="AG184" s="86">
        <f t="shared" si="78"/>
        <v>3.2497197076903559</v>
      </c>
      <c r="AH184" s="86">
        <f t="shared" si="79"/>
        <v>125.7421947293124</v>
      </c>
      <c r="AJ184" s="86" t="str">
        <f t="shared" si="80"/>
        <v>9945.27669444355-737.72516250531j</v>
      </c>
      <c r="AK184" s="86" t="str">
        <f t="shared" si="81"/>
        <v>20000-0.0000631305916790592j</v>
      </c>
      <c r="AL184" s="86" t="str">
        <f t="shared" si="95"/>
        <v>10000-140801.609053149j</v>
      </c>
      <c r="AM184" s="86" t="str">
        <f t="shared" si="96"/>
        <v>960.833981119823-43744.1133405981j</v>
      </c>
      <c r="AN184" s="86" t="str">
        <f t="shared" si="97"/>
        <v>10960.8339811198-43744.1133405981j</v>
      </c>
      <c r="AO184" s="86" t="str">
        <f t="shared" si="98"/>
        <v>15688.0873041625-6092.23890732621j</v>
      </c>
      <c r="AP184" s="86" t="str">
        <f t="shared" si="99"/>
        <v>0.667479854527641+0.016443884228647j</v>
      </c>
      <c r="AQ184" s="86" t="str">
        <f t="shared" si="82"/>
        <v>1+9.18550108930311j</v>
      </c>
      <c r="AR184" s="86">
        <f t="shared" si="83"/>
        <v>-1.7296583559090439E-5</v>
      </c>
      <c r="AS184" s="86" t="str">
        <f t="shared" si="84"/>
        <v>0.000768270891967895j</v>
      </c>
      <c r="AT184" s="86" t="str">
        <f t="shared" si="85"/>
        <v>-0.0000172965835590904+0.000768270891967895j</v>
      </c>
      <c r="AU184" s="86" t="str">
        <f t="shared" si="86"/>
        <v>1.78810862663433-0.235500488388765j</v>
      </c>
      <c r="AW184" s="86" t="str">
        <f t="shared" si="100"/>
        <v>1.16983407990142-0.25627233328547j</v>
      </c>
      <c r="AX184" s="86">
        <f t="shared" si="87"/>
        <v>1.5660586736779669</v>
      </c>
      <c r="AY184" s="86">
        <f t="shared" si="88"/>
        <v>167.64356693890335</v>
      </c>
      <c r="AZ184" s="86" t="str">
        <f t="shared" si="89"/>
        <v>1.917758685123-5.41167611397063j</v>
      </c>
      <c r="BA184" s="86">
        <f t="shared" si="90"/>
        <v>15.180403894694464</v>
      </c>
      <c r="BB184" s="86">
        <f t="shared" si="91"/>
        <v>109.51301606885195</v>
      </c>
      <c r="BD184" s="86" t="str">
        <f t="shared" si="92"/>
        <v>0.691021714915575-1.59794632932172j</v>
      </c>
      <c r="BE184" s="86">
        <f t="shared" si="93"/>
        <v>4.8157783813683173</v>
      </c>
      <c r="BF184" s="86">
        <f t="shared" si="94"/>
        <v>113.38576166821582</v>
      </c>
      <c r="BH184" s="86">
        <f t="shared" si="101"/>
        <v>-3.8157783813683173</v>
      </c>
      <c r="BI184" s="159">
        <f t="shared" si="102"/>
        <v>-113.38576166821582</v>
      </c>
      <c r="BJ184" s="88"/>
      <c r="BK184" s="88"/>
      <c r="BL184" s="88"/>
      <c r="BM184" s="88"/>
      <c r="BN184" s="42"/>
      <c r="BO184" s="42"/>
      <c r="BP184" s="42"/>
    </row>
    <row r="185" spans="1:68" s="86" customFormat="1">
      <c r="A185" s="86">
        <v>121</v>
      </c>
      <c r="B185" s="86">
        <f t="shared" si="52"/>
        <v>26302.679918953818</v>
      </c>
      <c r="C185" s="86" t="str">
        <f t="shared" si="53"/>
        <v>165264.612006218j</v>
      </c>
      <c r="D185" s="86">
        <f t="shared" si="54"/>
        <v>0.98893070446529707</v>
      </c>
      <c r="E185" s="86" t="str">
        <f t="shared" si="55"/>
        <v>-0.165264612006218j</v>
      </c>
      <c r="F185" s="86" t="str">
        <f t="shared" si="56"/>
        <v>0.988930704465297-0.165264612006218j</v>
      </c>
      <c r="G185" s="86">
        <f t="shared" si="57"/>
        <v>2.2940971874424607E-2</v>
      </c>
      <c r="H185" s="86">
        <f t="shared" si="58"/>
        <v>-9.4872831510777029</v>
      </c>
      <c r="J185" s="86">
        <f t="shared" si="59"/>
        <v>17.283950617283953</v>
      </c>
      <c r="K185" s="86" t="str">
        <f t="shared" si="60"/>
        <v>1+1.99557018997508j</v>
      </c>
      <c r="L185" s="86">
        <f t="shared" si="61"/>
        <v>0.18568609091998278</v>
      </c>
      <c r="M185" s="86" t="str">
        <f t="shared" si="62"/>
        <v>0.445092285298228j</v>
      </c>
      <c r="N185" s="86" t="str">
        <f t="shared" si="63"/>
        <v>0.185686090919983+0.445092285298228j</v>
      </c>
      <c r="O185" s="86" t="str">
        <f t="shared" si="64"/>
        <v>4.61720323652412-0.320494389003312j</v>
      </c>
      <c r="P185" s="86" t="str">
        <f t="shared" si="65"/>
        <v>79.8035127300465-5.53940919264984j</v>
      </c>
      <c r="R185" s="86">
        <f t="shared" si="66"/>
        <v>6.9135802469135808</v>
      </c>
      <c r="S185" s="86" t="str">
        <f t="shared" si="67"/>
        <v>1+0.0123948459004663j</v>
      </c>
      <c r="T185" s="86" t="str">
        <f t="shared" si="68"/>
        <v>0.185686090919983+0.445092285298228j</v>
      </c>
      <c r="U185" s="86" t="str">
        <f t="shared" si="69"/>
        <v>0.822072512833655-1.90376826700421j</v>
      </c>
      <c r="V185" s="86" t="str">
        <f t="shared" si="70"/>
        <v>5.68346428625737-13.1618546854612j</v>
      </c>
      <c r="X185" s="86" t="str">
        <f t="shared" si="71"/>
        <v>2.39195705000163-0.572403585960347j</v>
      </c>
      <c r="Y185" s="86">
        <f t="shared" si="72"/>
        <v>7.8169107954213075</v>
      </c>
      <c r="Z185" s="86">
        <f t="shared" si="73"/>
        <v>166.54200820920977</v>
      </c>
      <c r="AB185" s="86" t="str">
        <f t="shared" si="74"/>
        <v>1.95819469620224-4.53481762867324j</v>
      </c>
      <c r="AC185" s="86">
        <f t="shared" si="75"/>
        <v>13.873737605909131</v>
      </c>
      <c r="AD185" s="86">
        <f t="shared" si="76"/>
        <v>113.35533050628433</v>
      </c>
      <c r="AF185" s="86" t="str">
        <f t="shared" si="77"/>
        <v>0.780684842321202-1.20518944230787j</v>
      </c>
      <c r="AG185" s="86">
        <f t="shared" si="78"/>
        <v>3.1427821729922538</v>
      </c>
      <c r="AH185" s="86">
        <f t="shared" si="79"/>
        <v>122.93393135910321</v>
      </c>
      <c r="AJ185" s="86" t="str">
        <f t="shared" si="80"/>
        <v>9940.02875109187-772.085447593529j</v>
      </c>
      <c r="AK185" s="86" t="str">
        <f t="shared" si="81"/>
        <v>20000-0.0000661058448024872j</v>
      </c>
      <c r="AL185" s="86" t="str">
        <f t="shared" si="95"/>
        <v>10000-134464.492745647j</v>
      </c>
      <c r="AM185" s="86" t="str">
        <f t="shared" si="96"/>
        <v>960.612168960553-41779.6286719774j</v>
      </c>
      <c r="AN185" s="86" t="str">
        <f t="shared" si="97"/>
        <v>10960.6121689606-41779.6286719774j</v>
      </c>
      <c r="AO185" s="86" t="str">
        <f t="shared" si="98"/>
        <v>15420.191837716-6180.19705392458j</v>
      </c>
      <c r="AP185" s="86" t="str">
        <f t="shared" si="99"/>
        <v>0.667558099613735+0.0172148088581848j</v>
      </c>
      <c r="AQ185" s="86" t="str">
        <f t="shared" si="82"/>
        <v>1+9.61840041876189j</v>
      </c>
      <c r="AR185" s="86">
        <f t="shared" si="83"/>
        <v>-1.8974974559925556E-5</v>
      </c>
      <c r="AS185" s="86" t="str">
        <f t="shared" si="84"/>
        <v>0.000804478383616108j</v>
      </c>
      <c r="AT185" s="86" t="str">
        <f t="shared" si="85"/>
        <v>-0.0000189749745599256+0.000804478383616108j</v>
      </c>
      <c r="AU185" s="86" t="str">
        <f t="shared" si="86"/>
        <v>1.78801798865023-0.228629630818143j</v>
      </c>
      <c r="AW185" s="86" t="str">
        <f t="shared" si="100"/>
        <v>1.16870602363025-0.256258770628443j</v>
      </c>
      <c r="AX185" s="86">
        <f t="shared" si="87"/>
        <v>1.5580419356953745</v>
      </c>
      <c r="AY185" s="86">
        <f t="shared" si="88"/>
        <v>167.6326415792816</v>
      </c>
      <c r="AZ185" s="86" t="str">
        <f t="shared" si="89"/>
        <v>1.12646714634437-5.80167324419498j</v>
      </c>
      <c r="BA185" s="86">
        <f t="shared" si="90"/>
        <v>15.431779541604499</v>
      </c>
      <c r="BB185" s="86">
        <f t="shared" si="91"/>
        <v>100.98797208556593</v>
      </c>
      <c r="BD185" s="86" t="str">
        <f t="shared" si="92"/>
        <v>0.603550712917428-1.60856949878227j</v>
      </c>
      <c r="BE185" s="86">
        <f t="shared" si="93"/>
        <v>4.7008241086875815</v>
      </c>
      <c r="BF185" s="86">
        <f t="shared" si="94"/>
        <v>110.56657293838495</v>
      </c>
      <c r="BH185" s="86">
        <f t="shared" si="101"/>
        <v>-3.7008241086875815</v>
      </c>
      <c r="BI185" s="159">
        <f t="shared" si="102"/>
        <v>-110.56657293838495</v>
      </c>
      <c r="BJ185" s="88"/>
      <c r="BK185" s="88"/>
      <c r="BL185" s="88"/>
      <c r="BM185" s="88"/>
      <c r="BN185" s="42"/>
      <c r="BO185" s="42"/>
      <c r="BP185" s="42"/>
    </row>
    <row r="186" spans="1:68" s="86" customFormat="1">
      <c r="A186" s="86">
        <v>122</v>
      </c>
      <c r="B186" s="86">
        <f t="shared" si="52"/>
        <v>27542.287033381683</v>
      </c>
      <c r="C186" s="86" t="str">
        <f t="shared" si="53"/>
        <v>173053.293214267j</v>
      </c>
      <c r="D186" s="86">
        <f t="shared" si="54"/>
        <v>0.987862758799533</v>
      </c>
      <c r="E186" s="86" t="str">
        <f t="shared" si="55"/>
        <v>-0.173053293214267j</v>
      </c>
      <c r="F186" s="86" t="str">
        <f t="shared" si="56"/>
        <v>0.987862758799533-0.173053293214267j</v>
      </c>
      <c r="G186" s="86">
        <f t="shared" si="57"/>
        <v>2.5203846681004734E-2</v>
      </c>
      <c r="H186" s="86">
        <f t="shared" si="58"/>
        <v>-9.9362235727137769</v>
      </c>
      <c r="J186" s="86">
        <f t="shared" si="59"/>
        <v>17.283950617283953</v>
      </c>
      <c r="K186" s="86" t="str">
        <f t="shared" si="60"/>
        <v>1+2.08961851556227j</v>
      </c>
      <c r="L186" s="86">
        <f t="shared" si="61"/>
        <v>0.10712255387762992</v>
      </c>
      <c r="M186" s="86" t="str">
        <f t="shared" si="62"/>
        <v>0.466068838452992j</v>
      </c>
      <c r="N186" s="86" t="str">
        <f t="shared" si="63"/>
        <v>0.10712255387763+0.466068838452992j</v>
      </c>
      <c r="O186" s="86" t="str">
        <f t="shared" si="64"/>
        <v>4.72693639934233-1.05915362744233j</v>
      </c>
      <c r="P186" s="86" t="str">
        <f t="shared" si="65"/>
        <v>81.7001352972749-18.3063589928304j</v>
      </c>
      <c r="R186" s="86">
        <f t="shared" si="66"/>
        <v>6.9135802469135808</v>
      </c>
      <c r="S186" s="86" t="str">
        <f t="shared" si="67"/>
        <v>1+0.01297899699107j</v>
      </c>
      <c r="T186" s="86" t="str">
        <f t="shared" si="68"/>
        <v>0.10712255387763+0.466068838452992j</v>
      </c>
      <c r="U186" s="86" t="str">
        <f t="shared" si="69"/>
        <v>0.49485760573064-2.03186634963985j</v>
      </c>
      <c r="V186" s="86" t="str">
        <f t="shared" si="70"/>
        <v>3.4212377680143-14.0474710592385j</v>
      </c>
      <c r="X186" s="86" t="str">
        <f t="shared" si="71"/>
        <v>2.37772482605238-0.988084223851097j</v>
      </c>
      <c r="Y186" s="86">
        <f t="shared" si="72"/>
        <v>8.2150604654355277</v>
      </c>
      <c r="Z186" s="86">
        <f t="shared" si="73"/>
        <v>157.43424761851162</v>
      </c>
      <c r="AB186" s="86" t="str">
        <f t="shared" si="74"/>
        <v>1.1787616345143-4.83995006175527j</v>
      </c>
      <c r="AC186" s="86">
        <f t="shared" si="75"/>
        <v>13.947072018019959</v>
      </c>
      <c r="AD186" s="86">
        <f t="shared" si="76"/>
        <v>103.68780833533432</v>
      </c>
      <c r="AF186" s="86" t="str">
        <f t="shared" si="77"/>
        <v>0.707595751756456-1.22590976939353j</v>
      </c>
      <c r="AG186" s="86">
        <f t="shared" si="78"/>
        <v>3.0179942865627907</v>
      </c>
      <c r="AH186" s="86">
        <f t="shared" si="79"/>
        <v>119.99356442368489</v>
      </c>
      <c r="AJ186" s="86" t="str">
        <f t="shared" si="80"/>
        <v>9934.28085773302-808.005208528691j</v>
      </c>
      <c r="AK186" s="86" t="str">
        <f t="shared" si="81"/>
        <v>20000-0.0000692213172857068j</v>
      </c>
      <c r="AL186" s="86" t="str">
        <f t="shared" si="95"/>
        <v>9999.99999999999-128412.593655225j</v>
      </c>
      <c r="AM186" s="86" t="str">
        <f t="shared" si="96"/>
        <v>960.369074444312-39903.7620060803j</v>
      </c>
      <c r="AN186" s="86" t="str">
        <f t="shared" si="97"/>
        <v>10960.3690744443-39903.7620060803j</v>
      </c>
      <c r="AO186" s="86" t="str">
        <f t="shared" si="98"/>
        <v>15145.0986868965-6257.31643591187j</v>
      </c>
      <c r="AP186" s="86" t="str">
        <f t="shared" si="99"/>
        <v>0.667643851331527+0.018021468057835j</v>
      </c>
      <c r="AQ186" s="86" t="str">
        <f t="shared" si="82"/>
        <v>1+10.0717016650703j</v>
      </c>
      <c r="AR186" s="86">
        <f t="shared" si="83"/>
        <v>-2.0815293696944484E-5</v>
      </c>
      <c r="AS186" s="86" t="str">
        <f t="shared" si="84"/>
        <v>0.000842392281774273j</v>
      </c>
      <c r="AT186" s="86" t="str">
        <f t="shared" si="85"/>
        <v>-0.0000208152936969445+0.000842392281774273j</v>
      </c>
      <c r="AU186" s="86" t="str">
        <f t="shared" si="86"/>
        <v>1.78791902812206-0.222243322650577j</v>
      </c>
      <c r="AW186" s="86" t="str">
        <f t="shared" si="100"/>
        <v>1.16747175550526-0.256767241088825j</v>
      </c>
      <c r="AX186" s="86">
        <f t="shared" si="87"/>
        <v>1.5500782859632753</v>
      </c>
      <c r="AY186" s="86">
        <f t="shared" si="88"/>
        <v>167.59616468649568</v>
      </c>
      <c r="AZ186" s="86" t="str">
        <f t="shared" si="89"/>
        <v>0.133430290404069-5.95317236795081j</v>
      </c>
      <c r="BA186" s="86">
        <f t="shared" si="90"/>
        <v>15.49715030398324</v>
      </c>
      <c r="BB186" s="86">
        <f t="shared" si="91"/>
        <v>91.283973021829993</v>
      </c>
      <c r="BD186" s="86" t="str">
        <f t="shared" si="92"/>
        <v>0.51132458518016-1.61290243954959j</v>
      </c>
      <c r="BE186" s="86">
        <f t="shared" si="93"/>
        <v>4.5680725725260611</v>
      </c>
      <c r="BF186" s="86">
        <f t="shared" si="94"/>
        <v>107.58972911018061</v>
      </c>
      <c r="BH186" s="86">
        <f t="shared" si="101"/>
        <v>-3.5680725725260611</v>
      </c>
      <c r="BI186" s="159">
        <f t="shared" si="102"/>
        <v>-107.58972911018061</v>
      </c>
      <c r="BJ186" s="88"/>
      <c r="BK186" s="88"/>
      <c r="BL186" s="88"/>
      <c r="BM186" s="88"/>
      <c r="BN186" s="42"/>
      <c r="BO186" s="42"/>
      <c r="BP186" s="42"/>
    </row>
    <row r="187" spans="1:68" s="86" customFormat="1">
      <c r="A187" s="86">
        <v>123</v>
      </c>
      <c r="B187" s="86">
        <f t="shared" si="52"/>
        <v>28840.315031266073</v>
      </c>
      <c r="C187" s="86" t="str">
        <f t="shared" si="53"/>
        <v>181209.043658882j</v>
      </c>
      <c r="D187" s="86">
        <f t="shared" si="54"/>
        <v>0.98669177966235722</v>
      </c>
      <c r="E187" s="86" t="str">
        <f t="shared" si="55"/>
        <v>-0.181209043658882j</v>
      </c>
      <c r="F187" s="86" t="str">
        <f t="shared" si="56"/>
        <v>0.986691779662357-0.181209043658882j</v>
      </c>
      <c r="G187" s="86">
        <f t="shared" si="57"/>
        <v>2.7694998821680424E-2</v>
      </c>
      <c r="H187" s="86">
        <f t="shared" si="58"/>
        <v>-10.406584539403831</v>
      </c>
      <c r="J187" s="86">
        <f t="shared" si="59"/>
        <v>17.283950617283953</v>
      </c>
      <c r="K187" s="86" t="str">
        <f t="shared" si="60"/>
        <v>1+2.188099202181j</v>
      </c>
      <c r="L187" s="86">
        <f t="shared" si="61"/>
        <v>2.0979348498810779E-2</v>
      </c>
      <c r="M187" s="86" t="str">
        <f t="shared" si="62"/>
        <v>0.488033986101051j</v>
      </c>
      <c r="N187" s="86" t="str">
        <f t="shared" si="63"/>
        <v>0.0209793484988108+0.488033986101051j</v>
      </c>
      <c r="O187" s="86" t="str">
        <f t="shared" si="64"/>
        <v>4.56314819961033-1.85287940885621j</v>
      </c>
      <c r="P187" s="86" t="str">
        <f t="shared" si="65"/>
        <v>78.8692281414131-32.025076202453j</v>
      </c>
      <c r="R187" s="86">
        <f t="shared" si="66"/>
        <v>6.9135802469135808</v>
      </c>
      <c r="S187" s="86" t="str">
        <f t="shared" si="67"/>
        <v>1+0.0135906782744161j</v>
      </c>
      <c r="T187" s="86" t="str">
        <f t="shared" si="68"/>
        <v>0.0209793484988108+0.488033986101051j</v>
      </c>
      <c r="U187" s="86" t="str">
        <f t="shared" si="69"/>
        <v>0.115716927701583-2.04406324693949j</v>
      </c>
      <c r="V187" s="86" t="str">
        <f t="shared" si="70"/>
        <v>0.800018265591191-14.1317952874829j</v>
      </c>
      <c r="X187" s="86" t="str">
        <f t="shared" si="71"/>
        <v>2.20833045834107-1.4072050780561j</v>
      </c>
      <c r="Y187" s="86">
        <f t="shared" si="72"/>
        <v>8.3613095383563447</v>
      </c>
      <c r="Z187" s="86">
        <f t="shared" si="73"/>
        <v>147.49366264328961</v>
      </c>
      <c r="AB187" s="86" t="str">
        <f t="shared" si="74"/>
        <v>0.275640251375135-4.86900333774907j</v>
      </c>
      <c r="AC187" s="86">
        <f t="shared" si="75"/>
        <v>13.76269759375155</v>
      </c>
      <c r="AD187" s="86">
        <f t="shared" si="76"/>
        <v>93.240125959654947</v>
      </c>
      <c r="AF187" s="86" t="str">
        <f t="shared" si="77"/>
        <v>0.63029792742497-1.24115796215313j</v>
      </c>
      <c r="AG187" s="86">
        <f t="shared" si="78"/>
        <v>2.8729742379460053</v>
      </c>
      <c r="AH187" s="86">
        <f t="shared" si="79"/>
        <v>116.92285165920747</v>
      </c>
      <c r="AJ187" s="86" t="str">
        <f t="shared" si="80"/>
        <v>9927.98605362062-845.549203370595j</v>
      </c>
      <c r="AK187" s="86" t="str">
        <f t="shared" si="81"/>
        <v>20000-0.0000724836174635528j</v>
      </c>
      <c r="AL187" s="86" t="str">
        <f t="shared" si="95"/>
        <v>10000-122633.074892523j</v>
      </c>
      <c r="AM187" s="86" t="str">
        <f t="shared" si="96"/>
        <v>960.102667982481-38112.5340554906j</v>
      </c>
      <c r="AN187" s="86" t="str">
        <f t="shared" si="97"/>
        <v>10960.1026679825-38112.5340554906j</v>
      </c>
      <c r="AO187" s="86" t="str">
        <f t="shared" si="98"/>
        <v>14863.7236000134-6322.86368780021j</v>
      </c>
      <c r="AP187" s="86" t="str">
        <f t="shared" si="99"/>
        <v>0.667737825388336+0.0188654579436912j</v>
      </c>
      <c r="AQ187" s="86" t="str">
        <f t="shared" si="82"/>
        <v>1+10.5463663409469j</v>
      </c>
      <c r="AR187" s="86">
        <f t="shared" si="83"/>
        <v>-2.2833163504630597E-5</v>
      </c>
      <c r="AS187" s="86" t="str">
        <f t="shared" si="84"/>
        <v>0.000882093006903579j</v>
      </c>
      <c r="AT187" s="86" t="str">
        <f t="shared" si="85"/>
        <v>-0.0000228331635046306+0.000882093006903579j</v>
      </c>
      <c r="AU187" s="86" t="str">
        <f t="shared" si="86"/>
        <v>1.78781090788456-0.216327957802242j</v>
      </c>
      <c r="AW187" s="86" t="str">
        <f t="shared" si="100"/>
        <v>1.16612146943292-0.2577957127854j</v>
      </c>
      <c r="AX187" s="86">
        <f t="shared" si="87"/>
        <v>1.5421024612721059</v>
      </c>
      <c r="AY187" s="86">
        <f t="shared" si="88"/>
        <v>167.53406032020723</v>
      </c>
      <c r="AZ187" s="86" t="str">
        <f t="shared" si="89"/>
        <v>-0.933778171041082-5.74890820196534j</v>
      </c>
      <c r="BA187" s="86">
        <f t="shared" si="90"/>
        <v>15.304800055023657</v>
      </c>
      <c r="BB187" s="86">
        <f t="shared" si="91"/>
        <v>80.774186279862178</v>
      </c>
      <c r="BD187" s="86" t="str">
        <f t="shared" si="92"/>
        <v>0.415038743776789-1.60982905009206j</v>
      </c>
      <c r="BE187" s="86">
        <f t="shared" si="93"/>
        <v>4.4150766992181243</v>
      </c>
      <c r="BF187" s="86">
        <f t="shared" si="94"/>
        <v>104.45691197941466</v>
      </c>
      <c r="BH187" s="86">
        <f t="shared" si="101"/>
        <v>-3.4150766992181243</v>
      </c>
      <c r="BI187" s="159">
        <f t="shared" si="102"/>
        <v>-104.45691197941466</v>
      </c>
      <c r="BJ187" s="88"/>
      <c r="BK187" s="88"/>
      <c r="BL187" s="88"/>
      <c r="BM187" s="88"/>
      <c r="BN187" s="42"/>
      <c r="BO187" s="42"/>
      <c r="BP187" s="42"/>
    </row>
    <row r="188" spans="1:68" s="86" customFormat="1">
      <c r="A188" s="86">
        <v>124</v>
      </c>
      <c r="B188" s="86">
        <f t="shared" si="52"/>
        <v>30199.517204020169</v>
      </c>
      <c r="C188" s="86" t="str">
        <f t="shared" si="53"/>
        <v>189749.162780217j</v>
      </c>
      <c r="D188" s="86">
        <f t="shared" si="54"/>
        <v>0.98540782657030535</v>
      </c>
      <c r="E188" s="86" t="str">
        <f t="shared" si="55"/>
        <v>-0.189749162780217j</v>
      </c>
      <c r="F188" s="86" t="str">
        <f t="shared" si="56"/>
        <v>0.985407826570305-0.189749162780217j</v>
      </c>
      <c r="G188" s="86">
        <f t="shared" si="57"/>
        <v>3.0438444891939399E-2</v>
      </c>
      <c r="H188" s="86">
        <f t="shared" si="58"/>
        <v>-10.899412724570547</v>
      </c>
      <c r="J188" s="86">
        <f t="shared" si="59"/>
        <v>17.283950617283953</v>
      </c>
      <c r="K188" s="86" t="str">
        <f t="shared" si="60"/>
        <v>1+2.29122114057112j</v>
      </c>
      <c r="L188" s="86">
        <f t="shared" si="61"/>
        <v>-7.3474797944948156E-2</v>
      </c>
      <c r="M188" s="86" t="str">
        <f t="shared" si="62"/>
        <v>0.511034319265486j</v>
      </c>
      <c r="N188" s="86" t="str">
        <f t="shared" si="63"/>
        <v>-0.0734747979449482+0.511034319265486j</v>
      </c>
      <c r="O188" s="86" t="str">
        <f t="shared" si="64"/>
        <v>4.11704675067668-2.5487508940847j</v>
      </c>
      <c r="P188" s="86" t="str">
        <f t="shared" si="65"/>
        <v>71.1588327277451-44.0524845891183j</v>
      </c>
      <c r="R188" s="86">
        <f t="shared" si="66"/>
        <v>6.9135802469135808</v>
      </c>
      <c r="S188" s="86" t="str">
        <f t="shared" si="67"/>
        <v>1+0.0142311872085163j</v>
      </c>
      <c r="T188" s="86" t="str">
        <f t="shared" si="68"/>
        <v>-0.0734747979449482+0.511034319265486j</v>
      </c>
      <c r="U188" s="86" t="str">
        <f t="shared" si="69"/>
        <v>-0.248362502701134-1.92110701431562j</v>
      </c>
      <c r="V188" s="86" t="str">
        <f t="shared" si="70"/>
        <v>-1.71707409274858-13.2817275063796j</v>
      </c>
      <c r="X188" s="86" t="str">
        <f t="shared" si="71"/>
        <v>1.89387328696991-1.74516513593433j</v>
      </c>
      <c r="Y188" s="86">
        <f t="shared" si="72"/>
        <v>8.216679197511942</v>
      </c>
      <c r="Z188" s="86">
        <f t="shared" si="73"/>
        <v>137.3400718586698</v>
      </c>
      <c r="AB188" s="86" t="str">
        <f t="shared" si="74"/>
        <v>-0.591604910676881-4.57611890379672j</v>
      </c>
      <c r="AC188" s="86">
        <f t="shared" si="75"/>
        <v>13.281932162909714</v>
      </c>
      <c r="AD188" s="86">
        <f t="shared" si="76"/>
        <v>82.633606525595724</v>
      </c>
      <c r="AF188" s="86" t="str">
        <f t="shared" si="77"/>
        <v>0.549386726016131-1.25000232722556j</v>
      </c>
      <c r="AG188" s="86">
        <f t="shared" si="78"/>
        <v>2.7052315915113949</v>
      </c>
      <c r="AH188" s="86">
        <f t="shared" si="79"/>
        <v>113.7258999952106</v>
      </c>
      <c r="AJ188" s="86" t="str">
        <f t="shared" si="80"/>
        <v>9921.09310072008-884.783981571324j</v>
      </c>
      <c r="AK188" s="86" t="str">
        <f t="shared" si="81"/>
        <v>20000-0.0000758996651120868j</v>
      </c>
      <c r="AL188" s="86" t="str">
        <f t="shared" si="95"/>
        <v>10000-117113.677323371j</v>
      </c>
      <c r="AM188" s="86" t="str">
        <f t="shared" si="96"/>
        <v>959.810728933898-36402.1450155354j</v>
      </c>
      <c r="AN188" s="86" t="str">
        <f t="shared" si="97"/>
        <v>10959.8107289339-36402.1450155354j</v>
      </c>
      <c r="AO188" s="86" t="str">
        <f t="shared" si="98"/>
        <v>14577.0786705879-6376.20074925269j</v>
      </c>
      <c r="AP188" s="86" t="str">
        <f t="shared" si="99"/>
        <v>0.667840804831055+0.0197484369690099j</v>
      </c>
      <c r="AQ188" s="86" t="str">
        <f t="shared" si="82"/>
        <v>1+11.0434012738086j</v>
      </c>
      <c r="AR188" s="86">
        <f t="shared" si="83"/>
        <v>-2.5045713751414039E-5</v>
      </c>
      <c r="AS188" s="86" t="str">
        <f t="shared" si="84"/>
        <v>0.000923664769564796j</v>
      </c>
      <c r="AT188" s="86" t="str">
        <f t="shared" si="85"/>
        <v>-0.000025045713751414+0.000923664769564796j</v>
      </c>
      <c r="AU188" s="86" t="str">
        <f t="shared" si="86"/>
        <v>1.78769271360397-0.210870920271415j</v>
      </c>
      <c r="AW188" s="86" t="str">
        <f t="shared" si="100"/>
        <v>1.16464450654219-0.259342815926958j</v>
      </c>
      <c r="AX188" s="86">
        <f t="shared" si="87"/>
        <v>1.5340491721597036</v>
      </c>
      <c r="AY188" s="86">
        <f t="shared" si="88"/>
        <v>167.44621071650994</v>
      </c>
      <c r="AZ188" s="86" t="str">
        <f t="shared" si="89"/>
        <v>-1.87579297179044-5.17612325913956j</v>
      </c>
      <c r="BA188" s="86">
        <f t="shared" si="90"/>
        <v>14.81598133506942</v>
      </c>
      <c r="BB188" s="86">
        <f t="shared" si="91"/>
        <v>70.079817242105648</v>
      </c>
      <c r="BD188" s="86" t="str">
        <f t="shared" si="92"/>
        <v>0.315661108963959-1.59828784412611j</v>
      </c>
      <c r="BE188" s="86">
        <f t="shared" si="93"/>
        <v>4.2392807636710623</v>
      </c>
      <c r="BF188" s="86">
        <f t="shared" si="94"/>
        <v>101.17211071172059</v>
      </c>
      <c r="BH188" s="86">
        <f t="shared" si="101"/>
        <v>-3.2392807636710623</v>
      </c>
      <c r="BI188" s="159">
        <f t="shared" si="102"/>
        <v>-101.17211071172059</v>
      </c>
      <c r="BJ188" s="88"/>
      <c r="BK188" s="88"/>
      <c r="BL188" s="88"/>
      <c r="BM188" s="88"/>
      <c r="BN188" s="42"/>
      <c r="BO188" s="42"/>
      <c r="BP188" s="42"/>
    </row>
    <row r="189" spans="1:68" s="86" customFormat="1">
      <c r="A189" s="86">
        <v>125</v>
      </c>
      <c r="B189" s="86">
        <f t="shared" si="52"/>
        <v>31622.776601683825</v>
      </c>
      <c r="C189" s="86" t="str">
        <f t="shared" si="53"/>
        <v>198691.765315922j</v>
      </c>
      <c r="D189" s="86">
        <f t="shared" si="54"/>
        <v>0.98399999999999999</v>
      </c>
      <c r="E189" s="86" t="str">
        <f t="shared" si="55"/>
        <v>-0.198691765315922j</v>
      </c>
      <c r="F189" s="86" t="str">
        <f t="shared" si="56"/>
        <v>0.984-0.198691765315922j</v>
      </c>
      <c r="G189" s="86">
        <f t="shared" si="57"/>
        <v>3.3460914683403301E-2</v>
      </c>
      <c r="H189" s="86">
        <f t="shared" si="58"/>
        <v>-11.415809180439439</v>
      </c>
      <c r="J189" s="86">
        <f t="shared" si="59"/>
        <v>17.283950617283953</v>
      </c>
      <c r="K189" s="86" t="str">
        <f t="shared" si="60"/>
        <v>1+2.39920306618976j</v>
      </c>
      <c r="L189" s="86">
        <f t="shared" si="61"/>
        <v>-0.1770417100558408</v>
      </c>
      <c r="M189" s="86" t="str">
        <f t="shared" si="62"/>
        <v>0.535118624736647j</v>
      </c>
      <c r="N189" s="86" t="str">
        <f t="shared" si="63"/>
        <v>-0.177041710055841+0.535118624736647j</v>
      </c>
      <c r="O189" s="86" t="str">
        <f t="shared" si="64"/>
        <v>3.48388883325929-3.02137425599859j</v>
      </c>
      <c r="P189" s="86" t="str">
        <f t="shared" si="65"/>
        <v>60.2153625501606-52.2212834370127j</v>
      </c>
      <c r="R189" s="86">
        <f t="shared" si="66"/>
        <v>6.9135802469135808</v>
      </c>
      <c r="S189" s="86" t="str">
        <f t="shared" si="67"/>
        <v>1+0.0149018823986942j</v>
      </c>
      <c r="T189" s="86" t="str">
        <f t="shared" si="68"/>
        <v>-0.177041710055841+0.535118624736647j</v>
      </c>
      <c r="U189" s="86" t="str">
        <f t="shared" si="69"/>
        <v>-0.532167826353372-1.69267907360068j</v>
      </c>
      <c r="V189" s="86" t="str">
        <f t="shared" si="70"/>
        <v>-3.67918497231961-11.7024726076096j</v>
      </c>
      <c r="X189" s="86" t="str">
        <f t="shared" si="71"/>
        <v>1.4987465615702-1.94258321498631j</v>
      </c>
      <c r="Y189" s="86">
        <f t="shared" si="72"/>
        <v>7.7958717063299732</v>
      </c>
      <c r="Z189" s="86">
        <f t="shared" si="73"/>
        <v>127.65099259245329</v>
      </c>
      <c r="AB189" s="86" t="str">
        <f t="shared" si="74"/>
        <v>-1.26763539564485-4.03199855554355j</v>
      </c>
      <c r="AC189" s="86">
        <f t="shared" si="75"/>
        <v>12.519765669859018</v>
      </c>
      <c r="AD189" s="86">
        <f t="shared" si="76"/>
        <v>72.54717498559161</v>
      </c>
      <c r="AF189" s="86" t="str">
        <f t="shared" si="77"/>
        <v>0.465690691190587-1.25156976043866j</v>
      </c>
      <c r="AG189" s="86">
        <f t="shared" si="78"/>
        <v>2.5122311521162688</v>
      </c>
      <c r="AH189" s="86">
        <f t="shared" si="79"/>
        <v>110.40949339113271</v>
      </c>
      <c r="AJ189" s="86" t="str">
        <f t="shared" si="80"/>
        <v>9913.54612098274-925.777790279869j</v>
      </c>
      <c r="AK189" s="86" t="str">
        <f t="shared" si="81"/>
        <v>20000-0.0000794767061263688j</v>
      </c>
      <c r="AL189" s="86" t="str">
        <f t="shared" si="95"/>
        <v>10000-111842.693565527j</v>
      </c>
      <c r="AM189" s="86" t="str">
        <f t="shared" si="96"/>
        <v>959.490828124114-34768.9664975083j</v>
      </c>
      <c r="AN189" s="86" t="str">
        <f t="shared" si="97"/>
        <v>10959.4908281241-34768.9664975083j</v>
      </c>
      <c r="AO189" s="86" t="str">
        <f t="shared" si="98"/>
        <v>14286.2593353774-6416.79989448815j</v>
      </c>
      <c r="AP189" s="86" t="str">
        <f t="shared" si="99"/>
        <v>0.667953646200922+0.0206721269921777j</v>
      </c>
      <c r="AQ189" s="86" t="str">
        <f t="shared" si="82"/>
        <v>1+11.5638607413867j</v>
      </c>
      <c r="AR189" s="86">
        <f t="shared" si="83"/>
        <v>-2.7471726854883212E-5</v>
      </c>
      <c r="AS189" s="86" t="str">
        <f t="shared" si="84"/>
        <v>0.000967195749040151j</v>
      </c>
      <c r="AT189" s="86" t="str">
        <f t="shared" si="85"/>
        <v>-0.0000274717268548832+0.000967195749040151j</v>
      </c>
      <c r="AU189" s="86" t="str">
        <f t="shared" si="86"/>
        <v>1.78756344613506-0.20586055607212j</v>
      </c>
      <c r="AW189" s="86" t="str">
        <f t="shared" si="100"/>
        <v>1.16302929025888-0.261407779568023j</v>
      </c>
      <c r="AX189" s="86">
        <f t="shared" si="87"/>
        <v>1.5258526273544735</v>
      </c>
      <c r="AY189" s="86">
        <f t="shared" si="88"/>
        <v>167.33245625968368</v>
      </c>
      <c r="AZ189" s="86" t="str">
        <f t="shared" si="89"/>
        <v>-2.52829288412998-4.35796266430129j</v>
      </c>
      <c r="BA189" s="86">
        <f t="shared" si="90"/>
        <v>14.04561829721349</v>
      </c>
      <c r="BB189" s="86">
        <f t="shared" si="91"/>
        <v>59.879631245275277</v>
      </c>
      <c r="BD189" s="86" t="str">
        <f t="shared" si="92"/>
        <v>0.214441842004803-1.57734745974208j</v>
      </c>
      <c r="BE189" s="86">
        <f t="shared" si="93"/>
        <v>4.0380837794707389</v>
      </c>
      <c r="BF189" s="86">
        <f t="shared" si="94"/>
        <v>97.741949650816395</v>
      </c>
      <c r="BH189" s="86">
        <f t="shared" si="101"/>
        <v>-3.0380837794707389</v>
      </c>
      <c r="BI189" s="159">
        <f t="shared" si="102"/>
        <v>-97.741949650816395</v>
      </c>
      <c r="BJ189" s="88"/>
      <c r="BK189" s="88"/>
      <c r="BL189" s="88"/>
      <c r="BM189" s="88"/>
      <c r="BN189" s="42"/>
      <c r="BO189" s="42"/>
      <c r="BP189" s="42"/>
    </row>
    <row r="190" spans="1:68" s="86" customFormat="1">
      <c r="A190" s="86">
        <v>126</v>
      </c>
      <c r="B190" s="86">
        <f t="shared" si="52"/>
        <v>33113.112148259133</v>
      </c>
      <c r="C190" s="86" t="str">
        <f t="shared" si="53"/>
        <v>208055.819724932j</v>
      </c>
      <c r="D190" s="86">
        <f t="shared" si="54"/>
        <v>0.98245634886170896</v>
      </c>
      <c r="E190" s="86" t="str">
        <f t="shared" si="55"/>
        <v>-0.208055819724932j</v>
      </c>
      <c r="F190" s="86" t="str">
        <f t="shared" si="56"/>
        <v>0.982456348861709-0.208055819724932j</v>
      </c>
      <c r="G190" s="86">
        <f t="shared" si="57"/>
        <v>3.6792190818468171E-2</v>
      </c>
      <c r="H190" s="86">
        <f t="shared" si="58"/>
        <v>-11.956932531908222</v>
      </c>
      <c r="J190" s="86">
        <f t="shared" si="59"/>
        <v>17.283950617283953</v>
      </c>
      <c r="K190" s="86" t="str">
        <f t="shared" si="60"/>
        <v>1+2.51227402317855j</v>
      </c>
      <c r="L190" s="86">
        <f t="shared" si="61"/>
        <v>-0.29060057102732517</v>
      </c>
      <c r="M190" s="86" t="str">
        <f t="shared" si="62"/>
        <v>0.56033798855548j</v>
      </c>
      <c r="N190" s="86" t="str">
        <f t="shared" si="63"/>
        <v>-0.290600571027325+0.56033798855548j</v>
      </c>
      <c r="O190" s="86" t="str">
        <f t="shared" si="64"/>
        <v>2.80382858397806-3.23874915610344j</v>
      </c>
      <c r="P190" s="86" t="str">
        <f t="shared" si="65"/>
        <v>48.461234784806-55.9783804758619j</v>
      </c>
      <c r="R190" s="86">
        <f t="shared" si="66"/>
        <v>6.9135802469135808</v>
      </c>
      <c r="S190" s="86" t="str">
        <f t="shared" si="67"/>
        <v>1+0.0156041864793699j</v>
      </c>
      <c r="T190" s="86" t="str">
        <f t="shared" si="68"/>
        <v>-0.290600571027325+0.56033798855548j</v>
      </c>
      <c r="U190" s="86" t="str">
        <f t="shared" si="69"/>
        <v>-0.707423700275765-1.4177555064392j</v>
      </c>
      <c r="V190" s="86" t="str">
        <f t="shared" si="70"/>
        <v>-4.89083052042504-9.80176646427101j</v>
      </c>
      <c r="X190" s="86" t="str">
        <f t="shared" si="71"/>
        <v>1.10282296570409-1.99559922583836j</v>
      </c>
      <c r="Y190" s="86">
        <f t="shared" si="72"/>
        <v>7.1588930663996928</v>
      </c>
      <c r="Z190" s="86">
        <f t="shared" si="73"/>
        <v>118.92624580449424</v>
      </c>
      <c r="AB190" s="86" t="str">
        <f t="shared" si="74"/>
        <v>-1.68509871844854-3.37712460869315j</v>
      </c>
      <c r="AC190" s="86">
        <f t="shared" si="75"/>
        <v>11.536480727955254</v>
      </c>
      <c r="AD190" s="86">
        <f t="shared" si="76"/>
        <v>63.481978240568836</v>
      </c>
      <c r="AF190" s="86" t="str">
        <f t="shared" si="77"/>
        <v>0.380273230502451-1.24511273036184j</v>
      </c>
      <c r="AG190" s="86">
        <f t="shared" si="78"/>
        <v>2.291475237824085</v>
      </c>
      <c r="AH190" s="86">
        <f t="shared" si="79"/>
        <v>106.98333647255696</v>
      </c>
      <c r="AJ190" s="86" t="str">
        <f t="shared" si="80"/>
        <v>9905.28420831567-968.600452017684j</v>
      </c>
      <c r="AK190" s="86" t="str">
        <f t="shared" si="81"/>
        <v>20000-0.0000832223278899728j</v>
      </c>
      <c r="AL190" s="86" t="str">
        <f t="shared" si="95"/>
        <v>10000-106808.943155745j</v>
      </c>
      <c r="AM190" s="86" t="str">
        <f t="shared" si="96"/>
        <v>959.14030886728-33209.5338244979j</v>
      </c>
      <c r="AN190" s="86" t="str">
        <f t="shared" si="97"/>
        <v>10959.1403088673-33209.5338244979j</v>
      </c>
      <c r="AO190" s="86" t="str">
        <f t="shared" si="98"/>
        <v>13992.4286355165-6444.25659721306j</v>
      </c>
      <c r="AP190" s="86" t="str">
        <f t="shared" si="99"/>
        <v>0.668077286214134+0.0216383141279908j</v>
      </c>
      <c r="AQ190" s="86" t="str">
        <f t="shared" si="82"/>
        <v>1+12.108848707991j</v>
      </c>
      <c r="AR190" s="86">
        <f t="shared" si="83"/>
        <v>-3.013179732639512E-5</v>
      </c>
      <c r="AS190" s="86" t="str">
        <f t="shared" si="84"/>
        <v>0.00101277828037342j</v>
      </c>
      <c r="AT190" s="86" t="str">
        <f t="shared" si="85"/>
        <v>-0.0000301317973263951+0.00101277828037342j</v>
      </c>
      <c r="AU190" s="86" t="str">
        <f t="shared" si="86"/>
        <v>1.78742201318208-0.201286147016083j</v>
      </c>
      <c r="AW190" s="86" t="str">
        <f t="shared" si="100"/>
        <v>1.16126325840282-0.263990361920924j</v>
      </c>
      <c r="AX190" s="86">
        <f t="shared" si="87"/>
        <v>1.5174460586660168</v>
      </c>
      <c r="AY190" s="86">
        <f t="shared" si="88"/>
        <v>167.19259558057954</v>
      </c>
      <c r="AZ190" s="86" t="str">
        <f t="shared" si="89"/>
        <v>-2.84837157621693-3.47688090656765j</v>
      </c>
      <c r="BA190" s="86">
        <f t="shared" si="90"/>
        <v>13.053926786621284</v>
      </c>
      <c r="BB190" s="86">
        <f t="shared" si="91"/>
        <v>50.674573821148442</v>
      </c>
      <c r="BD190" s="86" t="str">
        <f t="shared" si="92"/>
        <v>0.112899570416073-1.54629213408801j</v>
      </c>
      <c r="BE190" s="86">
        <f t="shared" si="93"/>
        <v>3.8089212964901438</v>
      </c>
      <c r="BF190" s="86">
        <f t="shared" si="94"/>
        <v>94.175932053136549</v>
      </c>
      <c r="BH190" s="86">
        <f t="shared" si="101"/>
        <v>-2.8089212964901438</v>
      </c>
      <c r="BI190" s="159">
        <f t="shared" si="102"/>
        <v>-94.175932053136549</v>
      </c>
      <c r="BJ190" s="88"/>
      <c r="BK190" s="88"/>
      <c r="BL190" s="88"/>
      <c r="BM190" s="88"/>
      <c r="BN190" s="42"/>
      <c r="BO190" s="42"/>
      <c r="BP190" s="42"/>
    </row>
    <row r="191" spans="1:68" s="86" customFormat="1">
      <c r="A191" s="86">
        <v>127</v>
      </c>
      <c r="B191" s="86">
        <f t="shared" si="52"/>
        <v>34673.68504525318</v>
      </c>
      <c r="C191" s="86" t="str">
        <f t="shared" si="53"/>
        <v>217861.188422107j</v>
      </c>
      <c r="D191" s="86">
        <f t="shared" si="54"/>
        <v>0.98076376904612139</v>
      </c>
      <c r="E191" s="86" t="str">
        <f t="shared" si="55"/>
        <v>-0.217861188422107j</v>
      </c>
      <c r="F191" s="86" t="str">
        <f t="shared" si="56"/>
        <v>0.980763769046121-0.217861188422107j</v>
      </c>
      <c r="G191" s="86">
        <f t="shared" si="57"/>
        <v>4.0465496170932376E-2</v>
      </c>
      <c r="H191" s="86">
        <f t="shared" si="58"/>
        <v>-12.524002384249663</v>
      </c>
      <c r="J191" s="86">
        <f t="shared" si="59"/>
        <v>17.283950617283953</v>
      </c>
      <c r="K191" s="86" t="str">
        <f t="shared" si="60"/>
        <v>1+2.63067385019694j</v>
      </c>
      <c r="L191" s="86">
        <f t="shared" si="61"/>
        <v>-0.41511538606139631</v>
      </c>
      <c r="M191" s="86" t="str">
        <f t="shared" si="62"/>
        <v>0.58674590437386j</v>
      </c>
      <c r="N191" s="86" t="str">
        <f t="shared" si="63"/>
        <v>-0.415115386061396+0.58674590437386j</v>
      </c>
      <c r="O191" s="86" t="str">
        <f t="shared" si="64"/>
        <v>2.18435966099655-3.24972239219344j</v>
      </c>
      <c r="P191" s="86" t="str">
        <f t="shared" si="65"/>
        <v>37.7543645110515-56.1680413465533j</v>
      </c>
      <c r="R191" s="86">
        <f t="shared" si="66"/>
        <v>6.9135802469135808</v>
      </c>
      <c r="S191" s="86" t="str">
        <f t="shared" si="67"/>
        <v>1+0.016339589131658j</v>
      </c>
      <c r="T191" s="86" t="str">
        <f t="shared" si="68"/>
        <v>-0.415115386061396+0.58674590437386j</v>
      </c>
      <c r="U191" s="86" t="str">
        <f t="shared" si="69"/>
        <v>-0.785007433579708-1.14893232508864j</v>
      </c>
      <c r="V191" s="86" t="str">
        <f t="shared" si="70"/>
        <v>-5.42721188647699-7.94323582777331j</v>
      </c>
      <c r="X191" s="86" t="str">
        <f t="shared" si="71"/>
        <v>0.760206593545379-1.9414410033014j</v>
      </c>
      <c r="Y191" s="86">
        <f t="shared" si="72"/>
        <v>6.3820035347213677</v>
      </c>
      <c r="Z191" s="86">
        <f t="shared" si="73"/>
        <v>111.38373217242199</v>
      </c>
      <c r="AB191" s="86" t="str">
        <f t="shared" si="74"/>
        <v>-1.86990486717096-2.73678191419974j</v>
      </c>
      <c r="AC191" s="86">
        <f t="shared" si="75"/>
        <v>10.408601292274193</v>
      </c>
      <c r="AD191" s="86">
        <f t="shared" si="76"/>
        <v>55.657177186739531</v>
      </c>
      <c r="AF191" s="86" t="str">
        <f t="shared" si="77"/>
        <v>0.29441219316433-1.23008175202748j</v>
      </c>
      <c r="AG191" s="86">
        <f t="shared" si="78"/>
        <v>2.0406016971471326</v>
      </c>
      <c r="AH191" s="86">
        <f t="shared" si="79"/>
        <v>103.46016725856242</v>
      </c>
      <c r="AJ191" s="86" t="str">
        <f t="shared" si="80"/>
        <v>9896.24101463908-1013.3232093296j</v>
      </c>
      <c r="AK191" s="86" t="str">
        <f t="shared" si="81"/>
        <v>20000-0.0000871444753688428j</v>
      </c>
      <c r="AL191" s="86" t="str">
        <f t="shared" si="95"/>
        <v>10000-102001.748834522j</v>
      </c>
      <c r="AM191" s="86" t="str">
        <f t="shared" si="96"/>
        <v>958.756266383232-31720.5386733487j</v>
      </c>
      <c r="AN191" s="86" t="str">
        <f t="shared" si="97"/>
        <v>10958.7562663832-31720.5386733487j</v>
      </c>
      <c r="AO191" s="86" t="str">
        <f t="shared" si="98"/>
        <v>13696.799178151-6458.29966411944j</v>
      </c>
      <c r="AP191" s="86" t="str">
        <f t="shared" si="99"/>
        <v>0.668212749005752+0.0226488493350211j</v>
      </c>
      <c r="AQ191" s="86" t="str">
        <f t="shared" si="82"/>
        <v>1+12.6795211661666j</v>
      </c>
      <c r="AR191" s="86">
        <f t="shared" si="83"/>
        <v>-3.3048506598611848E-5</v>
      </c>
      <c r="AS191" s="86" t="str">
        <f t="shared" si="84"/>
        <v>0.0010605090502249j</v>
      </c>
      <c r="AT191" s="86" t="str">
        <f t="shared" si="85"/>
        <v>-0.0000330485065986118+0.0010605090502249j</v>
      </c>
      <c r="AU191" s="86" t="str">
        <f t="shared" si="86"/>
        <v>1.78726722019785-0.197137886259297j</v>
      </c>
      <c r="AW191" s="86" t="str">
        <f t="shared" si="100"/>
        <v>1.15933279259727-0.26709077322745j</v>
      </c>
      <c r="AX191" s="86">
        <f t="shared" si="87"/>
        <v>1.5087612448231877</v>
      </c>
      <c r="AY191" s="86">
        <f t="shared" si="88"/>
        <v>167.02638578662481</v>
      </c>
      <c r="AZ191" s="86" t="str">
        <f t="shared" si="89"/>
        <v>-2.89881122916704-2.67340668248442j</v>
      </c>
      <c r="BA191" s="86">
        <f t="shared" si="90"/>
        <v>11.917362537097366</v>
      </c>
      <c r="BB191" s="86">
        <f t="shared" si="91"/>
        <v>42.68356297336436</v>
      </c>
      <c r="BD191" s="86" t="str">
        <f t="shared" si="92"/>
        <v>0.0127782237938946-1.50470889302081j</v>
      </c>
      <c r="BE191" s="86">
        <f t="shared" si="93"/>
        <v>3.5493629419703101</v>
      </c>
      <c r="BF191" s="86">
        <f t="shared" si="94"/>
        <v>90.486553045187279</v>
      </c>
      <c r="BH191" s="86">
        <f t="shared" si="101"/>
        <v>-2.5493629419703101</v>
      </c>
      <c r="BI191" s="159">
        <f t="shared" si="102"/>
        <v>-90.486553045187279</v>
      </c>
      <c r="BJ191" s="88"/>
      <c r="BK191" s="88"/>
      <c r="BL191" s="88"/>
      <c r="BM191" s="88"/>
      <c r="BN191" s="42"/>
      <c r="BO191" s="42"/>
      <c r="BP191" s="42"/>
    </row>
    <row r="192" spans="1:68" s="86" customFormat="1">
      <c r="A192" s="86">
        <v>128</v>
      </c>
      <c r="B192" s="86">
        <f t="shared" ref="B192:B255" si="103">Fstart*10^(Step*A192)</f>
        <v>36307.805477010152</v>
      </c>
      <c r="C192" s="86" t="str">
        <f t="shared" ref="C192:C255" si="104">COMPLEX(0,2*PI()*B192,"j")</f>
        <v>228128.669909085j</v>
      </c>
      <c r="D192" s="86">
        <f t="shared" ref="D192:D255" si="105">(IMPRODUCT(C192,C192))/wn^2 + 1</f>
        <v>0.97890789218309737</v>
      </c>
      <c r="E192" s="86" t="str">
        <f t="shared" ref="E192:E255" si="106">IMDIV(C192,wn*Qn)</f>
        <v>-0.228128669909085j</v>
      </c>
      <c r="F192" s="86" t="str">
        <f t="shared" ref="F192:F255" si="107">IMSUM(D192,E192)</f>
        <v>0.978907892183097-0.228128669909085j</v>
      </c>
      <c r="G192" s="86">
        <f t="shared" ref="G192:G255" si="108">20*LOG(IMABS(F192),10)</f>
        <v>4.4517936481275389E-2</v>
      </c>
      <c r="H192" s="86">
        <f t="shared" ref="H192:H255" si="109">(IMARGUMENT(F192)*(180/PI()))</f>
        <v>-13.118302956365682</v>
      </c>
      <c r="J192" s="86">
        <f t="shared" ref="J192:J255" si="110">Vin/(Rout+DCR/1000)</f>
        <v>17.283950617283953</v>
      </c>
      <c r="K192" s="86" t="str">
        <f t="shared" ref="K192:K255" si="111">IMSUM(1,IMPRODUCT(C192,ncap*(Cap*10^-6)*(Rout+(ESR/(ncap*1000)))))</f>
        <v>1+2.7546536891522j</v>
      </c>
      <c r="L192" s="86">
        <f t="shared" ref="L192:L255" si="112">(IMPRODUCT(C192,C192))/Gdo^2 + 1</f>
        <v>-0.55164316584307671</v>
      </c>
      <c r="M192" s="86" t="str">
        <f t="shared" ref="M192:M255" si="113">IMDIV(C192,Q*Gdo)</f>
        <v>0.614398386921814j</v>
      </c>
      <c r="N192" s="86" t="str">
        <f t="shared" ref="N192:N255" si="114">IMSUM(L192,M192)</f>
        <v>-0.551643165843077+0.614398386921814j</v>
      </c>
      <c r="O192" s="86" t="str">
        <f t="shared" ref="O192:O255" si="115">IMDIV(K192,N192)</f>
        <v>1.67324588743674-3.12994744047762j</v>
      </c>
      <c r="P192" s="86" t="str">
        <f t="shared" ref="P192:P255" si="116">IMPRODUCT(J192,O192)</f>
        <v>28.9202992890301-54.0978569959095j</v>
      </c>
      <c r="R192" s="86">
        <f t="shared" ref="R192:R255" si="117">Vin/(1+((DCR*10^-3)/Rout))</f>
        <v>6.9135802469135808</v>
      </c>
      <c r="S192" s="86" t="str">
        <f t="shared" ref="S192:S255" si="118">IMSUM(1,IMPRODUCT(C192,ncap*(Cap*10^-6)*(ESR/(ncap*1000))))</f>
        <v>1+0.0171096502431814j</v>
      </c>
      <c r="T192" s="86" t="str">
        <f t="shared" ref="T192:T255" si="119">IMSUM(L192,M192)</f>
        <v>-0.551643165843077+0.614398386921814j</v>
      </c>
      <c r="U192" s="86" t="str">
        <f t="shared" ref="U192:U255" si="120">IMDIV(S192,T192)</f>
        <v>-0.793685168785489-0.9149910103524j</v>
      </c>
      <c r="V192" s="86" t="str">
        <f t="shared" ref="V192:V255" si="121">IMPRODUCT(R192,U192)</f>
        <v>-5.48720610518363-6.32586377527585j</v>
      </c>
      <c r="X192" s="86" t="str">
        <f t="shared" ref="X192:X255" si="122">IMPRODUCT(Fm,Dmax,P192,F192)</f>
        <v>0.489678989135159-1.82619170447092j</v>
      </c>
      <c r="Y192" s="86">
        <f t="shared" ref="Y192:Y255" si="123">20*LOG(IMABS(X192),10)</f>
        <v>5.5324709065291557</v>
      </c>
      <c r="Z192" s="86">
        <f t="shared" ref="Z192:Z255" si="124">IF((IMARGUMENT(X192)*(180/PI()))&lt;0,(IMARGUMENT(X192)*(180/PI()))+180,(IMARGUMENT(X192)*(180/PI()))-180)</f>
        <v>105.01031512980792</v>
      </c>
      <c r="AB192" s="86" t="str">
        <f t="shared" ref="AB192:AB255" si="125">IMPRODUCT(Fm,V192)</f>
        <v>-1.89057542212777-2.17952858850463j</v>
      </c>
      <c r="AC192" s="86">
        <f t="shared" ref="AC192:AC255" si="126">20*LOG(IMABS(AB192),10)</f>
        <v>9.2036443345683221</v>
      </c>
      <c r="AD192" s="86">
        <f t="shared" ref="AD192:AD255" si="127">IF((IMARGUMENT(AB192)*(180/PI()))&lt;0,(IMARGUMENT(AB192)*(180/PI()))+180,(IMARGUMENT(AB192)*(180/PI()))-180)</f>
        <v>49.060846131879515</v>
      </c>
      <c r="AF192" s="86" t="str">
        <f t="shared" ref="AF192:AF255" si="128">IMDIV(AB192,IMSUM(1,X192))</f>
        <v>0.209553740529519-1.20619495811775j</v>
      </c>
      <c r="AG192" s="86">
        <f t="shared" ref="AG192:AG255" si="129">20*LOG(IMABS(AF192),10)</f>
        <v>1.7574920351924619</v>
      </c>
      <c r="AH192" s="86">
        <f t="shared" ref="AH192:AH255" si="130">IF((IMARGUMENT(AF192)*(180/PI()))&lt;0,(IMARGUMENT(AF192)*(180/PI()))+180,(IMARGUMENT(AF192)*(180/PI()))-180)</f>
        <v>99.855695627526472</v>
      </c>
      <c r="AJ192" s="86" t="str">
        <f t="shared" ref="AJ192:AJ255" si="131">IMDIV(_Rfb1,IMSUM(1,IMPRODUCT(C192,_Cfb1*_Rfb1)))</f>
        <v>9886.34430969633-1060.01853148811j</v>
      </c>
      <c r="AK192" s="86" t="str">
        <f t="shared" ref="AK192:AK255" si="132">IMDIV(_Rfb2,IMSUM(1,IMPRODUCT(C192,_Cfb2*_Rfb2)))</f>
        <v>20000-0.000091251467963634j</v>
      </c>
      <c r="AL192" s="86" t="str">
        <f t="shared" si="95"/>
        <v>10000-97410.9138981891j</v>
      </c>
      <c r="AM192" s="86" t="str">
        <f t="shared" si="96"/>
        <v>958.335525499508-30298.8220469838j</v>
      </c>
      <c r="AN192" s="86" t="str">
        <f t="shared" si="97"/>
        <v>10958.3355254995-30298.8220469838j</v>
      </c>
      <c r="AO192" s="86" t="str">
        <f t="shared" si="98"/>
        <v>13400.6133671612-6458.79817472965j</v>
      </c>
      <c r="AP192" s="86" t="str">
        <f t="shared" si="99"/>
        <v>0.668361153975242+0.023705648684779j</v>
      </c>
      <c r="AQ192" s="86" t="str">
        <f t="shared" ref="AQ192:AQ255" si="133">IMSUM(1,IMPRODUCT(C192,_res1*_Cap1))</f>
        <v>1+13.2770885887087j</v>
      </c>
      <c r="AR192" s="86">
        <f t="shared" ref="AR192:AR255" si="134">(IMPRODUCT(C192,C192))*_res1*_Cap1*_cap2 + (1/Roerr)</f>
        <v>-3.624661472008662E-5</v>
      </c>
      <c r="AS192" s="86" t="str">
        <f t="shared" ref="AS192:AS255" si="135">IMPRODUCT(C192,(_Cap1+_cap2+(_Cap1*_res1/Roerr)))</f>
        <v>0.00111048930195684j</v>
      </c>
      <c r="AT192" s="86" t="str">
        <f t="shared" ref="AT192:AT255" si="136">IMSUM(AR192,AS192)</f>
        <v>-0.0000362466147200866+0.00111048930195684j</v>
      </c>
      <c r="AU192" s="86" t="str">
        <f t="shared" ref="AU192:AU255" si="137">IMPRODUCT(EA_BW,IMDIV(AQ192,AT192))</f>
        <v>1.78709776044907-0.193406855529054j</v>
      </c>
      <c r="AW192" s="86" t="str">
        <f t="shared" si="100"/>
        <v>1.1572231454007-0.27070959011927j</v>
      </c>
      <c r="AX192" s="86">
        <f t="shared" ref="AX192:AX255" si="138">20*LOG(IMABS(AW192),10)</f>
        <v>1.4997280329345815</v>
      </c>
      <c r="AY192" s="86">
        <f t="shared" ref="AY192:AY255" si="139">IF((IMARGUMENT(AW192)*(180/PI()))&lt;0,(IMARGUMENT(AW192)*(180/PI()))+180,(IMARGUMENT(AW192)*(180/PI()))-180)</f>
        <v>166.83354283140272</v>
      </c>
      <c r="AZ192" s="86" t="str">
        <f t="shared" ref="AZ192:AZ255" si="140">IMPRODUCT(AW192,Fm,V192)</f>
        <v>-2.77783692745927-2.01040403106631j</v>
      </c>
      <c r="BA192" s="86">
        <f t="shared" ref="BA192:BA255" si="141">20*LOG(IMABS(AZ192),10)</f>
        <v>10.70337236750291</v>
      </c>
      <c r="BB192" s="86">
        <f t="shared" ref="BB192:BB255" si="142">IF((IMARGUMENT(AZ192)*(180/PI()))&lt;0,(IMARGUMENT(AZ192)*(180/PI()))+180,(IMARGUMENT(AZ192)*(180/PI()))-180)</f>
        <v>35.894388963282381</v>
      </c>
      <c r="BD192" s="86" t="str">
        <f t="shared" ref="BD192:BD255" si="143">IMDIV(AZ192,IMSUM(1,X192))</f>
        <v>-0.0840281039699287-1.45256493060619j</v>
      </c>
      <c r="BE192" s="86">
        <f t="shared" ref="BE192:BE255" si="144">20*LOG(IMABS(BD192),10)</f>
        <v>3.2572200681270158</v>
      </c>
      <c r="BF192" s="86">
        <f t="shared" ref="BF192:BF255" si="145">IF((IMARGUMENT(BD192)*(180/PI()))&lt;0,(IMARGUMENT(BD192)*(180/PI()))+180,(IMARGUMENT(BD192)*(180/PI()))-180)</f>
        <v>86.68923845892941</v>
      </c>
      <c r="BH192" s="86">
        <f t="shared" si="101"/>
        <v>-2.2572200681270158</v>
      </c>
      <c r="BI192" s="159">
        <f t="shared" si="102"/>
        <v>-86.68923845892941</v>
      </c>
      <c r="BJ192" s="88"/>
      <c r="BK192" s="88"/>
      <c r="BL192" s="88"/>
      <c r="BM192" s="88"/>
      <c r="BN192" s="42"/>
      <c r="BO192" s="42"/>
      <c r="BP192" s="42"/>
    </row>
    <row r="193" spans="1:68" s="86" customFormat="1">
      <c r="A193" s="86">
        <v>129</v>
      </c>
      <c r="B193" s="86">
        <f t="shared" si="103"/>
        <v>38018.939632056165</v>
      </c>
      <c r="C193" s="86" t="str">
        <f t="shared" si="104"/>
        <v>238880.042890683j</v>
      </c>
      <c r="D193" s="86">
        <f t="shared" si="105"/>
        <v>0.97687296366806509</v>
      </c>
      <c r="E193" s="86" t="str">
        <f t="shared" si="106"/>
        <v>-0.238880042890683j</v>
      </c>
      <c r="F193" s="86" t="str">
        <f t="shared" si="107"/>
        <v>0.976872963668065-0.238880042890683j</v>
      </c>
      <c r="G193" s="86">
        <f t="shared" si="108"/>
        <v>4.8991006776913648E-2</v>
      </c>
      <c r="H193" s="86">
        <f t="shared" si="109"/>
        <v>-13.741186950133629</v>
      </c>
      <c r="J193" s="86">
        <f t="shared" si="110"/>
        <v>17.283950617283953</v>
      </c>
      <c r="K193" s="86" t="str">
        <f t="shared" si="111"/>
        <v>1+2.884476517905j</v>
      </c>
      <c r="L193" s="86">
        <f t="shared" si="112"/>
        <v>-0.70134289954151341</v>
      </c>
      <c r="M193" s="86" t="str">
        <f t="shared" si="113"/>
        <v>0.643354090822253j</v>
      </c>
      <c r="N193" s="86" t="str">
        <f t="shared" si="114"/>
        <v>-0.701342899541513+0.643354090822253j</v>
      </c>
      <c r="O193" s="86" t="str">
        <f t="shared" si="115"/>
        <v>1.27446927138631-2.94369772600679j</v>
      </c>
      <c r="P193" s="86" t="str">
        <f t="shared" si="116"/>
        <v>22.0278639498868-50.8787261285124j</v>
      </c>
      <c r="R193" s="86">
        <f t="shared" si="117"/>
        <v>6.9135802469135808</v>
      </c>
      <c r="S193" s="86" t="str">
        <f t="shared" si="118"/>
        <v>1+0.0179160032168012j</v>
      </c>
      <c r="T193" s="86" t="str">
        <f t="shared" si="119"/>
        <v>-0.701342899541513+0.643354090822253j</v>
      </c>
      <c r="U193" s="86" t="str">
        <f t="shared" si="120"/>
        <v>-0.761566528803487-0.724143561284841j</v>
      </c>
      <c r="V193" s="86" t="str">
        <f t="shared" si="121"/>
        <v>-5.26515131024633-5.00642462122853j</v>
      </c>
      <c r="X193" s="86" t="str">
        <f t="shared" si="122"/>
        <v>0.287156011906644-1.68543348500206j</v>
      </c>
      <c r="Y193" s="86">
        <f t="shared" si="123"/>
        <v>4.6585030037398329</v>
      </c>
      <c r="Z193" s="86">
        <f t="shared" si="124"/>
        <v>99.668935749655859</v>
      </c>
      <c r="AB193" s="86" t="str">
        <f t="shared" si="125"/>
        <v>-1.81406811957219-1.72492579287091j</v>
      </c>
      <c r="AC193" s="86">
        <f t="shared" si="126"/>
        <v>7.9700509319299151</v>
      </c>
      <c r="AD193" s="86">
        <f t="shared" si="127"/>
        <v>43.557104233717268</v>
      </c>
      <c r="AF193" s="86" t="str">
        <f t="shared" si="128"/>
        <v>0.127240583120556-1.17349430795953j</v>
      </c>
      <c r="AG193" s="86">
        <f t="shared" si="129"/>
        <v>1.4403810902523364</v>
      </c>
      <c r="AH193" s="86">
        <f t="shared" si="130"/>
        <v>96.188336666773793</v>
      </c>
      <c r="AJ193" s="86" t="str">
        <f t="shared" si="131"/>
        <v>9875.51551463715-1108.75987776094j</v>
      </c>
      <c r="AK193" s="86" t="str">
        <f t="shared" si="132"/>
        <v>20000-0.0000955520171562732j</v>
      </c>
      <c r="AL193" s="86" t="str">
        <f t="shared" ref="AL193:AL256" si="146">IMDIV(IMSUM(1,IMPRODUCT(C193,10000,0.000000000045)),IMPRODUCT(C193,0.000000000045))</f>
        <v>10000-93026.7005703431j</v>
      </c>
      <c r="AM193" s="86" t="str">
        <f t="shared" ref="AM193:AM256" si="147">IMDIV(AL193,IMSUM(1,IMPRODUCT(C193,AL193,0.0000000001)))</f>
        <v>957.874616525515-28941.3675620138j</v>
      </c>
      <c r="AN193" s="86" t="str">
        <f t="shared" ref="AN193:AN256" si="148">IMSUM(10000,AM193)</f>
        <v>10957.8746165255-28941.3675620138j</v>
      </c>
      <c r="AO193" s="86" t="str">
        <f t="shared" ref="AO193:AO256" si="149">IMDIV(IMPRODUCT(AN193,AK193),IMSUM(AN193,AK193))</f>
        <v>13105.12257362-6445.76490338919j</v>
      </c>
      <c r="AP193" s="86" t="str">
        <f t="shared" ref="AP193:AP256" si="150">IMDIV(AK193,IMSUM(AJ193,AK193))</f>
        <v>0.668523724272757+0.0248106932504166j</v>
      </c>
      <c r="AQ193" s="86" t="str">
        <f t="shared" si="133"/>
        <v>1+13.9028184962377j</v>
      </c>
      <c r="AR193" s="86">
        <f t="shared" si="134"/>
        <v>-3.9753270544191817E-5</v>
      </c>
      <c r="AS193" s="86" t="str">
        <f t="shared" si="135"/>
        <v>0.00116282505038412j</v>
      </c>
      <c r="AT193" s="86" t="str">
        <f t="shared" si="136"/>
        <v>-0.0000397532705441918+0.00116282505038412j</v>
      </c>
      <c r="AU193" s="86" t="str">
        <f t="shared" si="137"/>
        <v>1.78691220417121-0.190085003946312j</v>
      </c>
      <c r="AW193" s="86" t="str">
        <f t="shared" ref="AW193:AW256" si="151">IMDIV(IMPRODUCT(AP193,AU193),IMPRODUCT(IMSUM(1,IMPRODUCT(C193,1/1500000)),IMSUM(1,IMPRODUCT(C193,1/35000000))))</f>
        <v>1.15491836571524-0.27484766032623j</v>
      </c>
      <c r="AX193" s="86">
        <f t="shared" si="138"/>
        <v>1.4902738564785378</v>
      </c>
      <c r="AY193" s="86">
        <f t="shared" si="139"/>
        <v>166.61374203465485</v>
      </c>
      <c r="AZ193" s="86" t="str">
        <f t="shared" si="140"/>
        <v>-2.56919240635937-1.49355609934572j</v>
      </c>
      <c r="BA193" s="86">
        <f t="shared" si="141"/>
        <v>9.460324788408462</v>
      </c>
      <c r="BB193" s="86">
        <f t="shared" si="142"/>
        <v>30.170846268372202</v>
      </c>
      <c r="BD193" s="86" t="str">
        <f t="shared" si="143"/>
        <v>-0.175579678638579-1.39026190489399j</v>
      </c>
      <c r="BE193" s="86">
        <f t="shared" si="144"/>
        <v>2.9306549467308933</v>
      </c>
      <c r="BF193" s="86">
        <f t="shared" si="145"/>
        <v>82.802078701428655</v>
      </c>
      <c r="BH193" s="86">
        <f t="shared" ref="BH193:BH256" si="152">1-BE193</f>
        <v>-1.9306549467308933</v>
      </c>
      <c r="BI193" s="159">
        <f t="shared" ref="BI193:BI256" si="153">+-1*BF193</f>
        <v>-82.802078701428655</v>
      </c>
      <c r="BJ193" s="88"/>
      <c r="BK193" s="88"/>
      <c r="BL193" s="88"/>
      <c r="BM193" s="88"/>
      <c r="BN193" s="42"/>
      <c r="BO193" s="42"/>
      <c r="BP193" s="42"/>
    </row>
    <row r="194" spans="1:68" s="86" customFormat="1">
      <c r="A194" s="86">
        <v>130</v>
      </c>
      <c r="B194" s="86">
        <f t="shared" si="103"/>
        <v>39810.717055349764</v>
      </c>
      <c r="C194" s="86" t="str">
        <f t="shared" si="104"/>
        <v>250138.112470457j</v>
      </c>
      <c r="D194" s="86">
        <f t="shared" si="105"/>
        <v>0.97464170892062219</v>
      </c>
      <c r="E194" s="86" t="str">
        <f t="shared" si="106"/>
        <v>-0.250138112470457j</v>
      </c>
      <c r="F194" s="86" t="str">
        <f t="shared" si="107"/>
        <v>0.974641708920622-0.250138112470457j</v>
      </c>
      <c r="G194" s="86">
        <f t="shared" si="108"/>
        <v>5.3931171598235503E-2</v>
      </c>
      <c r="H194" s="86">
        <f t="shared" si="109"/>
        <v>-14.394079664411857</v>
      </c>
      <c r="J194" s="86">
        <f t="shared" si="110"/>
        <v>17.283950617283953</v>
      </c>
      <c r="K194" s="86" t="str">
        <f t="shared" si="111"/>
        <v>1+3.02041770808077j</v>
      </c>
      <c r="L194" s="86">
        <f t="shared" si="112"/>
        <v>-0.86548539351028886</v>
      </c>
      <c r="M194" s="86" t="str">
        <f t="shared" si="113"/>
        <v>0.673674435005311j</v>
      </c>
      <c r="N194" s="86" t="str">
        <f t="shared" si="114"/>
        <v>-0.865485393510289+0.673674435005311j</v>
      </c>
      <c r="O194" s="86" t="str">
        <f t="shared" si="115"/>
        <v>0.972059731042387-2.73322454164705j</v>
      </c>
      <c r="P194" s="86" t="str">
        <f t="shared" si="116"/>
        <v>16.8010323883869-47.2409180037762j</v>
      </c>
      <c r="R194" s="86">
        <f t="shared" si="117"/>
        <v>6.9135802469135808</v>
      </c>
      <c r="S194" s="86" t="str">
        <f t="shared" si="118"/>
        <v>1+0.0187603584352843j</v>
      </c>
      <c r="T194" s="86" t="str">
        <f t="shared" si="119"/>
        <v>-0.865485393510289+0.673674435005311j</v>
      </c>
      <c r="U194" s="86" t="str">
        <f t="shared" si="120"/>
        <v>-0.708991148251781-0.573538933619991j</v>
      </c>
      <c r="V194" s="86" t="str">
        <f t="shared" si="121"/>
        <v>-4.90166719779009-3.96520744231105j</v>
      </c>
      <c r="X194" s="86" t="str">
        <f t="shared" si="122"/>
        <v>0.139774918806939-1.54074343127051j</v>
      </c>
      <c r="Y194" s="86">
        <f t="shared" si="123"/>
        <v>3.7902024926632221</v>
      </c>
      <c r="Z194" s="86">
        <f t="shared" si="124"/>
        <v>95.183634536862655</v>
      </c>
      <c r="AB194" s="86" t="str">
        <f t="shared" si="125"/>
        <v>-1.68883241379207-1.36618227753275j</v>
      </c>
      <c r="AC194" s="86">
        <f t="shared" si="126"/>
        <v>6.7381398594607695</v>
      </c>
      <c r="AD194" s="86">
        <f t="shared" si="127"/>
        <v>38.971153824346402</v>
      </c>
      <c r="AF194" s="86" t="str">
        <f t="shared" si="128"/>
        <v>0.0490195102158438-1.13237777728482j</v>
      </c>
      <c r="AG194" s="86">
        <f t="shared" si="129"/>
        <v>1.0879575506567909</v>
      </c>
      <c r="AH194" s="86">
        <f t="shared" si="130"/>
        <v>92.478729879354347</v>
      </c>
      <c r="AJ194" s="86" t="str">
        <f t="shared" si="131"/>
        <v>9863.66920984668-1159.62141114649j</v>
      </c>
      <c r="AK194" s="86" t="str">
        <f t="shared" si="132"/>
        <v>20000-0.000100055244988183j</v>
      </c>
      <c r="AL194" s="86" t="str">
        <f t="shared" si="146"/>
        <v>10000-88839.8093467134j</v>
      </c>
      <c r="AM194" s="86" t="str">
        <f t="shared" si="147"/>
        <v>957.369749185662-27645.2950371862j</v>
      </c>
      <c r="AN194" s="86" t="str">
        <f t="shared" si="148"/>
        <v>10957.3697491857-27645.2950371862j</v>
      </c>
      <c r="AO194" s="86" t="str">
        <f t="shared" si="149"/>
        <v>12811.5659804412-6419.35606127371j</v>
      </c>
      <c r="AP194" s="86" t="str">
        <f t="shared" si="150"/>
        <v>0.668701795965367+0.0259660285437982j</v>
      </c>
      <c r="AQ194" s="86" t="str">
        <f t="shared" si="133"/>
        <v>1+14.5580381457806j</v>
      </c>
      <c r="AR194" s="86">
        <f t="shared" si="134"/>
        <v>-4.3598242196701644E-5</v>
      </c>
      <c r="AS194" s="86" t="str">
        <f t="shared" si="135"/>
        <v>0.00121762730664594j</v>
      </c>
      <c r="AT194" s="86" t="str">
        <f t="shared" si="136"/>
        <v>-0.0000435982421967016+0.00121762730664594j</v>
      </c>
      <c r="AU194" s="86" t="str">
        <f t="shared" si="137"/>
        <v>1.78670898672843-0.187165128356206j</v>
      </c>
      <c r="AW194" s="86" t="str">
        <f t="shared" si="151"/>
        <v>1.1524012231957-0.279505996528334j</v>
      </c>
      <c r="AX194" s="86">
        <f t="shared" si="138"/>
        <v>1.4803232490161751</v>
      </c>
      <c r="AY194" s="86">
        <f t="shared" si="139"/>
        <v>166.36661876638306</v>
      </c>
      <c r="AZ194" s="86" t="str">
        <f t="shared" si="140"/>
        <v>-2.32806867834766-1.10235134095072j</v>
      </c>
      <c r="BA194" s="86">
        <f t="shared" si="141"/>
        <v>8.2184631084769126</v>
      </c>
      <c r="BB194" s="86">
        <f t="shared" si="142"/>
        <v>25.337772590729458</v>
      </c>
      <c r="BD194" s="86" t="str">
        <f t="shared" si="143"/>
        <v>-0.26001623555334-1.31865478271486j</v>
      </c>
      <c r="BE194" s="86">
        <f t="shared" si="144"/>
        <v>2.5682807996729329</v>
      </c>
      <c r="BF194" s="86">
        <f t="shared" si="145"/>
        <v>78.845348645737388</v>
      </c>
      <c r="BH194" s="86">
        <f t="shared" si="152"/>
        <v>-1.5682807996729329</v>
      </c>
      <c r="BI194" s="159">
        <f t="shared" si="153"/>
        <v>-78.845348645737388</v>
      </c>
      <c r="BJ194" s="88"/>
      <c r="BK194" s="88"/>
      <c r="BL194" s="88"/>
      <c r="BM194" s="88"/>
      <c r="BN194" s="42"/>
      <c r="BO194" s="42"/>
      <c r="BP194" s="42"/>
    </row>
    <row r="195" spans="1:68" s="86" customFormat="1">
      <c r="A195" s="86">
        <v>131</v>
      </c>
      <c r="B195" s="86">
        <f t="shared" si="103"/>
        <v>41686.938347033574</v>
      </c>
      <c r="C195" s="86" t="str">
        <f t="shared" si="104"/>
        <v>261926.758523383j</v>
      </c>
      <c r="D195" s="86">
        <f t="shared" si="105"/>
        <v>0.97219518674000982</v>
      </c>
      <c r="E195" s="86" t="str">
        <f t="shared" si="106"/>
        <v>-0.261926758523383j</v>
      </c>
      <c r="F195" s="86" t="str">
        <f t="shared" si="107"/>
        <v>0.97219518674001-0.261926758523383j</v>
      </c>
      <c r="G195" s="86">
        <f t="shared" si="108"/>
        <v>5.9390530633325368E-2</v>
      </c>
      <c r="H195" s="86">
        <f t="shared" si="109"/>
        <v>-15.078483359218767</v>
      </c>
      <c r="J195" s="86">
        <f t="shared" si="110"/>
        <v>17.283950617283953</v>
      </c>
      <c r="K195" s="86" t="str">
        <f t="shared" si="111"/>
        <v>1+3.16276560916985j</v>
      </c>
      <c r="L195" s="86">
        <f t="shared" si="112"/>
        <v>-1.0454640592076334</v>
      </c>
      <c r="M195" s="86" t="str">
        <f t="shared" si="113"/>
        <v>0.705423732986124j</v>
      </c>
      <c r="N195" s="86" t="str">
        <f t="shared" si="114"/>
        <v>-1.04546405920763+0.705423732986124j</v>
      </c>
      <c r="O195" s="86" t="str">
        <f t="shared" si="115"/>
        <v>0.745387048032552-2.52227885980681j</v>
      </c>
      <c r="P195" s="86" t="str">
        <f t="shared" si="116"/>
        <v>12.8832329289577-43.5949432559202j</v>
      </c>
      <c r="R195" s="86">
        <f t="shared" si="117"/>
        <v>6.9135802469135808</v>
      </c>
      <c r="S195" s="86" t="str">
        <f t="shared" si="118"/>
        <v>1+0.0196445068892537j</v>
      </c>
      <c r="T195" s="86" t="str">
        <f t="shared" si="119"/>
        <v>-1.04546405920763+0.705423732986124j</v>
      </c>
      <c r="U195" s="86" t="str">
        <f t="shared" si="120"/>
        <v>-0.648557054586552-0.456402150975734j</v>
      </c>
      <c r="V195" s="86" t="str">
        <f t="shared" si="121"/>
        <v>-4.48385124158604-3.1553728956347j</v>
      </c>
      <c r="X195" s="86" t="str">
        <f t="shared" si="122"/>
        <v>0.0339249597799298-1.40311325529196j</v>
      </c>
      <c r="Y195" s="86">
        <f t="shared" si="123"/>
        <v>2.9443926601469625</v>
      </c>
      <c r="Z195" s="86">
        <f t="shared" si="124"/>
        <v>91.385047409701215</v>
      </c>
      <c r="AB195" s="86" t="str">
        <f t="shared" si="125"/>
        <v>-1.54487708158284-1.08715990064591j</v>
      </c>
      <c r="AC195" s="86">
        <f t="shared" si="126"/>
        <v>5.5249322791911961</v>
      </c>
      <c r="AD195" s="86">
        <f t="shared" si="127"/>
        <v>35.13479273917855</v>
      </c>
      <c r="AF195" s="86" t="str">
        <f t="shared" si="128"/>
        <v>-0.023661932860984-1.08359921258449j</v>
      </c>
      <c r="AG195" s="86">
        <f t="shared" si="129"/>
        <v>0.69944396592077496</v>
      </c>
      <c r="AH195" s="86">
        <f t="shared" si="130"/>
        <v>88.749063814258434</v>
      </c>
      <c r="AJ195" s="86" t="str">
        <f t="shared" si="131"/>
        <v>9850.71261806172-1212.67765584132j</v>
      </c>
      <c r="AK195" s="86" t="str">
        <f t="shared" si="132"/>
        <v>20000-0.000104770703409353j</v>
      </c>
      <c r="AL195" s="86" t="str">
        <f t="shared" si="146"/>
        <v>10000-84841.3592696694j</v>
      </c>
      <c r="AM195" s="86" t="str">
        <f t="shared" si="147"/>
        <v>956.816784499085-26407.8543688553j</v>
      </c>
      <c r="AN195" s="86" t="str">
        <f t="shared" si="148"/>
        <v>10956.8167844991-26407.8543688553j</v>
      </c>
      <c r="AO195" s="86" t="str">
        <f t="shared" si="149"/>
        <v>12521.1498554427-6379.86737056759j</v>
      </c>
      <c r="AP195" s="86" t="str">
        <f t="shared" si="150"/>
        <v>0.668896827921868+0.0271737634197472j</v>
      </c>
      <c r="AQ195" s="86" t="str">
        <f t="shared" si="133"/>
        <v>1+15.2441373460609j</v>
      </c>
      <c r="AR195" s="86">
        <f t="shared" si="134"/>
        <v>-4.7814169778467706E-5</v>
      </c>
      <c r="AS195" s="86" t="str">
        <f t="shared" si="135"/>
        <v>0.00127501231367529j</v>
      </c>
      <c r="AT195" s="86" t="str">
        <f t="shared" si="136"/>
        <v>-0.0000478141697784677+0.00127501231367529j</v>
      </c>
      <c r="AU195" s="86" t="str">
        <f t="shared" si="137"/>
        <v>1.78648639568868-0.184640855076742j</v>
      </c>
      <c r="AW195" s="86" t="str">
        <f t="shared" si="151"/>
        <v>1.14965313258287-0.284685658095961j</v>
      </c>
      <c r="AX195" s="86">
        <f t="shared" si="138"/>
        <v>1.4697973531840891</v>
      </c>
      <c r="AY195" s="86">
        <f t="shared" si="139"/>
        <v>166.09176931144557</v>
      </c>
      <c r="AZ195" s="86" t="str">
        <f t="shared" si="140"/>
        <v>-2.08557160806812-0.810052436748278j</v>
      </c>
      <c r="BA195" s="86">
        <f t="shared" si="141"/>
        <v>6.9947296323753108</v>
      </c>
      <c r="BB195" s="86">
        <f t="shared" si="142"/>
        <v>21.226562050624182</v>
      </c>
      <c r="BD195" s="86" t="str">
        <f t="shared" si="143"/>
        <v>-0.335688170183477-1.23902701628375j</v>
      </c>
      <c r="BE195" s="86">
        <f t="shared" si="144"/>
        <v>2.1692413191049424</v>
      </c>
      <c r="BF195" s="86">
        <f t="shared" si="145"/>
        <v>74.840833125704108</v>
      </c>
      <c r="BH195" s="86">
        <f t="shared" si="152"/>
        <v>-1.1692413191049424</v>
      </c>
      <c r="BI195" s="159">
        <f t="shared" si="153"/>
        <v>-74.840833125704108</v>
      </c>
      <c r="BJ195" s="88"/>
      <c r="BK195" s="88"/>
      <c r="BL195" s="88"/>
      <c r="BM195" s="88"/>
      <c r="BN195" s="42"/>
      <c r="BO195" s="42"/>
      <c r="BP195" s="42"/>
    </row>
    <row r="196" spans="1:68" s="86" customFormat="1">
      <c r="A196" s="86">
        <v>132</v>
      </c>
      <c r="B196" s="86">
        <f t="shared" si="103"/>
        <v>43651.58322401662</v>
      </c>
      <c r="C196" s="86" t="str">
        <f t="shared" si="104"/>
        <v>274270.986348268j</v>
      </c>
      <c r="D196" s="86">
        <f t="shared" si="105"/>
        <v>0.96951262851258802</v>
      </c>
      <c r="E196" s="86" t="str">
        <f t="shared" si="106"/>
        <v>-0.274270986348268j</v>
      </c>
      <c r="F196" s="86" t="str">
        <f t="shared" si="107"/>
        <v>0.969512628512588-0.274270986348268j</v>
      </c>
      <c r="G196" s="86">
        <f t="shared" si="108"/>
        <v>6.5427583204041406E-2</v>
      </c>
      <c r="H196" s="86">
        <f t="shared" si="109"/>
        <v>-15.795981871138268</v>
      </c>
      <c r="J196" s="86">
        <f t="shared" si="110"/>
        <v>17.283950617283953</v>
      </c>
      <c r="K196" s="86" t="str">
        <f t="shared" si="111"/>
        <v>1+3.31182216015534j</v>
      </c>
      <c r="L196" s="86">
        <f t="shared" si="112"/>
        <v>-1.2428067419156918</v>
      </c>
      <c r="M196" s="86" t="str">
        <f t="shared" si="113"/>
        <v>0.738669329282403j</v>
      </c>
      <c r="N196" s="86" t="str">
        <f t="shared" si="114"/>
        <v>-1.24280674191569+0.738669329282403j</v>
      </c>
      <c r="O196" s="86" t="str">
        <f t="shared" si="115"/>
        <v>0.57579855993676-2.32256337750129j</v>
      </c>
      <c r="P196" s="86" t="str">
        <f t="shared" si="116"/>
        <v>9.95207387545017-40.1430707222445j</v>
      </c>
      <c r="R196" s="86">
        <f t="shared" si="117"/>
        <v>6.9135802469135808</v>
      </c>
      <c r="S196" s="86" t="str">
        <f t="shared" si="118"/>
        <v>1+0.0205703239761201j</v>
      </c>
      <c r="T196" s="86" t="str">
        <f t="shared" si="119"/>
        <v>-1.24280674191569+0.738669329282403j</v>
      </c>
      <c r="U196" s="86" t="str">
        <f t="shared" si="120"/>
        <v>-0.5873177214678-0.365627169569406j</v>
      </c>
      <c r="V196" s="86" t="str">
        <f t="shared" si="121"/>
        <v>-4.06046819780207-2.52779277726997j</v>
      </c>
      <c r="X196" s="86" t="str">
        <f t="shared" si="122"/>
        <v>-0.0417469090032464-1.27712973491467j</v>
      </c>
      <c r="Y196" s="86">
        <f t="shared" si="123"/>
        <v>2.1293383332951268</v>
      </c>
      <c r="Z196" s="86">
        <f t="shared" si="124"/>
        <v>88.127778061073499</v>
      </c>
      <c r="AB196" s="86" t="str">
        <f t="shared" si="125"/>
        <v>-1.39900365139266-0.870931910580888j</v>
      </c>
      <c r="AC196" s="86">
        <f t="shared" si="126"/>
        <v>4.3388716707837567</v>
      </c>
      <c r="AD196" s="86">
        <f t="shared" si="127"/>
        <v>31.903802713749002</v>
      </c>
      <c r="AF196" s="86" t="str">
        <f t="shared" si="128"/>
        <v>-0.0895562296170366-1.02823235701411j</v>
      </c>
      <c r="AG196" s="86">
        <f t="shared" si="129"/>
        <v>0.2746462890230878</v>
      </c>
      <c r="AH196" s="86">
        <f t="shared" si="130"/>
        <v>85.022255696513511</v>
      </c>
      <c r="AJ196" s="86" t="str">
        <f t="shared" si="131"/>
        <v>9836.54506451817-1268.00309103916j</v>
      </c>
      <c r="AK196" s="86" t="str">
        <f t="shared" si="132"/>
        <v>20000-0.000109708394539307j</v>
      </c>
      <c r="AL196" s="86" t="str">
        <f t="shared" si="146"/>
        <v>10000-81022.869090515j</v>
      </c>
      <c r="AM196" s="86" t="str">
        <f t="shared" si="147"/>
        <v>956.211204497249-25226.4196802266j</v>
      </c>
      <c r="AN196" s="86" t="str">
        <f t="shared" si="148"/>
        <v>10956.2112044972-25226.4196802266j</v>
      </c>
      <c r="AO196" s="86" t="str">
        <f t="shared" si="149"/>
        <v>12235.0279809412-6327.72665633055j</v>
      </c>
      <c r="AP196" s="86" t="str">
        <f t="shared" si="150"/>
        <v>0.66911041245356+0.0284360683551527j</v>
      </c>
      <c r="AQ196" s="86" t="str">
        <f t="shared" si="133"/>
        <v>1+15.9625714054692j</v>
      </c>
      <c r="AR196" s="86">
        <f t="shared" si="134"/>
        <v>-5.2436842448392341E-5</v>
      </c>
      <c r="AS196" s="86" t="str">
        <f t="shared" si="135"/>
        <v>0.00133510179276583j</v>
      </c>
      <c r="AT196" s="86" t="str">
        <f t="shared" si="136"/>
        <v>-0.0000524368424483923+0.00133510179276583j</v>
      </c>
      <c r="AU196" s="86" t="str">
        <f t="shared" si="137"/>
        <v>1.78624255671576-0.182506622971672j</v>
      </c>
      <c r="AW196" s="86" t="str">
        <f t="shared" si="151"/>
        <v>1.14665407911473-0.290387619428302j</v>
      </c>
      <c r="AX196" s="86">
        <f t="shared" si="138"/>
        <v>1.4586134249496689</v>
      </c>
      <c r="AY196" s="86">
        <f t="shared" si="139"/>
        <v>165.78875193362754</v>
      </c>
      <c r="AZ196" s="86" t="str">
        <f t="shared" si="140"/>
        <v>-1.85708108776353-0.592404287999343j</v>
      </c>
      <c r="BA196" s="86">
        <f t="shared" si="141"/>
        <v>5.7974850957334585</v>
      </c>
      <c r="BB196" s="86">
        <f t="shared" si="142"/>
        <v>17.692554647376454</v>
      </c>
      <c r="BD196" s="86" t="str">
        <f t="shared" si="143"/>
        <v>-0.401275962372994-1.15302080612452j</v>
      </c>
      <c r="BE196" s="86">
        <f t="shared" si="144"/>
        <v>1.7332597139727859</v>
      </c>
      <c r="BF196" s="86">
        <f t="shared" si="145"/>
        <v>70.811007630140921</v>
      </c>
      <c r="BH196" s="86">
        <f t="shared" si="152"/>
        <v>-0.73325971397278589</v>
      </c>
      <c r="BI196" s="159">
        <f t="shared" si="153"/>
        <v>-70.811007630140921</v>
      </c>
      <c r="BJ196" s="88"/>
      <c r="BK196" s="88"/>
      <c r="BL196" s="88"/>
      <c r="BM196" s="88"/>
      <c r="BN196" s="42"/>
      <c r="BO196" s="42"/>
      <c r="BP196" s="42"/>
    </row>
    <row r="197" spans="1:68" s="86" customFormat="1">
      <c r="A197" s="86">
        <v>133</v>
      </c>
      <c r="B197" s="86">
        <f t="shared" si="103"/>
        <v>45708.818961487559</v>
      </c>
      <c r="C197" s="86" t="str">
        <f t="shared" si="104"/>
        <v>287196.97970735j</v>
      </c>
      <c r="D197" s="86">
        <f t="shared" si="105"/>
        <v>0.96657126190633536</v>
      </c>
      <c r="E197" s="86" t="str">
        <f t="shared" si="106"/>
        <v>-0.28719697970735j</v>
      </c>
      <c r="F197" s="86" t="str">
        <f t="shared" si="107"/>
        <v>0.966571261906335-0.28719697970735j</v>
      </c>
      <c r="G197" s="86">
        <f t="shared" si="108"/>
        <v>7.2108107146442738E-2</v>
      </c>
      <c r="H197" s="86">
        <f t="shared" si="109"/>
        <v>-16.54824547469541</v>
      </c>
      <c r="J197" s="86">
        <f t="shared" si="110"/>
        <v>17.283950617283953</v>
      </c>
      <c r="K197" s="86" t="str">
        <f t="shared" si="111"/>
        <v>1+3.46790352996625j</v>
      </c>
      <c r="L197" s="86">
        <f t="shared" si="112"/>
        <v>-1.4591886906734928</v>
      </c>
      <c r="M197" s="86" t="str">
        <f t="shared" si="113"/>
        <v>0.773481742261215j</v>
      </c>
      <c r="N197" s="86" t="str">
        <f t="shared" si="114"/>
        <v>-1.45918869067349+0.773481742261215j</v>
      </c>
      <c r="O197" s="86" t="str">
        <f t="shared" si="115"/>
        <v>0.448457871349869-2.13888003261818j</v>
      </c>
      <c r="P197" s="86" t="str">
        <f t="shared" si="116"/>
        <v>7.75112370234342-36.9682968600673j</v>
      </c>
      <c r="R197" s="86">
        <f t="shared" si="117"/>
        <v>6.9135802469135808</v>
      </c>
      <c r="S197" s="86" t="str">
        <f t="shared" si="118"/>
        <v>1+0.0215397734780512j</v>
      </c>
      <c r="T197" s="86" t="str">
        <f t="shared" si="119"/>
        <v>-1.45918869067349+0.773481742261215j</v>
      </c>
      <c r="U197" s="86" t="str">
        <f t="shared" si="120"/>
        <v>-0.528881791363772-0.295109320449558j</v>
      </c>
      <c r="V197" s="86" t="str">
        <f t="shared" si="121"/>
        <v>-3.65646670572484-2.04026196854015j</v>
      </c>
      <c r="X197" s="86" t="str">
        <f t="shared" si="122"/>
        <v>-0.0958310745804566-1.16397283180336j</v>
      </c>
      <c r="Y197" s="86">
        <f t="shared" si="123"/>
        <v>1.3481957546515042</v>
      </c>
      <c r="Z197" s="86">
        <f t="shared" si="124"/>
        <v>85.293395088233723</v>
      </c>
      <c r="AB197" s="86" t="str">
        <f t="shared" si="125"/>
        <v>-1.25980798846639-0.702956852446303j</v>
      </c>
      <c r="AC197" s="86">
        <f t="shared" si="126"/>
        <v>3.1832727743260438</v>
      </c>
      <c r="AD197" s="86">
        <f t="shared" si="127"/>
        <v>29.160962138355188</v>
      </c>
      <c r="AF197" s="86" t="str">
        <f t="shared" si="128"/>
        <v>-0.147699927183106-0.967601883177773j</v>
      </c>
      <c r="AG197" s="86">
        <f t="shared" si="129"/>
        <v>-0.18603360276908729</v>
      </c>
      <c r="AH197" s="86">
        <f t="shared" si="130"/>
        <v>81.321060110193002</v>
      </c>
      <c r="AJ197" s="86" t="str">
        <f t="shared" si="131"/>
        <v>9821.05741673507-1325.67167298082j</v>
      </c>
      <c r="AK197" s="86" t="str">
        <f t="shared" si="132"/>
        <v>20000-0.00011487879188294j</v>
      </c>
      <c r="AL197" s="86" t="str">
        <f t="shared" si="146"/>
        <v>9999.99999999992-77376.2392796271j</v>
      </c>
      <c r="AM197" s="86" t="str">
        <f t="shared" si="147"/>
        <v>955.54807967643-24098.4837316786j</v>
      </c>
      <c r="AN197" s="86" t="str">
        <f t="shared" si="148"/>
        <v>10955.5480796764-24098.4837316786j</v>
      </c>
      <c r="AO197" s="86" t="str">
        <f t="shared" si="149"/>
        <v>11954.2838984336-6263.48330094228j</v>
      </c>
      <c r="AP197" s="86" t="str">
        <f t="shared" si="150"/>
        <v>0.669344286745909+0.0297551729982357j</v>
      </c>
      <c r="AQ197" s="86" t="str">
        <f t="shared" si="133"/>
        <v>1+16.7148642189678j</v>
      </c>
      <c r="AR197" s="86">
        <f t="shared" si="134"/>
        <v>-5.7505502238871957E-5</v>
      </c>
      <c r="AS197" s="86" t="str">
        <f t="shared" si="135"/>
        <v>0.00139802320175903j</v>
      </c>
      <c r="AT197" s="86" t="str">
        <f t="shared" si="136"/>
        <v>-0.000057505502238872+0.00139802320175903j</v>
      </c>
      <c r="AU197" s="86" t="str">
        <f t="shared" si="137"/>
        <v>1.78597541817345-0.180757667748564j</v>
      </c>
      <c r="AW197" s="86" t="str">
        <f t="shared" si="151"/>
        <v>1.14338254643358-0.296612623589739j</v>
      </c>
      <c r="AX197" s="86">
        <f t="shared" si="138"/>
        <v>1.4466843336267048</v>
      </c>
      <c r="AY197" s="86">
        <f t="shared" si="139"/>
        <v>165.45708816054253</v>
      </c>
      <c r="AZ197" s="86" t="str">
        <f t="shared" si="140"/>
        <v>-1.64894834214455-0.430073643304662j</v>
      </c>
      <c r="BA197" s="86">
        <f t="shared" si="141"/>
        <v>4.6299571079527473</v>
      </c>
      <c r="BB197" s="86">
        <f t="shared" si="142"/>
        <v>14.618050298897771</v>
      </c>
      <c r="BD197" s="86" t="str">
        <f t="shared" si="143"/>
        <v>-0.455880452010405-1.06252944221594j</v>
      </c>
      <c r="BE197" s="86">
        <f t="shared" si="144"/>
        <v>1.2606507308576478</v>
      </c>
      <c r="BF197" s="86">
        <f t="shared" si="145"/>
        <v>66.778148270735656</v>
      </c>
      <c r="BH197" s="86">
        <f t="shared" si="152"/>
        <v>-0.26065073085764778</v>
      </c>
      <c r="BI197" s="159">
        <f t="shared" si="153"/>
        <v>-66.778148270735656</v>
      </c>
      <c r="BJ197" s="88"/>
      <c r="BK197" s="88"/>
      <c r="BL197" s="88"/>
      <c r="BM197" s="88"/>
      <c r="BN197" s="42"/>
      <c r="BO197" s="42"/>
      <c r="BP197" s="42"/>
    </row>
    <row r="198" spans="1:68" s="86" customFormat="1">
      <c r="A198" s="86">
        <v>134</v>
      </c>
      <c r="B198" s="86">
        <f t="shared" si="103"/>
        <v>47863.009232263888</v>
      </c>
      <c r="C198" s="86" t="str">
        <f t="shared" si="104"/>
        <v>300732.156365561j</v>
      </c>
      <c r="D198" s="86">
        <f t="shared" si="105"/>
        <v>0.96334611755571564</v>
      </c>
      <c r="E198" s="86" t="str">
        <f t="shared" si="106"/>
        <v>-0.300732156365561j</v>
      </c>
      <c r="F198" s="86" t="str">
        <f t="shared" si="107"/>
        <v>0.963346117555716-0.300732156365561j</v>
      </c>
      <c r="G198" s="86">
        <f t="shared" si="108"/>
        <v>7.9506170011430732E-2</v>
      </c>
      <c r="H198" s="86">
        <f t="shared" si="109"/>
        <v>-17.337035975742005</v>
      </c>
      <c r="J198" s="86">
        <f t="shared" si="110"/>
        <v>17.283950617283953</v>
      </c>
      <c r="K198" s="86" t="str">
        <f t="shared" si="111"/>
        <v>1+3.63134078811415j</v>
      </c>
      <c r="L198" s="86">
        <f t="shared" si="112"/>
        <v>-1.6964467795253904</v>
      </c>
      <c r="M198" s="86" t="str">
        <f t="shared" si="113"/>
        <v>0.809934813717866j</v>
      </c>
      <c r="N198" s="86" t="str">
        <f t="shared" si="114"/>
        <v>-1.69644677952539+0.809934813717866j</v>
      </c>
      <c r="O198" s="86" t="str">
        <f t="shared" si="115"/>
        <v>0.352215218339783-1.97239869900053j</v>
      </c>
      <c r="P198" s="86" t="str">
        <f t="shared" si="116"/>
        <v>6.08767044044069-34.0908417111203j</v>
      </c>
      <c r="R198" s="86">
        <f t="shared" si="117"/>
        <v>6.9135802469135808</v>
      </c>
      <c r="S198" s="86" t="str">
        <f t="shared" si="118"/>
        <v>1+0.0225549117274171j</v>
      </c>
      <c r="T198" s="86" t="str">
        <f t="shared" si="119"/>
        <v>-1.69644677952539+0.809934813717866j</v>
      </c>
      <c r="U198" s="86" t="str">
        <f t="shared" si="120"/>
        <v>-0.474876591684546-0.240015779137103j</v>
      </c>
      <c r="V198" s="86" t="str">
        <f t="shared" si="121"/>
        <v>-3.28309742399192-1.65936834958985j</v>
      </c>
      <c r="X198" s="86" t="str">
        <f t="shared" si="122"/>
        <v>-0.134544997386543-1.06319301461603j</v>
      </c>
      <c r="Y198" s="86">
        <f t="shared" si="123"/>
        <v>0.60124095630867358</v>
      </c>
      <c r="Z198" s="86">
        <f t="shared" si="124"/>
        <v>82.787668474194518</v>
      </c>
      <c r="AB198" s="86" t="str">
        <f t="shared" si="125"/>
        <v>-1.13116642226844-0.57172283268669j</v>
      </c>
      <c r="AC198" s="86">
        <f t="shared" si="126"/>
        <v>2.0585490455672719</v>
      </c>
      <c r="AD198" s="86">
        <f t="shared" si="127"/>
        <v>26.813297677219623</v>
      </c>
      <c r="AF198" s="86" t="str">
        <f t="shared" si="128"/>
        <v>-0.197469163813686-0.903190421102218j</v>
      </c>
      <c r="AG198" s="86">
        <f t="shared" si="129"/>
        <v>-0.68162411045842708</v>
      </c>
      <c r="AH198" s="86">
        <f t="shared" si="130"/>
        <v>77.667193356731374</v>
      </c>
      <c r="AJ198" s="86" t="str">
        <f t="shared" si="131"/>
        <v>9804.13150758289-1385.75627649646j</v>
      </c>
      <c r="AK198" s="86" t="str">
        <f t="shared" si="132"/>
        <v>20000-0.000120292862546224j</v>
      </c>
      <c r="AL198" s="86" t="str">
        <f t="shared" si="146"/>
        <v>10000-73893.7348462651j</v>
      </c>
      <c r="AM198" s="86" t="str">
        <f t="shared" si="147"/>
        <v>954.822034092679-23021.6525799899j</v>
      </c>
      <c r="AN198" s="86" t="str">
        <f t="shared" si="148"/>
        <v>10954.8220340927-23021.6525799899j</v>
      </c>
      <c r="AO198" s="86" t="str">
        <f t="shared" si="149"/>
        <v>11679.9155202024-6187.79503987729j</v>
      </c>
      <c r="AP198" s="86" t="str">
        <f t="shared" si="150"/>
        <v>0.6696003451123+0.0311333628695996j</v>
      </c>
      <c r="AQ198" s="86" t="str">
        <f t="shared" si="133"/>
        <v>1+17.5026115004757j</v>
      </c>
      <c r="AR198" s="86">
        <f t="shared" si="134"/>
        <v>-6.3063177182800484E-5</v>
      </c>
      <c r="AS198" s="86" t="str">
        <f t="shared" si="135"/>
        <v>0.00146391000539941j</v>
      </c>
      <c r="AT198" s="86" t="str">
        <f t="shared" si="136"/>
        <v>-0.0000630631771828005+0.00146391000539941j</v>
      </c>
      <c r="AU198" s="86" t="str">
        <f t="shared" si="137"/>
        <v>1.78568273432774-0.179390007376531j</v>
      </c>
      <c r="AW198" s="86" t="str">
        <f t="shared" si="151"/>
        <v>1.13981544870521-0.303361019965195j</v>
      </c>
      <c r="AX198" s="86">
        <f t="shared" si="138"/>
        <v>1.4339180587437728</v>
      </c>
      <c r="AY198" s="86">
        <f t="shared" si="139"/>
        <v>165.09626431283752</v>
      </c>
      <c r="AZ198" s="86" t="str">
        <f t="shared" si="140"/>
        <v>-1.46275938481939-0.308506717464059j</v>
      </c>
      <c r="BA198" s="86">
        <f t="shared" si="141"/>
        <v>3.4924671043110238</v>
      </c>
      <c r="BB198" s="86">
        <f t="shared" si="142"/>
        <v>11.909561990057142</v>
      </c>
      <c r="BD198" s="86" t="str">
        <f t="shared" si="143"/>
        <v>-0.4990711709261-0.969565948148676j</v>
      </c>
      <c r="BE198" s="86">
        <f t="shared" si="144"/>
        <v>0.75229394828532214</v>
      </c>
      <c r="BF198" s="86">
        <f t="shared" si="145"/>
        <v>62.763457669568922</v>
      </c>
      <c r="BH198" s="86">
        <f t="shared" si="152"/>
        <v>0.24770605171467786</v>
      </c>
      <c r="BI198" s="159">
        <f t="shared" si="153"/>
        <v>-62.763457669568922</v>
      </c>
      <c r="BJ198" s="88"/>
      <c r="BK198" s="88"/>
      <c r="BL198" s="88"/>
      <c r="BM198" s="88"/>
      <c r="BN198" s="42"/>
      <c r="BO198" s="42"/>
      <c r="BP198" s="42"/>
    </row>
    <row r="199" spans="1:68" s="86" customFormat="1">
      <c r="A199" s="86">
        <v>135</v>
      </c>
      <c r="B199" s="86">
        <f t="shared" si="103"/>
        <v>50118.723362727265</v>
      </c>
      <c r="C199" s="86" t="str">
        <f t="shared" si="104"/>
        <v>314905.226247286j</v>
      </c>
      <c r="D199" s="86">
        <f t="shared" si="105"/>
        <v>0.95980981709584667</v>
      </c>
      <c r="E199" s="86" t="str">
        <f t="shared" si="106"/>
        <v>-0.314905226247286j</v>
      </c>
      <c r="F199" s="86" t="str">
        <f t="shared" si="107"/>
        <v>0.959809817095847-0.314905226247286j</v>
      </c>
      <c r="G199" s="86">
        <f t="shared" si="108"/>
        <v>8.7705293192421457E-2</v>
      </c>
      <c r="H199" s="86">
        <f t="shared" si="109"/>
        <v>-18.164212011120465</v>
      </c>
      <c r="J199" s="86">
        <f t="shared" si="110"/>
        <v>17.283950617283953</v>
      </c>
      <c r="K199" s="86" t="str">
        <f t="shared" si="111"/>
        <v>1+3.80248060693598j</v>
      </c>
      <c r="L199" s="86">
        <f t="shared" si="112"/>
        <v>-1.9565951008101026</v>
      </c>
      <c r="M199" s="86" t="str">
        <f t="shared" si="113"/>
        <v>0.848105865504265j</v>
      </c>
      <c r="N199" s="86" t="str">
        <f t="shared" si="114"/>
        <v>-1.9565951008101+0.848105865504265j</v>
      </c>
      <c r="O199" s="86" t="str">
        <f t="shared" si="115"/>
        <v>0.27889997422967-1.82252521302255j</v>
      </c>
      <c r="P199" s="86" t="str">
        <f t="shared" si="116"/>
        <v>4.82049338174738-31.5004357806367j</v>
      </c>
      <c r="R199" s="86">
        <f t="shared" si="117"/>
        <v>6.9135802469135808</v>
      </c>
      <c r="S199" s="86" t="str">
        <f t="shared" si="118"/>
        <v>1+0.0236178919685464j</v>
      </c>
      <c r="T199" s="86" t="str">
        <f t="shared" si="119"/>
        <v>-1.9565951008101+0.848105865504265j</v>
      </c>
      <c r="U199" s="86" t="str">
        <f t="shared" si="120"/>
        <v>-0.425848094491362-0.196659062757119j</v>
      </c>
      <c r="V199" s="86" t="str">
        <f t="shared" si="121"/>
        <v>-2.94413497426127-1.35961821165416j</v>
      </c>
      <c r="X199" s="86" t="str">
        <f t="shared" si="122"/>
        <v>-0.162302802403359-0.973665214891436j</v>
      </c>
      <c r="Y199" s="86">
        <f t="shared" si="123"/>
        <v>-0.11277811911806628</v>
      </c>
      <c r="Z199" s="86">
        <f t="shared" si="124"/>
        <v>80.536231158442263</v>
      </c>
      <c r="AB199" s="86" t="str">
        <f t="shared" si="125"/>
        <v>-1.01437947018373-0.468446186485033j</v>
      </c>
      <c r="AC199" s="86">
        <f t="shared" si="126"/>
        <v>0.96356382715841449</v>
      </c>
      <c r="AD199" s="86">
        <f t="shared" si="127"/>
        <v>24.787760428050262</v>
      </c>
      <c r="AF199" s="86" t="str">
        <f t="shared" si="128"/>
        <v>-0.238600131216024-0.836534772384462j</v>
      </c>
      <c r="AG199" s="86">
        <f t="shared" si="129"/>
        <v>-1.2106453041160943</v>
      </c>
      <c r="AH199" s="86">
        <f t="shared" si="130"/>
        <v>74.080557301072716</v>
      </c>
      <c r="AJ199" s="86" t="str">
        <f t="shared" si="131"/>
        <v>9785.63954653447-1448.32804662663j</v>
      </c>
      <c r="AK199" s="86" t="str">
        <f t="shared" si="132"/>
        <v>20000-0.000125962090498914j</v>
      </c>
      <c r="AL199" s="86" t="str">
        <f t="shared" si="146"/>
        <v>10000-70567.9689316166j</v>
      </c>
      <c r="AM199" s="86" t="str">
        <f t="shared" si="147"/>
        <v>954.02720802033-21993.6404747807j</v>
      </c>
      <c r="AN199" s="86" t="str">
        <f t="shared" si="148"/>
        <v>10954.0272080203-21993.6404747807j</v>
      </c>
      <c r="AO199" s="86" t="str">
        <f t="shared" si="149"/>
        <v>11412.8225252625-6101.41267711314j</v>
      </c>
      <c r="AP199" s="86" t="str">
        <f t="shared" si="150"/>
        <v>0.669880652095841+0.0325729750816548j</v>
      </c>
      <c r="AQ199" s="86" t="str">
        <f t="shared" si="133"/>
        <v>1+18.327484167592j</v>
      </c>
      <c r="AR199" s="86">
        <f t="shared" si="134"/>
        <v>-6.9157046580069516E-5</v>
      </c>
      <c r="AS199" s="86" t="str">
        <f t="shared" si="135"/>
        <v>0.00153290195843106j</v>
      </c>
      <c r="AT199" s="86" t="str">
        <f t="shared" si="136"/>
        <v>-0.0000691570465800695+0.00153290195843106j</v>
      </c>
      <c r="AU199" s="86" t="str">
        <f t="shared" si="137"/>
        <v>1.78536204702585-0.178400428510348j</v>
      </c>
      <c r="AW199" s="86" t="str">
        <f t="shared" si="151"/>
        <v>1.13592806900002-0.310632584718935j</v>
      </c>
      <c r="AX199" s="86">
        <f t="shared" si="138"/>
        <v>1.4202171855541073</v>
      </c>
      <c r="AY199" s="86">
        <f t="shared" si="139"/>
        <v>164.70573330290259</v>
      </c>
      <c r="AZ199" s="86" t="str">
        <f t="shared" si="140"/>
        <v>-1.29777676250865-0.21702185533537j</v>
      </c>
      <c r="BA199" s="86">
        <f t="shared" si="141"/>
        <v>2.3837810127125718</v>
      </c>
      <c r="BB199" s="86">
        <f t="shared" si="142"/>
        <v>9.4934937309527356</v>
      </c>
      <c r="BD199" s="86" t="str">
        <f t="shared" si="143"/>
        <v>-0.530887544868426-0.876126353172147j</v>
      </c>
      <c r="BE199" s="86">
        <f t="shared" si="144"/>
        <v>0.20957188143806554</v>
      </c>
      <c r="BF199" s="86">
        <f t="shared" si="145"/>
        <v>58.786290603975189</v>
      </c>
      <c r="BH199" s="86">
        <f t="shared" si="152"/>
        <v>0.7904281185619344</v>
      </c>
      <c r="BI199" s="159">
        <f t="shared" si="153"/>
        <v>-58.786290603975189</v>
      </c>
      <c r="BJ199" s="88"/>
      <c r="BK199" s="88"/>
      <c r="BL199" s="88"/>
      <c r="BM199" s="88"/>
      <c r="BN199" s="42"/>
      <c r="BO199" s="42"/>
      <c r="BP199" s="42"/>
    </row>
    <row r="200" spans="1:68" s="86" customFormat="1">
      <c r="A200" s="86">
        <v>136</v>
      </c>
      <c r="B200" s="86">
        <f t="shared" si="103"/>
        <v>52480.746024977292</v>
      </c>
      <c r="C200" s="86" t="str">
        <f t="shared" si="104"/>
        <v>329746.252333961j</v>
      </c>
      <c r="D200" s="86">
        <f t="shared" si="105"/>
        <v>0.95593234074658939</v>
      </c>
      <c r="E200" s="86" t="str">
        <f t="shared" si="106"/>
        <v>-0.329746252333961j</v>
      </c>
      <c r="F200" s="86" t="str">
        <f t="shared" si="107"/>
        <v>0.955932340746589-0.329746252333961j</v>
      </c>
      <c r="G200" s="86">
        <f t="shared" si="108"/>
        <v>9.6799792572369023E-2</v>
      </c>
      <c r="H200" s="86">
        <f t="shared" si="109"/>
        <v>-19.031734513177376</v>
      </c>
      <c r="J200" s="86">
        <f t="shared" si="110"/>
        <v>17.283950617283953</v>
      </c>
      <c r="K200" s="86" t="str">
        <f t="shared" si="111"/>
        <v>1+3.98168599693258j</v>
      </c>
      <c r="L200" s="86">
        <f t="shared" si="112"/>
        <v>-2.2418420628620388</v>
      </c>
      <c r="M200" s="86" t="str">
        <f t="shared" si="113"/>
        <v>0.888075863538933j</v>
      </c>
      <c r="N200" s="86" t="str">
        <f t="shared" si="114"/>
        <v>-2.24184206286204+0.888075863538933j</v>
      </c>
      <c r="O200" s="86" t="str">
        <f t="shared" si="115"/>
        <v>0.222579666641471-1.68790586543054j</v>
      </c>
      <c r="P200" s="86" t="str">
        <f t="shared" si="116"/>
        <v>3.84705596664271-29.1736816247254j</v>
      </c>
      <c r="R200" s="86">
        <f t="shared" si="117"/>
        <v>6.9135802469135808</v>
      </c>
      <c r="S200" s="86" t="str">
        <f t="shared" si="118"/>
        <v>1+0.0247309689250471j</v>
      </c>
      <c r="T200" s="86" t="str">
        <f t="shared" si="119"/>
        <v>-2.24184206286204+0.888075863538933j</v>
      </c>
      <c r="U200" s="86" t="str">
        <f t="shared" si="120"/>
        <v>-0.381781045059199-0.162269013604987j</v>
      </c>
      <c r="V200" s="86" t="str">
        <f t="shared" si="121"/>
        <v>-2.6394738917673-1.12185984714559j</v>
      </c>
      <c r="X200" s="86" t="str">
        <f t="shared" si="122"/>
        <v>-0.182219004994201-0.894066636769662j</v>
      </c>
      <c r="Y200" s="86">
        <f t="shared" si="123"/>
        <v>-0.7958502350229274</v>
      </c>
      <c r="Z200" s="86">
        <f t="shared" si="124"/>
        <v>78.480365328183012</v>
      </c>
      <c r="AB200" s="86" t="str">
        <f t="shared" si="125"/>
        <v>-0.909410795123794-0.386528337632852j</v>
      </c>
      <c r="AC200" s="86">
        <f t="shared" si="126"/>
        <v>-0.10357929405544028</v>
      </c>
      <c r="AD200" s="86">
        <f t="shared" si="127"/>
        <v>23.027026198027357</v>
      </c>
      <c r="AF200" s="86" t="str">
        <f t="shared" si="128"/>
        <v>-0.271174378229989-0.769125604283066j</v>
      </c>
      <c r="AG200" s="86">
        <f t="shared" si="129"/>
        <v>-1.77119752685836</v>
      </c>
      <c r="AH200" s="86">
        <f t="shared" si="130"/>
        <v>70.57862911604559</v>
      </c>
      <c r="AJ200" s="86" t="str">
        <f t="shared" si="131"/>
        <v>9765.44352548181-1513.45565030609j</v>
      </c>
      <c r="AK200" s="86" t="str">
        <f t="shared" si="132"/>
        <v>20000-0.000131898500933584j</v>
      </c>
      <c r="AL200" s="86" t="str">
        <f t="shared" si="146"/>
        <v>10000-67391.8871402852j</v>
      </c>
      <c r="AM200" s="86" t="str">
        <f t="shared" si="147"/>
        <v>953.157218115449-21012.2649809515j</v>
      </c>
      <c r="AN200" s="86" t="str">
        <f t="shared" si="148"/>
        <v>10953.1572181154-21012.2649809515j</v>
      </c>
      <c r="AO200" s="86" t="str">
        <f t="shared" si="149"/>
        <v>11153.79680631-6005.16335845389j</v>
      </c>
      <c r="AP200" s="86" t="str">
        <f t="shared" si="150"/>
        <v>0.670187456437899+0.034076392926586j</v>
      </c>
      <c r="AQ200" s="86" t="str">
        <f t="shared" si="133"/>
        <v>1+19.1912318858365j</v>
      </c>
      <c r="AR200" s="86">
        <f t="shared" si="134"/>
        <v>-7.5838841504319136E-5</v>
      </c>
      <c r="AS200" s="86" t="str">
        <f t="shared" si="135"/>
        <v>0.0016051454020363j</v>
      </c>
      <c r="AT200" s="86" t="str">
        <f t="shared" si="136"/>
        <v>-0.0000758388415043191+0.0016051454020363j</v>
      </c>
      <c r="AU200" s="86" t="str">
        <f t="shared" si="137"/>
        <v>1.78501066572079-0.177786473798007j</v>
      </c>
      <c r="AW200" s="86" t="str">
        <f t="shared" si="151"/>
        <v>1.13169400635223-0.318426322956899j</v>
      </c>
      <c r="AX200" s="86">
        <f t="shared" si="138"/>
        <v>1.4054784017640567</v>
      </c>
      <c r="AY200" s="86">
        <f t="shared" si="139"/>
        <v>164.28491672953908</v>
      </c>
      <c r="AZ200" s="86" t="str">
        <f t="shared" si="140"/>
        <v>-1.15225554342469-0.14785146743581j</v>
      </c>
      <c r="BA200" s="86">
        <f t="shared" si="141"/>
        <v>1.3018991077086508</v>
      </c>
      <c r="BB200" s="86">
        <f t="shared" si="142"/>
        <v>7.3119429275663776</v>
      </c>
      <c r="BD200" s="86" t="str">
        <f t="shared" si="143"/>
        <v>-0.551796256583033-0.784065776359287j</v>
      </c>
      <c r="BE200" s="86">
        <f t="shared" si="144"/>
        <v>-0.36571912509426985</v>
      </c>
      <c r="BF200" s="86">
        <f t="shared" si="145"/>
        <v>54.863545845584653</v>
      </c>
      <c r="BH200" s="86">
        <f t="shared" si="152"/>
        <v>1.36571912509427</v>
      </c>
      <c r="BI200" s="159">
        <f t="shared" si="153"/>
        <v>-54.863545845584653</v>
      </c>
      <c r="BJ200" s="88"/>
      <c r="BK200" s="88"/>
      <c r="BL200" s="88"/>
      <c r="BM200" s="88"/>
      <c r="BN200" s="42"/>
      <c r="BO200" s="42"/>
      <c r="BP200" s="42"/>
    </row>
    <row r="201" spans="1:68" s="86" customFormat="1">
      <c r="A201" s="86">
        <v>137</v>
      </c>
      <c r="B201" s="86">
        <f t="shared" si="103"/>
        <v>54954.087385762534</v>
      </c>
      <c r="C201" s="86" t="str">
        <f t="shared" si="104"/>
        <v>345286.714431686j</v>
      </c>
      <c r="D201" s="86">
        <f t="shared" si="105"/>
        <v>0.95168077247356753</v>
      </c>
      <c r="E201" s="86" t="str">
        <f t="shared" si="106"/>
        <v>-0.345286714431686j</v>
      </c>
      <c r="F201" s="86" t="str">
        <f t="shared" si="107"/>
        <v>0.951680772473568-0.345286714431686j</v>
      </c>
      <c r="G201" s="86">
        <f t="shared" si="108"/>
        <v>0.10689632256205986</v>
      </c>
      <c r="H201" s="86">
        <f t="shared" si="109"/>
        <v>-19.941672277045445</v>
      </c>
      <c r="J201" s="86">
        <f t="shared" si="110"/>
        <v>17.283950617283953</v>
      </c>
      <c r="K201" s="86" t="str">
        <f t="shared" si="111"/>
        <v>1+4.16933707676261j</v>
      </c>
      <c r="L201" s="86">
        <f t="shared" si="112"/>
        <v>-2.5546091372680864</v>
      </c>
      <c r="M201" s="86" t="str">
        <f t="shared" si="113"/>
        <v>0.929929589546572j</v>
      </c>
      <c r="N201" s="86" t="str">
        <f t="shared" si="114"/>
        <v>-2.55460913726809+0.929929589546572j</v>
      </c>
      <c r="O201" s="86" t="str">
        <f t="shared" si="115"/>
        <v>0.178949685623354-1.56694282920406j</v>
      </c>
      <c r="P201" s="86" t="str">
        <f t="shared" si="116"/>
        <v>3.09295752929254-27.0829624800702j</v>
      </c>
      <c r="R201" s="86">
        <f t="shared" si="117"/>
        <v>6.9135802469135808</v>
      </c>
      <c r="S201" s="86" t="str">
        <f t="shared" si="118"/>
        <v>1+0.0258965035823764j</v>
      </c>
      <c r="T201" s="86" t="str">
        <f t="shared" si="119"/>
        <v>-2.55460913726809+0.929929589546572j</v>
      </c>
      <c r="U201" s="86" t="str">
        <f t="shared" si="120"/>
        <v>-0.342388953646887-0.134773698915325j</v>
      </c>
      <c r="V201" s="86" t="str">
        <f t="shared" si="121"/>
        <v>-2.36713350669453-0.931768782624469j</v>
      </c>
      <c r="X201" s="86" t="str">
        <f t="shared" si="122"/>
        <v>-0.196492979595933-0.823099493501727j</v>
      </c>
      <c r="Y201" s="86">
        <f t="shared" si="123"/>
        <v>-1.4502495126262493</v>
      </c>
      <c r="Z201" s="86">
        <f t="shared" si="124"/>
        <v>76.573455456864409</v>
      </c>
      <c r="AB201" s="86" t="str">
        <f t="shared" si="125"/>
        <v>-0.815577972262448-0.321033896990239j</v>
      </c>
      <c r="AC201" s="86">
        <f t="shared" si="126"/>
        <v>-1.1450862883056574</v>
      </c>
      <c r="AD201" s="86">
        <f t="shared" si="127"/>
        <v>21.485961865216069</v>
      </c>
      <c r="AF201" s="86" t="str">
        <f t="shared" si="128"/>
        <v>-0.295574762410075-0.702322842105449j</v>
      </c>
      <c r="AG201" s="86">
        <f t="shared" si="129"/>
        <v>-2.3610665118919942</v>
      </c>
      <c r="AH201" s="86">
        <f t="shared" si="130"/>
        <v>67.176056074117383</v>
      </c>
      <c r="AJ201" s="86" t="str">
        <f t="shared" si="131"/>
        <v>9743.39462725025-1581.20441757965j</v>
      </c>
      <c r="AK201" s="86" t="str">
        <f t="shared" si="132"/>
        <v>20000-0.000138114685772674j</v>
      </c>
      <c r="AL201" s="86" t="str">
        <f t="shared" si="146"/>
        <v>10000-64358.7525769654j</v>
      </c>
      <c r="AM201" s="86" t="str">
        <f t="shared" si="147"/>
        <v>952.205115051587-20075.4423163262j</v>
      </c>
      <c r="AN201" s="86" t="str">
        <f t="shared" si="148"/>
        <v>10952.2051150516-20075.4423163262j</v>
      </c>
      <c r="AO201" s="86" t="str">
        <f t="shared" si="149"/>
        <v>10903.5160792455-5899.93306003318j</v>
      </c>
      <c r="AP201" s="86" t="str">
        <f t="shared" si="150"/>
        <v>0.67052320592242+0.0356460391651884j</v>
      </c>
      <c r="AQ201" s="86" t="str">
        <f t="shared" si="133"/>
        <v>1+20.0956867799241j</v>
      </c>
      <c r="AR201" s="86">
        <f t="shared" si="134"/>
        <v>-8.3165283949859455E-5</v>
      </c>
      <c r="AS201" s="86" t="str">
        <f t="shared" si="135"/>
        <v>0.00168079357424485j</v>
      </c>
      <c r="AT201" s="86" t="str">
        <f t="shared" si="136"/>
        <v>-0.0000831652839498595+0.00168079357424485j</v>
      </c>
      <c r="AU201" s="86" t="str">
        <f t="shared" si="137"/>
        <v>1.78462564570206-0.17754642993747j</v>
      </c>
      <c r="AW201" s="86" t="str">
        <f t="shared" si="151"/>
        <v>1.12708513430995-0.326740251674055j</v>
      </c>
      <c r="AX201" s="86">
        <f t="shared" si="138"/>
        <v>1.3895919989548733</v>
      </c>
      <c r="AY201" s="86">
        <f t="shared" si="139"/>
        <v>163.83320729563221</v>
      </c>
      <c r="AZ201" s="86" t="str">
        <f t="shared" si="140"/>
        <v>-1.02412050470615-0.0953503809904421j</v>
      </c>
      <c r="BA201" s="86">
        <f t="shared" si="141"/>
        <v>0.24450571064920548</v>
      </c>
      <c r="BB201" s="86">
        <f t="shared" si="142"/>
        <v>5.3191691608482756</v>
      </c>
      <c r="BD201" s="86" t="str">
        <f t="shared" si="143"/>
        <v>-0.562615062975563-0.695001462564998j</v>
      </c>
      <c r="BE201" s="86">
        <f t="shared" si="144"/>
        <v>-0.97147451293712772</v>
      </c>
      <c r="BF201" s="86">
        <f t="shared" si="145"/>
        <v>51.009263369749561</v>
      </c>
      <c r="BH201" s="86">
        <f t="shared" si="152"/>
        <v>1.9714745129371276</v>
      </c>
      <c r="BI201" s="159">
        <f t="shared" si="153"/>
        <v>-51.009263369749561</v>
      </c>
      <c r="BJ201" s="88"/>
      <c r="BK201" s="88"/>
      <c r="BL201" s="88"/>
      <c r="BM201" s="88"/>
      <c r="BN201" s="42"/>
      <c r="BO201" s="42"/>
      <c r="BP201" s="42"/>
    </row>
    <row r="202" spans="1:68" s="86" customFormat="1">
      <c r="A202" s="86">
        <v>138</v>
      </c>
      <c r="B202" s="86">
        <f t="shared" si="103"/>
        <v>57543.993733715761</v>
      </c>
      <c r="C202" s="86" t="str">
        <f t="shared" si="104"/>
        <v>361559.575944117j</v>
      </c>
      <c r="D202" s="86">
        <f t="shared" si="105"/>
        <v>0.9470190205627852</v>
      </c>
      <c r="E202" s="86" t="str">
        <f t="shared" si="106"/>
        <v>-0.361559575944117j</v>
      </c>
      <c r="F202" s="86" t="str">
        <f t="shared" si="107"/>
        <v>0.947019020562785-0.361559575944117j</v>
      </c>
      <c r="G202" s="86">
        <f t="shared" si="108"/>
        <v>0.11811565394193696</v>
      </c>
      <c r="H202" s="86">
        <f t="shared" si="109"/>
        <v>-20.896207541728494</v>
      </c>
      <c r="J202" s="86">
        <f t="shared" si="110"/>
        <v>17.283950617283953</v>
      </c>
      <c r="K202" s="86" t="str">
        <f t="shared" si="111"/>
        <v>1+4.36583187952521j</v>
      </c>
      <c r="L202" s="86">
        <f t="shared" si="112"/>
        <v>-2.8975514148257937</v>
      </c>
      <c r="M202" s="86" t="str">
        <f t="shared" si="113"/>
        <v>0.973755820891471j</v>
      </c>
      <c r="N202" s="86" t="str">
        <f t="shared" si="114"/>
        <v>-2.89755141482579+0.973755820891471j</v>
      </c>
      <c r="O202" s="86" t="str">
        <f t="shared" si="115"/>
        <v>0.14487394311161-1.45804489007792j</v>
      </c>
      <c r="P202" s="86" t="str">
        <f t="shared" si="116"/>
        <v>2.50399407847227-25.20077587789j</v>
      </c>
      <c r="R202" s="86">
        <f t="shared" si="117"/>
        <v>6.9135802469135808</v>
      </c>
      <c r="S202" s="86" t="str">
        <f t="shared" si="118"/>
        <v>1+0.0271169681958088j</v>
      </c>
      <c r="T202" s="86" t="str">
        <f t="shared" si="119"/>
        <v>-2.89755141482579+0.973755820891471j</v>
      </c>
      <c r="U202" s="86" t="str">
        <f t="shared" si="120"/>
        <v>-0.307271478560111-0.112620731203579j</v>
      </c>
      <c r="V202" s="86" t="str">
        <f t="shared" si="121"/>
        <v>-2.12434602461311-0.778612462642028j</v>
      </c>
      <c r="X202" s="86" t="str">
        <f t="shared" si="122"/>
        <v>-0.206684954519112-0.759583511665097j</v>
      </c>
      <c r="Y202" s="86">
        <f t="shared" si="123"/>
        <v>-2.0782846840682212</v>
      </c>
      <c r="Z202" s="86">
        <f t="shared" si="124"/>
        <v>74.778178345198427</v>
      </c>
      <c r="AB202" s="86" t="str">
        <f t="shared" si="125"/>
        <v>-0.731927378932301-0.268265043633554j</v>
      </c>
      <c r="AC202" s="86">
        <f t="shared" si="126"/>
        <v>-2.1632232569732328</v>
      </c>
      <c r="AD202" s="86">
        <f t="shared" si="127"/>
        <v>20.128828010323815</v>
      </c>
      <c r="AF202" s="86" t="str">
        <f t="shared" si="128"/>
        <v>-0.312421735113397-0.637294660162437j</v>
      </c>
      <c r="AG202" s="86">
        <f t="shared" si="129"/>
        <v>-2.9778336795948879</v>
      </c>
      <c r="AH202" s="86">
        <f t="shared" si="130"/>
        <v>63.884464277514141</v>
      </c>
      <c r="AJ202" s="86" t="str">
        <f t="shared" si="131"/>
        <v>9719.33264697834-1651.63536144161j</v>
      </c>
      <c r="AK202" s="86" t="str">
        <f t="shared" si="132"/>
        <v>20000-0.000144623830377647j</v>
      </c>
      <c r="AL202" s="86" t="str">
        <f t="shared" si="146"/>
        <v>10000-61462.1315565899j</v>
      </c>
      <c r="AM202" s="86" t="str">
        <f t="shared" si="147"/>
        <v>951.163338629056-19181.182894125j</v>
      </c>
      <c r="AN202" s="86" t="str">
        <f t="shared" si="148"/>
        <v>10951.1633386291-19181.182894125j</v>
      </c>
      <c r="AO202" s="86" t="str">
        <f t="shared" si="149"/>
        <v>10662.5406187585-5786.64892948517j</v>
      </c>
      <c r="AP202" s="86" t="str">
        <f t="shared" si="150"/>
        <v>0.670890563092722+0.0372843678297402j</v>
      </c>
      <c r="AQ202" s="86" t="str">
        <f t="shared" si="133"/>
        <v>1+21.0427673199476j</v>
      </c>
      <c r="AR202" s="86">
        <f t="shared" si="134"/>
        <v>-9.1198568346691965E-5</v>
      </c>
      <c r="AS202" s="86" t="str">
        <f t="shared" si="135"/>
        <v>0.00176000693497229j</v>
      </c>
      <c r="AT202" s="86" t="str">
        <f t="shared" si="136"/>
        <v>-0.000091198568346692+0.00176000693497229j</v>
      </c>
      <c r="AU202" s="86" t="str">
        <f t="shared" si="137"/>
        <v>1.7842037643829-0.177679316334866j</v>
      </c>
      <c r="AW202" s="86" t="str">
        <f t="shared" si="151"/>
        <v>1.12207157420812-0.335571162828315j</v>
      </c>
      <c r="AX202" s="86">
        <f t="shared" si="138"/>
        <v>1.3724413831674505</v>
      </c>
      <c r="AY202" s="86">
        <f t="shared" si="139"/>
        <v>163.34997157566059</v>
      </c>
      <c r="AZ202" s="86" t="str">
        <f t="shared" si="140"/>
        <v>-0.91129691892289-0.0553988581607193j</v>
      </c>
      <c r="BA202" s="86">
        <f t="shared" si="141"/>
        <v>-0.79078187380578824</v>
      </c>
      <c r="BB202" s="86">
        <f t="shared" si="142"/>
        <v>3.4787995859844614</v>
      </c>
      <c r="BD202" s="86" t="str">
        <f t="shared" si="143"/>
        <v>-0.564417258310506-0.610250497618052j</v>
      </c>
      <c r="BE202" s="86">
        <f t="shared" si="144"/>
        <v>-1.6053922964274434</v>
      </c>
      <c r="BF202" s="86">
        <f t="shared" si="145"/>
        <v>47.234435853174745</v>
      </c>
      <c r="BH202" s="86">
        <f t="shared" si="152"/>
        <v>2.6053922964274436</v>
      </c>
      <c r="BI202" s="159">
        <f t="shared" si="153"/>
        <v>-47.234435853174745</v>
      </c>
      <c r="BJ202" s="88"/>
      <c r="BK202" s="88"/>
      <c r="BL202" s="88"/>
      <c r="BM202" s="88"/>
      <c r="BN202" s="42"/>
      <c r="BO202" s="42"/>
      <c r="BP202" s="42"/>
    </row>
    <row r="203" spans="1:68" s="86" customFormat="1">
      <c r="A203" s="86">
        <v>139</v>
      </c>
      <c r="B203" s="86">
        <f t="shared" si="103"/>
        <v>60255.95860743583</v>
      </c>
      <c r="C203" s="86" t="str">
        <f t="shared" si="104"/>
        <v>378599.353792262j</v>
      </c>
      <c r="D203" s="86">
        <f t="shared" si="105"/>
        <v>0.94190751123678385</v>
      </c>
      <c r="E203" s="86" t="str">
        <f t="shared" si="106"/>
        <v>-0.378599353792262j</v>
      </c>
      <c r="F203" s="86" t="str">
        <f t="shared" si="107"/>
        <v>0.941907511236784-0.378599353792262j</v>
      </c>
      <c r="G203" s="86">
        <f t="shared" si="108"/>
        <v>0.13059471965058037</v>
      </c>
      <c r="H203" s="86">
        <f t="shared" si="109"/>
        <v>-21.897641461381948</v>
      </c>
      <c r="J203" s="86">
        <f t="shared" si="110"/>
        <v>17.283950617283953</v>
      </c>
      <c r="K203" s="86" t="str">
        <f t="shared" si="111"/>
        <v>1+4.57158719704156j</v>
      </c>
      <c r="L203" s="86">
        <f t="shared" si="112"/>
        <v>-3.2735801447034802</v>
      </c>
      <c r="M203" s="86" t="str">
        <f t="shared" si="113"/>
        <v>1.0196475188862j</v>
      </c>
      <c r="N203" s="86" t="str">
        <f t="shared" si="114"/>
        <v>-3.27358014470348+1.0196475188862j</v>
      </c>
      <c r="O203" s="86" t="str">
        <f t="shared" si="115"/>
        <v>0.118052607228192-1.35973917002923j</v>
      </c>
      <c r="P203" s="86" t="str">
        <f t="shared" si="116"/>
        <v>2.04041543357369-23.5016646671719j</v>
      </c>
      <c r="R203" s="86">
        <f t="shared" si="117"/>
        <v>6.9135802469135808</v>
      </c>
      <c r="S203" s="86" t="str">
        <f t="shared" si="118"/>
        <v>1+0.0283949515344196j</v>
      </c>
      <c r="T203" s="86" t="str">
        <f t="shared" si="119"/>
        <v>-3.27358014470348+1.0196475188862j</v>
      </c>
      <c r="U203" s="86" t="str">
        <f t="shared" si="120"/>
        <v>-0.275997370492595-0.0946410266073913j</v>
      </c>
      <c r="V203" s="86" t="str">
        <f t="shared" si="121"/>
        <v>-1.90812996883769-0.654308332100483j</v>
      </c>
      <c r="X203" s="86" t="str">
        <f t="shared" si="122"/>
        <v>-0.213908863887314-0.702484704129842j</v>
      </c>
      <c r="Y203" s="86">
        <f t="shared" si="123"/>
        <v>-2.682164812279046</v>
      </c>
      <c r="Z203" s="86">
        <f t="shared" si="124"/>
        <v>73.064337953509281</v>
      </c>
      <c r="AB203" s="86" t="str">
        <f t="shared" si="125"/>
        <v>-0.657431769858631-0.225436994246308j</v>
      </c>
      <c r="AC203" s="86">
        <f t="shared" si="126"/>
        <v>-3.1601836947908755</v>
      </c>
      <c r="AD203" s="86">
        <f t="shared" si="127"/>
        <v>18.927125513597645</v>
      </c>
      <c r="AF203" s="86" t="str">
        <f t="shared" si="128"/>
        <v>-0.322500895947473-0.574982874063072j</v>
      </c>
      <c r="AG203" s="86">
        <f t="shared" si="129"/>
        <v>-3.6189815336157842</v>
      </c>
      <c r="AH203" s="86">
        <f t="shared" si="130"/>
        <v>60.712463553040863</v>
      </c>
      <c r="AJ203" s="86" t="str">
        <f t="shared" si="131"/>
        <v>9693.08543888276-1724.80406520467j</v>
      </c>
      <c r="AK203" s="86" t="str">
        <f t="shared" si="132"/>
        <v>20000-0.000151439741516905j</v>
      </c>
      <c r="AL203" s="86" t="str">
        <f t="shared" si="146"/>
        <v>10000-58695.8799576176j</v>
      </c>
      <c r="AM203" s="86" t="str">
        <f t="shared" si="147"/>
        <v>950.023670403027-18327.5870602716j</v>
      </c>
      <c r="AN203" s="86" t="str">
        <f t="shared" si="148"/>
        <v>10950.023670403-18327.5870602716j</v>
      </c>
      <c r="AO203" s="86" t="str">
        <f t="shared" si="149"/>
        <v>10431.3129519278-5666.26206403501j</v>
      </c>
      <c r="AP203" s="86" t="str">
        <f t="shared" si="150"/>
        <v>0.671292421821561+0.0389938543336198j</v>
      </c>
      <c r="AQ203" s="86" t="str">
        <f t="shared" si="133"/>
        <v>1+22.0344823907096j</v>
      </c>
      <c r="AR203" s="86">
        <f t="shared" si="134"/>
        <v>-1.0000688953123553E-4</v>
      </c>
      <c r="AS203" s="86" t="str">
        <f t="shared" si="135"/>
        <v>0.00184295350637705j</v>
      </c>
      <c r="AT203" s="86" t="str">
        <f t="shared" si="136"/>
        <v>-0.000100006889531236+0.00184295350637705j</v>
      </c>
      <c r="AU203" s="86" t="str">
        <f t="shared" si="137"/>
        <v>1.78374149548597-0.1781848742006j</v>
      </c>
      <c r="AW203" s="86" t="str">
        <f t="shared" si="151"/>
        <v>1.11662168682923-0.344914366236882j</v>
      </c>
      <c r="AX203" s="86">
        <f t="shared" si="138"/>
        <v>1.3539026002163101</v>
      </c>
      <c r="AY203" s="86">
        <f t="shared" si="139"/>
        <v>162.83455315861835</v>
      </c>
      <c r="AZ203" s="86" t="str">
        <f t="shared" si="140"/>
        <v>-0.811859029831483-0.0249701745442421j</v>
      </c>
      <c r="BA203" s="86">
        <f t="shared" si="141"/>
        <v>-1.8062810945745711</v>
      </c>
      <c r="BB203" s="86">
        <f t="shared" si="142"/>
        <v>1.7616786722159929</v>
      </c>
      <c r="BD203" s="86" t="str">
        <f t="shared" si="143"/>
        <v>-0.55843134804133-0.530803154597676j</v>
      </c>
      <c r="BE203" s="86">
        <f t="shared" si="144"/>
        <v>-2.2650789333994874</v>
      </c>
      <c r="BF203" s="86">
        <f t="shared" si="145"/>
        <v>43.547016711659211</v>
      </c>
      <c r="BH203" s="86">
        <f t="shared" si="152"/>
        <v>3.2650789333994874</v>
      </c>
      <c r="BI203" s="159">
        <f t="shared" si="153"/>
        <v>-43.547016711659211</v>
      </c>
      <c r="BJ203" s="88"/>
      <c r="BK203" s="88"/>
      <c r="BL203" s="88"/>
      <c r="BM203" s="88"/>
      <c r="BN203" s="42"/>
      <c r="BO203" s="42"/>
      <c r="BP203" s="42"/>
    </row>
    <row r="204" spans="1:68" s="86" customFormat="1">
      <c r="A204" s="86">
        <v>140</v>
      </c>
      <c r="B204" s="86">
        <f t="shared" si="103"/>
        <v>63095.734448019379</v>
      </c>
      <c r="C204" s="86" t="str">
        <f t="shared" si="104"/>
        <v>396442.1916295j</v>
      </c>
      <c r="D204" s="86">
        <f t="shared" si="105"/>
        <v>0.93630285271144054</v>
      </c>
      <c r="E204" s="86" t="str">
        <f t="shared" si="106"/>
        <v>-0.3964421916295j</v>
      </c>
      <c r="F204" s="86" t="str">
        <f t="shared" si="107"/>
        <v>0.936302852711441-0.3964421916295j</v>
      </c>
      <c r="G204" s="86">
        <f t="shared" si="108"/>
        <v>0.14448896646190967</v>
      </c>
      <c r="H204" s="86">
        <f t="shared" si="109"/>
        <v>-22.948399298970479</v>
      </c>
      <c r="J204" s="86">
        <f t="shared" si="110"/>
        <v>17.283950617283953</v>
      </c>
      <c r="K204" s="86" t="str">
        <f t="shared" si="111"/>
        <v>1+4.78703946392621j</v>
      </c>
      <c r="L204" s="86">
        <f t="shared" si="112"/>
        <v>-3.685887448137807</v>
      </c>
      <c r="M204" s="86" t="str">
        <f t="shared" si="113"/>
        <v>1.06770202597501j</v>
      </c>
      <c r="N204" s="86" t="str">
        <f t="shared" si="114"/>
        <v>-3.68588744813781+1.06770202597501j</v>
      </c>
      <c r="O204" s="86" t="str">
        <f t="shared" si="115"/>
        <v>0.0967858281433413-1.27071189911081j</v>
      </c>
      <c r="P204" s="86" t="str">
        <f t="shared" si="116"/>
        <v>1.67284147408244-21.9629217130263j</v>
      </c>
      <c r="R204" s="86">
        <f t="shared" si="117"/>
        <v>6.9135802469135808</v>
      </c>
      <c r="S204" s="86" t="str">
        <f t="shared" si="118"/>
        <v>1+0.0297331643722125j</v>
      </c>
      <c r="T204" s="86" t="str">
        <f t="shared" si="119"/>
        <v>-3.68588744813781+1.06770202597501j</v>
      </c>
      <c r="U204" s="86" t="str">
        <f t="shared" si="120"/>
        <v>-0.248146296206941-0.0799480374039736j</v>
      </c>
      <c r="V204" s="86" t="str">
        <f t="shared" si="121"/>
        <v>-1.71557933180107-0.55272717217562j</v>
      </c>
      <c r="X204" s="86" t="str">
        <f t="shared" si="122"/>
        <v>-0.218965714271702-0.65091464865892j</v>
      </c>
      <c r="Y204" s="86">
        <f t="shared" si="123"/>
        <v>-3.2639317794805582</v>
      </c>
      <c r="Z204" s="86">
        <f t="shared" si="124"/>
        <v>71.407216635316658</v>
      </c>
      <c r="AB204" s="86" t="str">
        <f t="shared" si="125"/>
        <v>-0.591089902081405-0.190437972772747j</v>
      </c>
      <c r="AC204" s="86">
        <f t="shared" si="126"/>
        <v>-4.1380227935542324</v>
      </c>
      <c r="AD204" s="86">
        <f t="shared" si="127"/>
        <v>17.857957596472744</v>
      </c>
      <c r="AF204" s="86" t="str">
        <f t="shared" si="128"/>
        <v>-0.326691655559662-0.516093037574267j</v>
      </c>
      <c r="AG204" s="86">
        <f t="shared" si="129"/>
        <v>-4.2819865906291907</v>
      </c>
      <c r="AH204" s="86">
        <f t="shared" si="130"/>
        <v>57.665812093456452</v>
      </c>
      <c r="AJ204" s="86" t="str">
        <f t="shared" si="131"/>
        <v>9664.46840361104-1800.75942638496j</v>
      </c>
      <c r="AK204" s="86" t="str">
        <f t="shared" si="132"/>
        <v>20000-0.0001585768766518j</v>
      </c>
      <c r="AL204" s="86" t="str">
        <f t="shared" si="146"/>
        <v>10000-56054.1301895291j</v>
      </c>
      <c r="AM204" s="86" t="str">
        <f t="shared" si="147"/>
        <v>948.777183929661-17512.8410159051j</v>
      </c>
      <c r="AN204" s="86" t="str">
        <f t="shared" si="148"/>
        <v>10948.7771839297-17512.8410159051j</v>
      </c>
      <c r="AO204" s="86" t="str">
        <f t="shared" si="149"/>
        <v>10210.1602338896-5539.73123051951j</v>
      </c>
      <c r="AP204" s="86" t="str">
        <f t="shared" si="150"/>
        <v>0.671731924695634+0.0407769836588882j</v>
      </c>
      <c r="AQ204" s="86" t="str">
        <f t="shared" si="133"/>
        <v>1+23.0729355528369j</v>
      </c>
      <c r="AR204" s="86">
        <f t="shared" si="134"/>
        <v>-1.0966502165471429E-4</v>
      </c>
      <c r="AS204" s="86" t="str">
        <f t="shared" si="135"/>
        <v>0.00192980922925791j</v>
      </c>
      <c r="AT204" s="86" t="str">
        <f t="shared" si="136"/>
        <v>-0.000109665021654714+0.00192980922925791j</v>
      </c>
      <c r="AU204" s="86" t="str">
        <f t="shared" si="137"/>
        <v>1.7832349809589-0.17906355590142j</v>
      </c>
      <c r="AW204" s="86" t="str">
        <f t="shared" si="151"/>
        <v>1.11070208654831-0.354763412453963j</v>
      </c>
      <c r="AX204" s="86">
        <f t="shared" si="138"/>
        <v>1.3338438824804142</v>
      </c>
      <c r="AY204" s="86">
        <f t="shared" si="139"/>
        <v>162.28627618941465</v>
      </c>
      <c r="AZ204" s="86" t="str">
        <f t="shared" si="140"/>
        <v>-0.724085212661127-0.00182278298724189j</v>
      </c>
      <c r="BA204" s="86">
        <f t="shared" si="141"/>
        <v>-2.8041789110738224</v>
      </c>
      <c r="BB204" s="86">
        <f t="shared" si="142"/>
        <v>0.14423378588736568</v>
      </c>
      <c r="BD204" s="86" t="str">
        <f t="shared" si="143"/>
        <v>-0.545948030641617-0.457327367140213j</v>
      </c>
      <c r="BE204" s="86">
        <f t="shared" si="144"/>
        <v>-2.9481427081487759</v>
      </c>
      <c r="BF204" s="86">
        <f t="shared" si="145"/>
        <v>39.952088282871046</v>
      </c>
      <c r="BH204" s="86">
        <f t="shared" si="152"/>
        <v>3.9481427081487759</v>
      </c>
      <c r="BI204" s="159">
        <f t="shared" si="153"/>
        <v>-39.952088282871046</v>
      </c>
      <c r="BJ204" s="88"/>
      <c r="BK204" s="88"/>
      <c r="BL204" s="88"/>
      <c r="BM204" s="88"/>
      <c r="BN204" s="42"/>
      <c r="BO204" s="42"/>
      <c r="BP204" s="42"/>
    </row>
    <row r="205" spans="1:68" s="86" customFormat="1">
      <c r="A205" s="86">
        <v>141</v>
      </c>
      <c r="B205" s="86">
        <f t="shared" si="103"/>
        <v>66069.344800759645</v>
      </c>
      <c r="C205" s="86" t="str">
        <f t="shared" si="104"/>
        <v>415125.936507115j</v>
      </c>
      <c r="D205" s="86">
        <f t="shared" si="105"/>
        <v>0.93015746684157341</v>
      </c>
      <c r="E205" s="86" t="str">
        <f t="shared" si="106"/>
        <v>-0.415125936507115j</v>
      </c>
      <c r="F205" s="86" t="str">
        <f t="shared" si="107"/>
        <v>0.930157466841573-0.415125936507115j</v>
      </c>
      <c r="G205" s="86">
        <f t="shared" si="108"/>
        <v>0.1599750541673747</v>
      </c>
      <c r="H205" s="86">
        <f t="shared" si="109"/>
        <v>-24.051035118583702</v>
      </c>
      <c r="J205" s="86">
        <f t="shared" si="110"/>
        <v>17.283950617283953</v>
      </c>
      <c r="K205" s="86" t="str">
        <f t="shared" si="111"/>
        <v>1+5.01264568332341j</v>
      </c>
      <c r="L205" s="86">
        <f t="shared" si="112"/>
        <v>-4.1379734164641375</v>
      </c>
      <c r="M205" s="86" t="str">
        <f t="shared" si="113"/>
        <v>1.11802127221021j</v>
      </c>
      <c r="N205" s="86" t="str">
        <f t="shared" si="114"/>
        <v>-4.13797341646414+1.11802127221021j</v>
      </c>
      <c r="O205" s="86" t="str">
        <f t="shared" si="115"/>
        <v>0.0798066403513573-1.18981435263883j</v>
      </c>
      <c r="P205" s="86" t="str">
        <f t="shared" si="116"/>
        <v>1.3793740307642-20.5646925147452j</v>
      </c>
      <c r="R205" s="86">
        <f t="shared" si="117"/>
        <v>6.9135802469135808</v>
      </c>
      <c r="S205" s="86" t="str">
        <f t="shared" si="118"/>
        <v>1+0.0311344452380336j</v>
      </c>
      <c r="T205" s="86" t="str">
        <f t="shared" si="119"/>
        <v>-4.13797341646414+1.11802127221021j</v>
      </c>
      <c r="U205" s="86" t="str">
        <f t="shared" si="120"/>
        <v>-0.2233282589404-0.0678641840234509j</v>
      </c>
      <c r="V205" s="86" t="str">
        <f t="shared" si="121"/>
        <v>-1.54399783958795-0.469184482137438j</v>
      </c>
      <c r="X205" s="86" t="str">
        <f t="shared" si="122"/>
        <v>-0.22243567201436-0.604117435455595j</v>
      </c>
      <c r="Y205" s="86">
        <f t="shared" si="123"/>
        <v>-3.8254304637727472</v>
      </c>
      <c r="Z205" s="86">
        <f t="shared" si="124"/>
        <v>69.786323795300376</v>
      </c>
      <c r="AB205" s="86" t="str">
        <f t="shared" si="125"/>
        <v>-0.531972794786366-0.161653969865435j</v>
      </c>
      <c r="AC205" s="86">
        <f t="shared" si="126"/>
        <v>-5.098629760002094</v>
      </c>
      <c r="AD205" s="86">
        <f t="shared" si="127"/>
        <v>16.902788150338807</v>
      </c>
      <c r="AF205" s="86" t="str">
        <f t="shared" si="128"/>
        <v>-0.325904256801128-0.4611045038769j</v>
      </c>
      <c r="AG205" s="86">
        <f t="shared" si="129"/>
        <v>-4.9643952938614735</v>
      </c>
      <c r="AH205" s="86">
        <f t="shared" si="130"/>
        <v>54.747695328271945</v>
      </c>
      <c r="AJ205" s="86" t="str">
        <f t="shared" si="131"/>
        <v>9633.28403441315-1879.54224651965j</v>
      </c>
      <c r="AK205" s="86" t="str">
        <f t="shared" si="132"/>
        <v>20000-0.000166050374602846j</v>
      </c>
      <c r="AL205" s="86" t="str">
        <f t="shared" si="146"/>
        <v>10000-53531.2787468805j</v>
      </c>
      <c r="AM205" s="86" t="str">
        <f t="shared" si="147"/>
        <v>947.414192797452-16735.2129158045j</v>
      </c>
      <c r="AN205" s="86" t="str">
        <f t="shared" si="148"/>
        <v>10947.4141927975-16735.2129158045j</v>
      </c>
      <c r="AO205" s="86" t="str">
        <f t="shared" si="149"/>
        <v>9999.29894955062-5408.00793569906j</v>
      </c>
      <c r="AP205" s="86" t="str">
        <f t="shared" si="150"/>
        <v>0.672212481151125+0.0426362363707257j</v>
      </c>
      <c r="AQ205" s="86" t="str">
        <f t="shared" si="133"/>
        <v>1+24.1603295047141j</v>
      </c>
      <c r="AR205" s="86">
        <f t="shared" si="134"/>
        <v>-1.2025495294357884E-4</v>
      </c>
      <c r="AS205" s="86" t="str">
        <f t="shared" si="135"/>
        <v>0.00202075833624806j</v>
      </c>
      <c r="AT205" s="86" t="str">
        <f t="shared" si="136"/>
        <v>-0.000120254952943579+0.00202075833624806j</v>
      </c>
      <c r="AU205" s="86" t="str">
        <f t="shared" si="137"/>
        <v>1.78268000044264-0.180316514365209j</v>
      </c>
      <c r="AW205" s="86" t="str">
        <f t="shared" si="151"/>
        <v>1.10427768246937-0.365109796375562j</v>
      </c>
      <c r="AX205" s="86">
        <f t="shared" si="138"/>
        <v>1.3121252251643343</v>
      </c>
      <c r="AY205" s="86">
        <f t="shared" si="139"/>
        <v>161.70444932777067</v>
      </c>
      <c r="AZ205" s="86" t="str">
        <f t="shared" si="140"/>
        <v>-0.646467132984313+0.0157176075768131j</v>
      </c>
      <c r="BA205" s="86">
        <f t="shared" si="141"/>
        <v>-3.78650453483775</v>
      </c>
      <c r="BB205" s="86">
        <f t="shared" si="142"/>
        <v>-1.3927625218905177</v>
      </c>
      <c r="BD205" s="86" t="str">
        <f t="shared" si="143"/>
        <v>-0.528242568925602-0.390196576078784j</v>
      </c>
      <c r="BE205" s="86">
        <f t="shared" si="144"/>
        <v>-3.6522700686971281</v>
      </c>
      <c r="BF205" s="86">
        <f t="shared" si="145"/>
        <v>36.452144656042663</v>
      </c>
      <c r="BH205" s="86">
        <f t="shared" si="152"/>
        <v>4.6522700686971277</v>
      </c>
      <c r="BI205" s="159">
        <f t="shared" si="153"/>
        <v>-36.452144656042663</v>
      </c>
      <c r="BJ205" s="88"/>
      <c r="BK205" s="88"/>
      <c r="BL205" s="88"/>
      <c r="BM205" s="88"/>
      <c r="BN205" s="42"/>
      <c r="BO205" s="42"/>
      <c r="BP205" s="42"/>
    </row>
    <row r="206" spans="1:68" s="86" customFormat="1">
      <c r="A206" s="86">
        <v>142</v>
      </c>
      <c r="B206" s="86">
        <f t="shared" si="103"/>
        <v>69183.097091893665</v>
      </c>
      <c r="C206" s="86" t="str">
        <f t="shared" si="104"/>
        <v>434690.219152965j</v>
      </c>
      <c r="D206" s="86">
        <f t="shared" si="105"/>
        <v>0.92341918522837774</v>
      </c>
      <c r="E206" s="86" t="str">
        <f t="shared" si="106"/>
        <v>-0.434690219152965j</v>
      </c>
      <c r="F206" s="86" t="str">
        <f t="shared" si="107"/>
        <v>0.923419185228378-0.434690219152965j</v>
      </c>
      <c r="G206" s="86">
        <f t="shared" si="108"/>
        <v>0.17725394713264764</v>
      </c>
      <c r="H206" s="86">
        <f t="shared" si="109"/>
        <v>-25.208235682701812</v>
      </c>
      <c r="J206" s="86">
        <f t="shared" si="110"/>
        <v>17.283950617283953</v>
      </c>
      <c r="K206" s="86" t="str">
        <f t="shared" si="111"/>
        <v>1+5.24888439627205j</v>
      </c>
      <c r="L206" s="86">
        <f t="shared" si="112"/>
        <v>-4.6336758235162456</v>
      </c>
      <c r="M206" s="86" t="str">
        <f t="shared" si="113"/>
        <v>1.1707119914595j</v>
      </c>
      <c r="N206" s="86" t="str">
        <f t="shared" si="114"/>
        <v>-4.63367582351625+1.1707119914595j</v>
      </c>
      <c r="O206" s="86" t="str">
        <f t="shared" si="115"/>
        <v>0.0661626809330871-1.11605281622663j</v>
      </c>
      <c r="P206" s="86" t="str">
        <f t="shared" si="116"/>
        <v>1.14355250995459-19.2898017619418j</v>
      </c>
      <c r="R206" s="86">
        <f t="shared" si="117"/>
        <v>6.9135802469135808</v>
      </c>
      <c r="S206" s="86" t="str">
        <f t="shared" si="118"/>
        <v>1+0.0326017664364724j</v>
      </c>
      <c r="T206" s="86" t="str">
        <f t="shared" si="119"/>
        <v>-4.63367582351625+1.1707119914595j</v>
      </c>
      <c r="U206" s="86" t="str">
        <f t="shared" si="120"/>
        <v>-0.201191028699829-0.0578673447435861j</v>
      </c>
      <c r="V206" s="86" t="str">
        <f t="shared" si="121"/>
        <v>-1.39095032187536-0.400070531560595j</v>
      </c>
      <c r="X206" s="86" t="str">
        <f t="shared" si="122"/>
        <v>-0.224741860087988-0.561452627635093j</v>
      </c>
      <c r="Y206" s="86">
        <f t="shared" si="123"/>
        <v>-4.3682996568474444</v>
      </c>
      <c r="Z206" s="86">
        <f t="shared" si="124"/>
        <v>68.184444988732551</v>
      </c>
      <c r="AB206" s="86" t="str">
        <f t="shared" si="125"/>
        <v>-0.479241428430044-0.137841280168342j</v>
      </c>
      <c r="AC206" s="86">
        <f t="shared" si="126"/>
        <v>-6.0437212555106985</v>
      </c>
      <c r="AD206" s="86">
        <f t="shared" si="127"/>
        <v>16.046499122038199</v>
      </c>
      <c r="AF206" s="86" t="str">
        <f t="shared" si="128"/>
        <v>-0.32102931444536-0.410294347051529j</v>
      </c>
      <c r="AG206" s="86">
        <f t="shared" si="129"/>
        <v>-5.6638812129659657</v>
      </c>
      <c r="AH206" s="86">
        <f t="shared" si="130"/>
        <v>51.959072970421005</v>
      </c>
      <c r="AJ206" s="86" t="str">
        <f t="shared" si="131"/>
        <v>9599.3215437354-1961.18365721607j</v>
      </c>
      <c r="AK206" s="86" t="str">
        <f t="shared" si="132"/>
        <v>20000-0.000173876087661186j</v>
      </c>
      <c r="AL206" s="86" t="str">
        <f t="shared" si="146"/>
        <v>10000-51121.9743235179j</v>
      </c>
      <c r="AM206" s="86" t="str">
        <f t="shared" si="147"/>
        <v>945.924196693479-15993.0491337561j</v>
      </c>
      <c r="AN206" s="86" t="str">
        <f t="shared" si="148"/>
        <v>10945.9241966935-15993.0491337561j</v>
      </c>
      <c r="AO206" s="86" t="str">
        <f t="shared" si="149"/>
        <v>9798.84153444986-5272.0231499067j</v>
      </c>
      <c r="AP206" s="86" t="str">
        <f t="shared" si="150"/>
        <v>0.672737786267246+0.0445740721849487j</v>
      </c>
      <c r="AQ206" s="86" t="str">
        <f t="shared" si="133"/>
        <v>1+25.2989707547026j</v>
      </c>
      <c r="AR206" s="86">
        <f t="shared" si="134"/>
        <v>-1.318665817004735E-4</v>
      </c>
      <c r="AS206" s="86" t="str">
        <f t="shared" si="135"/>
        <v>0.00211599374259719j</v>
      </c>
      <c r="AT206" s="86" t="str">
        <f t="shared" si="136"/>
        <v>-0.000131866581700474+0.00211599374259719j</v>
      </c>
      <c r="AU206" s="86" t="str">
        <f t="shared" si="137"/>
        <v>1.78207193810674-0.181945592310649j</v>
      </c>
      <c r="AW206" s="86" t="str">
        <f t="shared" si="151"/>
        <v>1.09731175142657-0.375942643040397j</v>
      </c>
      <c r="AX206" s="86">
        <f t="shared" si="138"/>
        <v>1.2885980013159293</v>
      </c>
      <c r="AY206" s="86">
        <f t="shared" si="139"/>
        <v>161.08837013780541</v>
      </c>
      <c r="AZ206" s="86" t="str">
        <f t="shared" si="140"/>
        <v>-0.577697666373301+0.0289124326980425j</v>
      </c>
      <c r="BA206" s="86">
        <f t="shared" si="141"/>
        <v>-4.7551232541947721</v>
      </c>
      <c r="BB206" s="86">
        <f t="shared" si="142"/>
        <v>-2.8651307401564168</v>
      </c>
      <c r="BD206" s="86" t="str">
        <f t="shared" si="143"/>
        <v>-0.506516380548395-0.329532199597499j</v>
      </c>
      <c r="BE206" s="86">
        <f t="shared" si="144"/>
        <v>-4.3752832116500322</v>
      </c>
      <c r="BF206" s="86">
        <f t="shared" si="145"/>
        <v>33.047443108226418</v>
      </c>
      <c r="BH206" s="86">
        <f t="shared" si="152"/>
        <v>5.3752832116500322</v>
      </c>
      <c r="BI206" s="159">
        <f t="shared" si="153"/>
        <v>-33.047443108226418</v>
      </c>
      <c r="BJ206" s="88"/>
      <c r="BK206" s="88"/>
      <c r="BL206" s="88"/>
      <c r="BM206" s="88"/>
      <c r="BN206" s="42"/>
      <c r="BO206" s="42"/>
      <c r="BP206" s="42"/>
    </row>
    <row r="207" spans="1:68" s="86" customFormat="1">
      <c r="A207" s="86">
        <v>143</v>
      </c>
      <c r="B207" s="86">
        <f t="shared" si="103"/>
        <v>72443.596007499029</v>
      </c>
      <c r="C207" s="86" t="str">
        <f t="shared" si="104"/>
        <v>455176.538033572j</v>
      </c>
      <c r="D207" s="86">
        <f t="shared" si="105"/>
        <v>0.91603080636003609</v>
      </c>
      <c r="E207" s="86" t="str">
        <f t="shared" si="106"/>
        <v>-0.455176538033572j</v>
      </c>
      <c r="F207" s="86" t="str">
        <f t="shared" si="107"/>
        <v>0.916030806360036-0.455176538033572j</v>
      </c>
      <c r="G207" s="86">
        <f t="shared" si="108"/>
        <v>0.19655444550247494</v>
      </c>
      <c r="H207" s="86">
        <f t="shared" si="109"/>
        <v>-26.422823173974294</v>
      </c>
      <c r="J207" s="86">
        <f t="shared" si="110"/>
        <v>17.283950617283953</v>
      </c>
      <c r="K207" s="86" t="str">
        <f t="shared" si="111"/>
        <v>1+5.49625669675538j</v>
      </c>
      <c r="L207" s="86">
        <f t="shared" si="112"/>
        <v>-5.1772027046245741</v>
      </c>
      <c r="M207" s="86" t="str">
        <f t="shared" si="113"/>
        <v>1.22588594780276j</v>
      </c>
      <c r="N207" s="86" t="str">
        <f t="shared" si="114"/>
        <v>-5.17720270462457+1.22588594780276j</v>
      </c>
      <c r="O207" s="86" t="str">
        <f t="shared" si="115"/>
        <v>0.05513208453093-1.04857224234366j</v>
      </c>
      <c r="P207" s="86" t="str">
        <f t="shared" si="116"/>
        <v>0.952900226460519-18.1234708553225j</v>
      </c>
      <c r="R207" s="86">
        <f t="shared" si="117"/>
        <v>6.9135802469135808</v>
      </c>
      <c r="S207" s="86" t="str">
        <f t="shared" si="118"/>
        <v>1+0.0341382403525179j</v>
      </c>
      <c r="T207" s="86" t="str">
        <f t="shared" si="119"/>
        <v>-5.17720270462457+1.22588594780276j</v>
      </c>
      <c r="U207" s="86" t="str">
        <f t="shared" si="120"/>
        <v>-0.181421339663117-0.0495518769330645j</v>
      </c>
      <c r="V207" s="86" t="str">
        <f t="shared" si="121"/>
        <v>-1.25427099026352-0.342580877561927j</v>
      </c>
      <c r="X207" s="86" t="str">
        <f t="shared" si="122"/>
        <v>-0.226194823416653-0.522378099109554j</v>
      </c>
      <c r="Y207" s="86">
        <f t="shared" si="123"/>
        <v>-4.8939738717190053</v>
      </c>
      <c r="Z207" s="86">
        <f t="shared" si="124"/>
        <v>66.586916749956899</v>
      </c>
      <c r="AB207" s="86" t="str">
        <f t="shared" si="125"/>
        <v>-0.43214959697613-0.118033654066265j</v>
      </c>
      <c r="AC207" s="86">
        <f t="shared" si="126"/>
        <v>-6.9748461618028017</v>
      </c>
      <c r="AD207" s="86">
        <f t="shared" si="127"/>
        <v>15.276671911051579</v>
      </c>
      <c r="AF207" s="86" t="str">
        <f t="shared" si="128"/>
        <v>-0.312901230399587-0.363769088821962j</v>
      </c>
      <c r="AG207" s="86">
        <f t="shared" si="129"/>
        <v>-6.3782840969317594</v>
      </c>
      <c r="AH207" s="86">
        <f t="shared" si="130"/>
        <v>49.299053753327001</v>
      </c>
      <c r="AJ207" s="86" t="str">
        <f t="shared" si="131"/>
        <v>9562.35659553923-2045.70337418202j</v>
      </c>
      <c r="AK207" s="86" t="str">
        <f t="shared" si="132"/>
        <v>20000-0.000182070615213429j</v>
      </c>
      <c r="AL207" s="86" t="str">
        <f t="shared" si="146"/>
        <v>10000-48821.1064617378j</v>
      </c>
      <c r="AM207" s="86" t="str">
        <f t="shared" si="147"/>
        <v>944.295825854646-15284.7706861954j</v>
      </c>
      <c r="AN207" s="86" t="str">
        <f t="shared" si="148"/>
        <v>10944.2958258546-15284.7706861954j</v>
      </c>
      <c r="AO207" s="86" t="str">
        <f t="shared" si="149"/>
        <v>9608.8044850624-5132.67588114557j</v>
      </c>
      <c r="AP207" s="86" t="str">
        <f t="shared" si="150"/>
        <v>0.67331184008854+0.0465929107922797j</v>
      </c>
      <c r="AQ207" s="86" t="str">
        <f t="shared" si="133"/>
        <v>1+26.4912745135539j</v>
      </c>
      <c r="AR207" s="86">
        <f t="shared" si="134"/>
        <v>-1.4459847945411762E-4</v>
      </c>
      <c r="AS207" s="86" t="str">
        <f t="shared" si="135"/>
        <v>0.00221571745537058j</v>
      </c>
      <c r="AT207" s="86" t="str">
        <f t="shared" si="136"/>
        <v>-0.000144598479454118+0.00221571745537058j</v>
      </c>
      <c r="AU207" s="86" t="str">
        <f t="shared" si="137"/>
        <v>1.78140574665698-0.183953311045815j</v>
      </c>
      <c r="AW207" s="86" t="str">
        <f t="shared" si="151"/>
        <v>1.08976604800954-0.387248377965133j</v>
      </c>
      <c r="AX207" s="86">
        <f t="shared" si="138"/>
        <v>1.2631046261564527</v>
      </c>
      <c r="AY207" s="86">
        <f t="shared" si="139"/>
        <v>160.43732991356936</v>
      </c>
      <c r="AZ207" s="86" t="str">
        <f t="shared" si="140"/>
        <v>-0.516650299528052+0.0387201617433738j</v>
      </c>
      <c r="BA207" s="86">
        <f t="shared" si="141"/>
        <v>-5.7117415356463361</v>
      </c>
      <c r="BB207" s="86">
        <f t="shared" si="142"/>
        <v>-4.2859981753791203</v>
      </c>
      <c r="BD207" s="86" t="str">
        <f t="shared" si="143"/>
        <v>-0.48185812687004-0.275252708378007j</v>
      </c>
      <c r="BE207" s="86">
        <f t="shared" si="144"/>
        <v>-5.1151794707752982</v>
      </c>
      <c r="BF207" s="86">
        <f t="shared" si="145"/>
        <v>29.736383666896415</v>
      </c>
      <c r="BH207" s="86">
        <f t="shared" si="152"/>
        <v>6.1151794707752982</v>
      </c>
      <c r="BI207" s="159">
        <f t="shared" si="153"/>
        <v>-29.736383666896415</v>
      </c>
      <c r="BJ207" s="88"/>
      <c r="BK207" s="88"/>
      <c r="BL207" s="88"/>
      <c r="BM207" s="88"/>
      <c r="BN207" s="42"/>
      <c r="BO207" s="42"/>
      <c r="BP207" s="42"/>
    </row>
    <row r="208" spans="1:68" s="86" customFormat="1">
      <c r="A208" s="86">
        <v>144</v>
      </c>
      <c r="B208" s="86">
        <f t="shared" si="103"/>
        <v>75857.757502918379</v>
      </c>
      <c r="C208" s="86" t="str">
        <f t="shared" si="104"/>
        <v>476628.347377929j</v>
      </c>
      <c r="D208" s="86">
        <f t="shared" si="105"/>
        <v>0.90792961002605466</v>
      </c>
      <c r="E208" s="86" t="str">
        <f t="shared" si="106"/>
        <v>-0.476628347377929j</v>
      </c>
      <c r="F208" s="86" t="str">
        <f t="shared" si="107"/>
        <v>0.907929610026055-0.476628347377929j</v>
      </c>
      <c r="G208" s="86">
        <f t="shared" si="108"/>
        <v>0.21813720427441607</v>
      </c>
      <c r="H208" s="86">
        <f t="shared" si="109"/>
        <v>-27.697756254830725</v>
      </c>
      <c r="J208" s="86">
        <f t="shared" si="110"/>
        <v>17.283950617283953</v>
      </c>
      <c r="K208" s="86" t="str">
        <f t="shared" si="111"/>
        <v>1+5.75528729458849j</v>
      </c>
      <c r="L208" s="86">
        <f t="shared" si="112"/>
        <v>-5.7731680787775499</v>
      </c>
      <c r="M208" s="86" t="str">
        <f t="shared" si="113"/>
        <v>1.28366017259871j</v>
      </c>
      <c r="N208" s="86" t="str">
        <f t="shared" si="114"/>
        <v>-5.77316807877755+1.28366017259871j</v>
      </c>
      <c r="O208" s="86" t="str">
        <f t="shared" si="115"/>
        <v>0.0461632878466334-0.9866384007565j</v>
      </c>
      <c r="P208" s="86" t="str">
        <f t="shared" si="116"/>
        <v>0.797883987472676-17.0530093957914j</v>
      </c>
      <c r="R208" s="86">
        <f t="shared" si="117"/>
        <v>6.9135802469135808</v>
      </c>
      <c r="S208" s="86" t="str">
        <f t="shared" si="118"/>
        <v>1+0.0357471260533447j</v>
      </c>
      <c r="T208" s="86" t="str">
        <f t="shared" si="119"/>
        <v>-5.77316807877755+1.28366017259871j</v>
      </c>
      <c r="U208" s="86" t="str">
        <f t="shared" si="120"/>
        <v>-0.163743016058511-0.0426000959876647j</v>
      </c>
      <c r="V208" s="86" t="str">
        <f t="shared" si="121"/>
        <v>-1.13205048139217-0.294519182136941j</v>
      </c>
      <c r="X208" s="86" t="str">
        <f t="shared" si="122"/>
        <v>-0.227023753369776-0.486434378589704j</v>
      </c>
      <c r="Y208" s="86">
        <f t="shared" si="123"/>
        <v>-5.4036903354093475</v>
      </c>
      <c r="Z208" s="86">
        <f t="shared" si="124"/>
        <v>64.981071175948713</v>
      </c>
      <c r="AB208" s="86" t="str">
        <f t="shared" si="125"/>
        <v>-0.390039443699066-0.101474359887314j</v>
      </c>
      <c r="AC208" s="86">
        <f t="shared" si="126"/>
        <v>-7.8933960223389645</v>
      </c>
      <c r="AD208" s="86">
        <f t="shared" si="127"/>
        <v>14.583036365747063</v>
      </c>
      <c r="AF208" s="86" t="str">
        <f t="shared" si="128"/>
        <v>-0.302274761988864-0.321499136593262j</v>
      </c>
      <c r="AG208" s="86">
        <f t="shared" si="129"/>
        <v>-7.1056328551189658</v>
      </c>
      <c r="AH208" s="86">
        <f t="shared" si="130"/>
        <v>46.765266209788649</v>
      </c>
      <c r="AJ208" s="86" t="str">
        <f t="shared" si="131"/>
        <v>9522.15117263511-2133.10777314107j</v>
      </c>
      <c r="AK208" s="86" t="str">
        <f t="shared" si="132"/>
        <v>20000-0.000190651338951172j</v>
      </c>
      <c r="AL208" s="86" t="str">
        <f t="shared" si="146"/>
        <v>10000-46623.7947123228j</v>
      </c>
      <c r="AM208" s="86" t="str">
        <f t="shared" si="147"/>
        <v>942.516784373787-14608.8698057488j</v>
      </c>
      <c r="AN208" s="86" t="str">
        <f t="shared" si="148"/>
        <v>10942.5167843738-14608.8698057488j</v>
      </c>
      <c r="AO208" s="86" t="str">
        <f t="shared" si="149"/>
        <v>9429.11753102217-4990.82369691688j</v>
      </c>
      <c r="AP208" s="86" t="str">
        <f t="shared" si="150"/>
        <v>0.673938967303673+0.0486951096215067j</v>
      </c>
      <c r="AQ208" s="86" t="str">
        <f t="shared" si="133"/>
        <v>1+27.7397698173955j</v>
      </c>
      <c r="AR208" s="86">
        <f t="shared" si="134"/>
        <v>-1.5855872773651243E-4</v>
      </c>
      <c r="AS208" s="86" t="str">
        <f t="shared" si="135"/>
        <v>0.00232014100193323j</v>
      </c>
      <c r="AT208" s="86" t="str">
        <f t="shared" si="136"/>
        <v>-0.000158558727736512+0.00232014100193323j</v>
      </c>
      <c r="AU208" s="86" t="str">
        <f t="shared" si="137"/>
        <v>1.78067590831453-0.186342858547462j</v>
      </c>
      <c r="AW208" s="86" t="str">
        <f t="shared" si="151"/>
        <v>1.08160095694479-0.399010385371499j</v>
      </c>
      <c r="AX208" s="86">
        <f t="shared" si="138"/>
        <v>1.2354782825033617</v>
      </c>
      <c r="AY208" s="86">
        <f t="shared" si="139"/>
        <v>159.75061893553791</v>
      </c>
      <c r="AZ208" s="86" t="str">
        <f t="shared" si="140"/>
        <v>-0.462356358995087+0.0458750239809704j</v>
      </c>
      <c r="BA208" s="86">
        <f t="shared" si="141"/>
        <v>-6.6579177398355958</v>
      </c>
      <c r="BB208" s="86">
        <f t="shared" si="142"/>
        <v>-5.6663446987149939</v>
      </c>
      <c r="BD208" s="86" t="str">
        <f t="shared" si="143"/>
        <v>-0.455222166216096-0.227123004526942j</v>
      </c>
      <c r="BE208" s="86">
        <f t="shared" si="144"/>
        <v>-5.8701545726155917</v>
      </c>
      <c r="BF208" s="86">
        <f t="shared" si="145"/>
        <v>26.515885145326649</v>
      </c>
      <c r="BH208" s="86">
        <f t="shared" si="152"/>
        <v>6.8701545726155917</v>
      </c>
      <c r="BI208" s="159">
        <f t="shared" si="153"/>
        <v>-26.515885145326649</v>
      </c>
      <c r="BJ208" s="88"/>
      <c r="BK208" s="88"/>
      <c r="BL208" s="88"/>
      <c r="BM208" s="88"/>
      <c r="BN208" s="42"/>
      <c r="BO208" s="42"/>
      <c r="BP208" s="42"/>
    </row>
    <row r="209" spans="1:68" s="86" customFormat="1">
      <c r="A209" s="86">
        <v>145</v>
      </c>
      <c r="B209" s="86">
        <f t="shared" si="103"/>
        <v>79432.823472428208</v>
      </c>
      <c r="C209" s="86" t="str">
        <f t="shared" si="104"/>
        <v>499091.149349751j</v>
      </c>
      <c r="D209" s="86">
        <f t="shared" si="105"/>
        <v>0.899046824883169</v>
      </c>
      <c r="E209" s="86" t="str">
        <f t="shared" si="106"/>
        <v>-0.499091149349751j</v>
      </c>
      <c r="F209" s="86" t="str">
        <f t="shared" si="107"/>
        <v>0.899046824883169-0.499091149349751j</v>
      </c>
      <c r="G209" s="86">
        <f t="shared" si="108"/>
        <v>0.24229928711204307</v>
      </c>
      <c r="H209" s="86">
        <f t="shared" si="109"/>
        <v>-29.036128849802637</v>
      </c>
      <c r="J209" s="86">
        <f t="shared" si="110"/>
        <v>17.283950617283953</v>
      </c>
      <c r="K209" s="86" t="str">
        <f t="shared" si="111"/>
        <v>1+6.02652562839824j</v>
      </c>
      <c r="L209" s="86">
        <f t="shared" si="112"/>
        <v>-6.4266311171926009</v>
      </c>
      <c r="M209" s="86" t="str">
        <f t="shared" si="113"/>
        <v>1.34415721272405j</v>
      </c>
      <c r="N209" s="86" t="str">
        <f t="shared" si="114"/>
        <v>-6.4266311171926+1.34415721272405j</v>
      </c>
      <c r="O209" s="86" t="str">
        <f t="shared" si="115"/>
        <v>0.0388316167100562-0.929620779809982j</v>
      </c>
      <c r="P209" s="86" t="str">
        <f t="shared" si="116"/>
        <v>0.67116374560591-16.0675196510367j</v>
      </c>
      <c r="R209" s="86">
        <f t="shared" si="117"/>
        <v>6.9135802469135808</v>
      </c>
      <c r="S209" s="86" t="str">
        <f t="shared" si="118"/>
        <v>1+0.0374318362012313j</v>
      </c>
      <c r="T209" s="86" t="str">
        <f t="shared" si="119"/>
        <v>-6.4266311171926+1.34415721272405j</v>
      </c>
      <c r="U209" s="86" t="str">
        <f t="shared" si="120"/>
        <v>-0.147913743327066-0.0367612761409783j</v>
      </c>
      <c r="V209" s="86" t="str">
        <f t="shared" si="121"/>
        <v>-1.02261353411305-0.254152032579603j</v>
      </c>
      <c r="X209" s="86" t="str">
        <f t="shared" si="122"/>
        <v>-0.227398594324732-0.453231040724085j</v>
      </c>
      <c r="Y209" s="86">
        <f t="shared" si="123"/>
        <v>-5.8984978880287908</v>
      </c>
      <c r="Z209" s="86">
        <f t="shared" si="124"/>
        <v>63.355808932926351</v>
      </c>
      <c r="AB209" s="86" t="str">
        <f t="shared" si="125"/>
        <v>-0.352333770022413-0.087566163375001j</v>
      </c>
      <c r="AC209" s="86">
        <f t="shared" si="126"/>
        <v>-8.8006179328576</v>
      </c>
      <c r="AD209" s="86">
        <f t="shared" si="127"/>
        <v>13.957045478701417</v>
      </c>
      <c r="AF209" s="86" t="str">
        <f t="shared" si="128"/>
        <v>-0.289812774615893-0.283352201045969j</v>
      </c>
      <c r="AG209" s="86">
        <f t="shared" si="129"/>
        <v>-7.8441553272552689</v>
      </c>
      <c r="AH209" s="86">
        <f t="shared" si="130"/>
        <v>44.354203520838468</v>
      </c>
      <c r="AJ209" s="86" t="str">
        <f t="shared" si="131"/>
        <v>9478.45361252669-2223.3877845411j</v>
      </c>
      <c r="AK209" s="86" t="str">
        <f t="shared" si="132"/>
        <v>20000-0.0001996364597399j</v>
      </c>
      <c r="AL209" s="86" t="str">
        <f t="shared" si="146"/>
        <v>10000-44525.3782824536j</v>
      </c>
      <c r="AM209" s="86" t="str">
        <f t="shared" si="147"/>
        <v>940.573792973721-13963.9066565701j</v>
      </c>
      <c r="AN209" s="86" t="str">
        <f t="shared" si="148"/>
        <v>10940.5737929737-13963.9066565701j</v>
      </c>
      <c r="AO209" s="86" t="str">
        <f t="shared" si="149"/>
        <v>9259.63346450548-4847.27520239555j</v>
      </c>
      <c r="AP209" s="86" t="str">
        <f t="shared" si="150"/>
        <v>0.674623837057271+0.0508829382040258j</v>
      </c>
      <c r="AQ209" s="86" t="str">
        <f t="shared" si="133"/>
        <v>1+29.0471048921555j</v>
      </c>
      <c r="AR209" s="86">
        <f t="shared" si="134"/>
        <v>-1.7386583559090367E-4</v>
      </c>
      <c r="AS209" s="86" t="str">
        <f t="shared" si="135"/>
        <v>0.0024294858786277j</v>
      </c>
      <c r="AT209" s="86" t="str">
        <f t="shared" si="136"/>
        <v>-0.000173865835590904+0.0024294858786277j</v>
      </c>
      <c r="AU209" s="86" t="str">
        <f t="shared" si="137"/>
        <v>1.77987639256026-0.189118076496307j</v>
      </c>
      <c r="AW209" s="86" t="str">
        <f t="shared" si="151"/>
        <v>1.0727756931751-0.411208658828574j</v>
      </c>
      <c r="AX209" s="86">
        <f t="shared" si="138"/>
        <v>1.2055427201416142</v>
      </c>
      <c r="AY209" s="86">
        <f t="shared" si="139"/>
        <v>159.02753214023585</v>
      </c>
      <c r="AZ209" s="86" t="str">
        <f t="shared" si="140"/>
        <v>-0.413983068964988+0.0509438454176307j</v>
      </c>
      <c r="BA209" s="86">
        <f t="shared" si="141"/>
        <v>-7.5950752127159928</v>
      </c>
      <c r="BB209" s="86">
        <f t="shared" si="142"/>
        <v>-7.0154223810627343</v>
      </c>
      <c r="BD209" s="86" t="str">
        <f t="shared" si="143"/>
        <v>-0.4274209787478-0.184799831528591j</v>
      </c>
      <c r="BE209" s="86">
        <f t="shared" si="144"/>
        <v>-6.6386126071136689</v>
      </c>
      <c r="BF209" s="86">
        <f t="shared" si="145"/>
        <v>23.381735661074401</v>
      </c>
      <c r="BH209" s="86">
        <f t="shared" si="152"/>
        <v>7.6386126071136689</v>
      </c>
      <c r="BI209" s="159">
        <f t="shared" si="153"/>
        <v>-23.381735661074401</v>
      </c>
      <c r="BJ209" s="88"/>
      <c r="BK209" s="88"/>
      <c r="BL209" s="88"/>
      <c r="BM209" s="88"/>
      <c r="BN209" s="42"/>
      <c r="BO209" s="42"/>
      <c r="BP209" s="42"/>
    </row>
    <row r="210" spans="1:68" s="86" customFormat="1">
      <c r="A210" s="86">
        <v>146</v>
      </c>
      <c r="B210" s="86">
        <f t="shared" si="103"/>
        <v>83176.377110267145</v>
      </c>
      <c r="C210" s="86" t="str">
        <f t="shared" si="104"/>
        <v>522612.590563659j</v>
      </c>
      <c r="D210" s="86">
        <f t="shared" si="105"/>
        <v>0.88930704465296995</v>
      </c>
      <c r="E210" s="86" t="str">
        <f t="shared" si="106"/>
        <v>-0.522612590563659j</v>
      </c>
      <c r="F210" s="86" t="str">
        <f t="shared" si="107"/>
        <v>0.88930704465297-0.522612590563659j</v>
      </c>
      <c r="G210" s="86">
        <f t="shared" si="108"/>
        <v>0.26937929699258228</v>
      </c>
      <c r="H210" s="86">
        <f t="shared" si="109"/>
        <v>-30.441165882548045</v>
      </c>
      <c r="J210" s="86">
        <f t="shared" si="110"/>
        <v>17.283950617283953</v>
      </c>
      <c r="K210" s="86" t="str">
        <f t="shared" si="111"/>
        <v>1+6.31054703105618j</v>
      </c>
      <c r="L210" s="86">
        <f t="shared" si="112"/>
        <v>-7.1431390908002008</v>
      </c>
      <c r="M210" s="86" t="str">
        <f t="shared" si="113"/>
        <v>1.40750539051188j</v>
      </c>
      <c r="N210" s="86" t="str">
        <f t="shared" si="114"/>
        <v>-7.1431390908002+1.40750539051188j</v>
      </c>
      <c r="O210" s="86" t="str">
        <f t="shared" si="115"/>
        <v>0.032807720455454-0.876977181605316j</v>
      </c>
      <c r="P210" s="86" t="str">
        <f t="shared" si="116"/>
        <v>0.567047020217723-15.1576302993511j</v>
      </c>
      <c r="R210" s="86">
        <f t="shared" si="117"/>
        <v>6.9135802469135808</v>
      </c>
      <c r="S210" s="86" t="str">
        <f t="shared" si="118"/>
        <v>1+0.0391959442922744j</v>
      </c>
      <c r="T210" s="86" t="str">
        <f t="shared" si="119"/>
        <v>-7.1431390908002+1.40750539051188j</v>
      </c>
      <c r="U210" s="86" t="str">
        <f t="shared" si="120"/>
        <v>-0.133721398453036-0.0318360780254994j</v>
      </c>
      <c r="V210" s="86" t="str">
        <f t="shared" si="121"/>
        <v>-0.92449361893457-0.220101280176292j</v>
      </c>
      <c r="X210" s="86" t="str">
        <f t="shared" si="122"/>
        <v>-0.227445826893629-0.422435179600414j</v>
      </c>
      <c r="Y210" s="86">
        <f t="shared" si="123"/>
        <v>-6.3792659340074369</v>
      </c>
      <c r="Z210" s="86">
        <f t="shared" si="124"/>
        <v>61.701270416511264</v>
      </c>
      <c r="AB210" s="86" t="str">
        <f t="shared" si="125"/>
        <v>-0.318527294285615-0.0758342337983366j</v>
      </c>
      <c r="AC210" s="86">
        <f t="shared" si="126"/>
        <v>-9.6976280728763058</v>
      </c>
      <c r="AD210" s="86">
        <f t="shared" si="127"/>
        <v>13.391544789084122</v>
      </c>
      <c r="AF210" s="86" t="str">
        <f t="shared" si="128"/>
        <v>-0.276082687902258-0.249123337038j</v>
      </c>
      <c r="AG210" s="86">
        <f t="shared" si="129"/>
        <v>-8.5922779138766696</v>
      </c>
      <c r="AH210" s="86">
        <f t="shared" si="130"/>
        <v>42.061529318532877</v>
      </c>
      <c r="AJ210" s="86" t="str">
        <f t="shared" si="131"/>
        <v>9430.99884957759-2316.5166079789j</v>
      </c>
      <c r="AK210" s="86" t="str">
        <f t="shared" si="132"/>
        <v>20000-0.000209045036225464j</v>
      </c>
      <c r="AL210" s="86" t="str">
        <f t="shared" si="146"/>
        <v>10000-42521.406149543j</v>
      </c>
      <c r="AM210" s="86" t="str">
        <f t="shared" si="147"/>
        <v>938.452532029939-13348.5061836501j</v>
      </c>
      <c r="AN210" s="86" t="str">
        <f t="shared" si="148"/>
        <v>10938.4525320299-13348.5061836501j</v>
      </c>
      <c r="AO210" s="86" t="str">
        <f t="shared" si="149"/>
        <v>9100.13826032387-4702.78440935786j</v>
      </c>
      <c r="AP210" s="86" t="str">
        <f t="shared" si="150"/>
        <v>0.67537148261124+0.0531585487858747j</v>
      </c>
      <c r="AQ210" s="86" t="str">
        <f t="shared" si="133"/>
        <v>1+30.416052770805j</v>
      </c>
      <c r="AR210" s="86">
        <f t="shared" si="134"/>
        <v>-1.9064974559925626E-4</v>
      </c>
      <c r="AS210" s="86" t="str">
        <f t="shared" si="135"/>
        <v>0.00254398402059759j</v>
      </c>
      <c r="AT210" s="86" t="str">
        <f t="shared" si="136"/>
        <v>-0.000190649745599256+0.00254398402059759j</v>
      </c>
      <c r="AU210" s="86" t="str">
        <f t="shared" si="137"/>
        <v>1.77900061043365-0.192283445901988j</v>
      </c>
      <c r="AW210" s="86" t="str">
        <f t="shared" si="151"/>
        <v>1.06324855477706-0.423819450130685j</v>
      </c>
      <c r="AX210" s="86">
        <f t="shared" si="138"/>
        <v>1.1731121428414051</v>
      </c>
      <c r="AY210" s="86">
        <f t="shared" si="139"/>
        <v>158.26737516960512</v>
      </c>
      <c r="AZ210" s="86" t="str">
        <f t="shared" si="140"/>
        <v>-0.370813708575721+0.0543674232270374j</v>
      </c>
      <c r="BA210" s="86">
        <f t="shared" si="141"/>
        <v>-8.5245159300348821</v>
      </c>
      <c r="BB210" s="86">
        <f t="shared" si="142"/>
        <v>-8.3410800413107893</v>
      </c>
      <c r="BD210" s="86" t="str">
        <f t="shared" si="143"/>
        <v>-0.399127834629209-0.147870815089556j</v>
      </c>
      <c r="BE210" s="86">
        <f t="shared" si="144"/>
        <v>-7.4191657710352477</v>
      </c>
      <c r="BF210" s="86">
        <f t="shared" si="145"/>
        <v>20.328904488138051</v>
      </c>
      <c r="BH210" s="86">
        <f t="shared" si="152"/>
        <v>8.4191657710352477</v>
      </c>
      <c r="BI210" s="159">
        <f t="shared" si="153"/>
        <v>-20.328904488138051</v>
      </c>
      <c r="BJ210" s="88"/>
      <c r="BK210" s="88"/>
      <c r="BL210" s="88"/>
      <c r="BM210" s="88"/>
      <c r="BN210" s="42"/>
      <c r="BO210" s="42"/>
      <c r="BP210" s="42"/>
    </row>
    <row r="211" spans="1:68" s="86" customFormat="1">
      <c r="A211" s="86">
        <v>147</v>
      </c>
      <c r="B211" s="86">
        <f t="shared" si="103"/>
        <v>87096.358995608098</v>
      </c>
      <c r="C211" s="86" t="str">
        <f t="shared" si="104"/>
        <v>547242.563150043j</v>
      </c>
      <c r="D211" s="86">
        <f t="shared" si="105"/>
        <v>0.87862758799533058</v>
      </c>
      <c r="E211" s="86" t="str">
        <f t="shared" si="106"/>
        <v>-0.547242563150043j</v>
      </c>
      <c r="F211" s="86" t="str">
        <f t="shared" si="107"/>
        <v>0.878627587995331-0.547242563150043j</v>
      </c>
      <c r="G211" s="86">
        <f t="shared" si="108"/>
        <v>0.29976311609532841</v>
      </c>
      <c r="H211" s="86">
        <f t="shared" si="109"/>
        <v>-31.916215021028396</v>
      </c>
      <c r="J211" s="86">
        <f t="shared" si="110"/>
        <v>17.283950617283953</v>
      </c>
      <c r="K211" s="86" t="str">
        <f t="shared" si="111"/>
        <v>1+6.60795395003677j</v>
      </c>
      <c r="L211" s="86">
        <f t="shared" si="112"/>
        <v>-7.9287744612236395</v>
      </c>
      <c r="M211" s="86" t="str">
        <f t="shared" si="113"/>
        <v>1.47383907594052j</v>
      </c>
      <c r="N211" s="86" t="str">
        <f t="shared" si="114"/>
        <v>-7.92877446122364+1.47383907594052j</v>
      </c>
      <c r="O211" s="86" t="str">
        <f t="shared" si="115"/>
        <v>0.0278344287472569-0.828240292797925j</v>
      </c>
      <c r="P211" s="86" t="str">
        <f t="shared" si="116"/>
        <v>0.481088891927897-14.3152643199641j</v>
      </c>
      <c r="R211" s="86">
        <f t="shared" si="117"/>
        <v>6.9135802469135808</v>
      </c>
      <c r="S211" s="86" t="str">
        <f t="shared" si="118"/>
        <v>1+0.0410431922362532j</v>
      </c>
      <c r="T211" s="86" t="str">
        <f t="shared" si="119"/>
        <v>-7.92877446122364+1.47383907594052j</v>
      </c>
      <c r="U211" s="86" t="str">
        <f t="shared" si="120"/>
        <v>-0.120980408355687-0.027664911717044j</v>
      </c>
      <c r="V211" s="86" t="str">
        <f t="shared" si="121"/>
        <v>-0.836407761471416-0.191263587179563j</v>
      </c>
      <c r="X211" s="86" t="str">
        <f t="shared" si="122"/>
        <v>-0.227259830817681-0.393761784956095j</v>
      </c>
      <c r="Y211" s="86">
        <f t="shared" si="123"/>
        <v>-6.8466924311575514</v>
      </c>
      <c r="Z211" s="86">
        <f t="shared" si="124"/>
        <v>60.00858303550568</v>
      </c>
      <c r="AB211" s="86" t="str">
        <f t="shared" si="125"/>
        <v>-0.288177977353713-0.0658984244692541j</v>
      </c>
      <c r="AC211" s="86">
        <f t="shared" si="126"/>
        <v>-10.585424899172764</v>
      </c>
      <c r="AD211" s="86">
        <f t="shared" si="127"/>
        <v>12.880513558893966</v>
      </c>
      <c r="AF211" s="86" t="str">
        <f t="shared" si="128"/>
        <v>-0.261559120425346-0.218560413105219j</v>
      </c>
      <c r="AG211" s="86">
        <f t="shared" si="129"/>
        <v>-9.3486179592675853</v>
      </c>
      <c r="AH211" s="86">
        <f t="shared" si="130"/>
        <v>39.882338489429912</v>
      </c>
      <c r="AJ211" s="86" t="str">
        <f t="shared" si="131"/>
        <v>9379.50890558833-2412.44725245392j</v>
      </c>
      <c r="AK211" s="86" t="str">
        <f t="shared" si="132"/>
        <v>20000-0.000218897025260018j</v>
      </c>
      <c r="AL211" s="86" t="str">
        <f t="shared" si="146"/>
        <v>10000-40607.6276200201j</v>
      </c>
      <c r="AM211" s="86" t="str">
        <f t="shared" si="147"/>
        <v>936.137585818714-12761.3550885345j</v>
      </c>
      <c r="AN211" s="86" t="str">
        <f t="shared" si="148"/>
        <v>10936.1375858187-12761.3550885345j</v>
      </c>
      <c r="AO211" s="86" t="str">
        <f t="shared" si="149"/>
        <v>8950.36116895793-4558.04687209262j</v>
      </c>
      <c r="AP211" s="86" t="str">
        <f t="shared" si="150"/>
        <v>0.67618732050219+0.0555239428218548j</v>
      </c>
      <c r="AQ211" s="86" t="str">
        <f t="shared" si="133"/>
        <v>1+31.8495171753325j</v>
      </c>
      <c r="AR211" s="86">
        <f t="shared" si="134"/>
        <v>-2.0905293696944346E-4</v>
      </c>
      <c r="AS211" s="86" t="str">
        <f t="shared" si="135"/>
        <v>0.00266387829375304j</v>
      </c>
      <c r="AT211" s="86" t="str">
        <f t="shared" si="136"/>
        <v>-0.000209052936969443+0.00266387829375304j</v>
      </c>
      <c r="AU211" s="86" t="str">
        <f t="shared" si="137"/>
        <v>1.77804136517668-0.19584407090473j</v>
      </c>
      <c r="AW211" s="86" t="str">
        <f t="shared" si="151"/>
        <v>1.05297723339095-0.436814923632461j</v>
      </c>
      <c r="AX211" s="86">
        <f t="shared" si="138"/>
        <v>1.1379911972306724</v>
      </c>
      <c r="AY211" s="86">
        <f t="shared" si="139"/>
        <v>157.46947074839602</v>
      </c>
      <c r="AZ211" s="86" t="str">
        <f t="shared" si="140"/>
        <v>-0.332230264570149+0.0564909004878615j</v>
      </c>
      <c r="BA211" s="86">
        <f t="shared" si="141"/>
        <v>-9.4474337019420975</v>
      </c>
      <c r="BB211" s="86">
        <f t="shared" si="142"/>
        <v>-9.6500156927099852</v>
      </c>
      <c r="BD211" s="86" t="str">
        <f t="shared" si="143"/>
        <v>-0.370886249153286-0.115886211906345j</v>
      </c>
      <c r="BE211" s="86">
        <f t="shared" si="144"/>
        <v>-8.2106267620369291</v>
      </c>
      <c r="BF211" s="86">
        <f t="shared" si="145"/>
        <v>17.351809237825904</v>
      </c>
      <c r="BH211" s="86">
        <f t="shared" si="152"/>
        <v>9.2106267620369291</v>
      </c>
      <c r="BI211" s="159">
        <f t="shared" si="153"/>
        <v>-17.351809237825904</v>
      </c>
      <c r="BJ211" s="88"/>
      <c r="BK211" s="88"/>
      <c r="BL211" s="88"/>
      <c r="BM211" s="88"/>
      <c r="BN211" s="42"/>
      <c r="BO211" s="42"/>
      <c r="BP211" s="42"/>
    </row>
    <row r="212" spans="1:68" s="86" customFormat="1">
      <c r="A212" s="86">
        <v>148</v>
      </c>
      <c r="B212" s="86">
        <f t="shared" si="103"/>
        <v>91201.083935590985</v>
      </c>
      <c r="C212" s="86" t="str">
        <f t="shared" si="104"/>
        <v>573033.310582957j</v>
      </c>
      <c r="D212" s="86">
        <f t="shared" si="105"/>
        <v>0.86691779662357271</v>
      </c>
      <c r="E212" s="86" t="str">
        <f t="shared" si="106"/>
        <v>-0.573033310582957j</v>
      </c>
      <c r="F212" s="86" t="str">
        <f t="shared" si="107"/>
        <v>0.866917796623573-0.573033310582957j</v>
      </c>
      <c r="G212" s="86">
        <f t="shared" si="108"/>
        <v>0.33389027083441553</v>
      </c>
      <c r="H212" s="86">
        <f t="shared" si="109"/>
        <v>-33.464733280732204</v>
      </c>
      <c r="J212" s="86">
        <f t="shared" si="110"/>
        <v>17.283950617283953</v>
      </c>
      <c r="K212" s="86" t="str">
        <f t="shared" si="111"/>
        <v>1+6.9193772252892j</v>
      </c>
      <c r="L212" s="86">
        <f t="shared" si="112"/>
        <v>-8.7902065150118318</v>
      </c>
      <c r="M212" s="86" t="str">
        <f t="shared" si="113"/>
        <v>1.54329897165027j</v>
      </c>
      <c r="N212" s="86" t="str">
        <f t="shared" si="114"/>
        <v>-8.79020651501183+1.54329897165027j</v>
      </c>
      <c r="O212" s="86" t="str">
        <f t="shared" si="115"/>
        <v>0.0237096427081657-0.783006195170175j</v>
      </c>
      <c r="P212" s="86" t="str">
        <f t="shared" si="116"/>
        <v>0.409796293721382-13.5334404103487j</v>
      </c>
      <c r="R212" s="86">
        <f t="shared" si="117"/>
        <v>6.9135802469135808</v>
      </c>
      <c r="S212" s="86" t="str">
        <f t="shared" si="118"/>
        <v>1+0.0429774982937218j</v>
      </c>
      <c r="T212" s="86" t="str">
        <f t="shared" si="119"/>
        <v>-8.79020651501183+1.54329897165027j</v>
      </c>
      <c r="U212" s="86" t="str">
        <f t="shared" si="120"/>
        <v>-0.109528360316165-0.0241191721461978j</v>
      </c>
      <c r="V212" s="86" t="str">
        <f t="shared" si="121"/>
        <v>-0.757233108358672-0.166749832121861j</v>
      </c>
      <c r="X212" s="86" t="str">
        <f t="shared" si="122"/>
        <v>-0.226911131859587-0.366965768627247j</v>
      </c>
      <c r="Y212" s="86">
        <f t="shared" si="123"/>
        <v>-7.3013104032863687</v>
      </c>
      <c r="Z212" s="86">
        <f t="shared" si="124"/>
        <v>58.269668705377285</v>
      </c>
      <c r="AB212" s="86" t="str">
        <f t="shared" si="125"/>
        <v>-0.260898948580028-0.0574523953010822j</v>
      </c>
      <c r="AC212" s="86">
        <f t="shared" si="126"/>
        <v>-11.46490150491438</v>
      </c>
      <c r="AD212" s="86">
        <f t="shared" si="127"/>
        <v>12.418860699670688</v>
      </c>
      <c r="AF212" s="86" t="str">
        <f t="shared" si="128"/>
        <v>-0.246630539551955-0.191384673757642j</v>
      </c>
      <c r="AG212" s="86">
        <f t="shared" si="129"/>
        <v>-10.111971380532331</v>
      </c>
      <c r="AH212" s="86">
        <f t="shared" si="130"/>
        <v>37.811372242134354</v>
      </c>
      <c r="AJ212" s="86" t="str">
        <f t="shared" si="131"/>
        <v>9323.69367489514-2511.10991509168j</v>
      </c>
      <c r="AK212" s="86" t="str">
        <f t="shared" si="132"/>
        <v>20000-0.000229213324233182j</v>
      </c>
      <c r="AL212" s="86" t="str">
        <f t="shared" si="146"/>
        <v>10000-38779.9833130383j</v>
      </c>
      <c r="AM212" s="86" t="str">
        <f t="shared" si="147"/>
        <v>933.612389193362-12201.1989241714j</v>
      </c>
      <c r="AN212" s="86" t="str">
        <f t="shared" si="148"/>
        <v>10933.6123891934-12201.1989241714j</v>
      </c>
      <c r="AO212" s="86" t="str">
        <f t="shared" si="149"/>
        <v>8809.98451904696-4413.69742455708j</v>
      </c>
      <c r="AP212" s="86" t="str">
        <f t="shared" si="150"/>
        <v>0.67707716876102+0.0579809329816928j</v>
      </c>
      <c r="AQ212" s="86" t="str">
        <f t="shared" si="133"/>
        <v>1+33.3505386759281j</v>
      </c>
      <c r="AR212" s="86">
        <f t="shared" si="134"/>
        <v>-2.2923163504630454E-4</v>
      </c>
      <c r="AS212" s="86" t="str">
        <f t="shared" si="135"/>
        <v>0.00278942300992193j</v>
      </c>
      <c r="AT212" s="86" t="str">
        <f t="shared" si="136"/>
        <v>-0.000229231635046305+0.00278942300992193j</v>
      </c>
      <c r="AU212" s="86" t="str">
        <f t="shared" si="137"/>
        <v>1.77699079901424-0.199805660288101j</v>
      </c>
      <c r="AW212" s="86" t="str">
        <f t="shared" si="151"/>
        <v>1.04191918604883-0.450162824721163j</v>
      </c>
      <c r="AX212" s="86">
        <f t="shared" si="138"/>
        <v>1.0999750777525832</v>
      </c>
      <c r="AY212" s="86">
        <f t="shared" si="139"/>
        <v>156.63316531686303</v>
      </c>
      <c r="AZ212" s="86" t="str">
        <f t="shared" si="140"/>
        <v>-0.29769855270123+0.0575862547109075j</v>
      </c>
      <c r="BA212" s="86">
        <f t="shared" si="141"/>
        <v>-10.364926427161805</v>
      </c>
      <c r="BB212" s="86">
        <f t="shared" si="142"/>
        <v>-10.947973983466255</v>
      </c>
      <c r="BD212" s="86" t="str">
        <f t="shared" si="143"/>
        <v>-0.343123356371834-0.0883834631565711j</v>
      </c>
      <c r="BE212" s="86">
        <f t="shared" si="144"/>
        <v>-9.0119963027797727</v>
      </c>
      <c r="BF212" s="86">
        <f t="shared" si="145"/>
        <v>14.444537558997496</v>
      </c>
      <c r="BH212" s="86">
        <f t="shared" si="152"/>
        <v>10.011996302779773</v>
      </c>
      <c r="BI212" s="159">
        <f t="shared" si="153"/>
        <v>-14.444537558997496</v>
      </c>
      <c r="BJ212" s="88"/>
      <c r="BK212" s="88"/>
      <c r="BL212" s="88"/>
      <c r="BM212" s="88"/>
      <c r="BN212" s="42"/>
      <c r="BO212" s="42"/>
      <c r="BP212" s="42"/>
    </row>
    <row r="213" spans="1:68" s="86" customFormat="1">
      <c r="A213" s="86">
        <v>149</v>
      </c>
      <c r="B213" s="86">
        <f t="shared" si="103"/>
        <v>95499.258602143673</v>
      </c>
      <c r="C213" s="86" t="str">
        <f t="shared" si="104"/>
        <v>600039.538495533j</v>
      </c>
      <c r="D213" s="86">
        <f t="shared" si="105"/>
        <v>0.85407826570305423</v>
      </c>
      <c r="E213" s="86" t="str">
        <f t="shared" si="106"/>
        <v>-0.600039538495533j</v>
      </c>
      <c r="F213" s="86" t="str">
        <f t="shared" si="107"/>
        <v>0.854078265703054-0.600039538495533j</v>
      </c>
      <c r="G213" s="86">
        <f t="shared" si="108"/>
        <v>0.3722609122601172</v>
      </c>
      <c r="H213" s="86">
        <f t="shared" si="109"/>
        <v>-35.090267111039495</v>
      </c>
      <c r="J213" s="86">
        <f t="shared" si="110"/>
        <v>17.283950617283953</v>
      </c>
      <c r="K213" s="86" t="str">
        <f t="shared" si="111"/>
        <v>1+7.24547742733356j</v>
      </c>
      <c r="L213" s="86">
        <f t="shared" si="112"/>
        <v>-9.7347479794494518</v>
      </c>
      <c r="M213" s="86" t="str">
        <f t="shared" si="113"/>
        <v>1.6160324113926j</v>
      </c>
      <c r="N213" s="86" t="str">
        <f t="shared" si="114"/>
        <v>-9.73474797944945+1.6160324113926j</v>
      </c>
      <c r="O213" s="86" t="str">
        <f t="shared" si="115"/>
        <v>0.020273584446876-0.740924641603328j</v>
      </c>
      <c r="P213" s="86" t="str">
        <f t="shared" si="116"/>
        <v>0.350407632415141-12.8061049166007j</v>
      </c>
      <c r="R213" s="86">
        <f t="shared" si="117"/>
        <v>6.9135802469135808</v>
      </c>
      <c r="S213" s="86" t="str">
        <f t="shared" si="118"/>
        <v>1+0.045002965387165j</v>
      </c>
      <c r="T213" s="86" t="str">
        <f t="shared" si="119"/>
        <v>-9.73474797944945+1.6160324113926j</v>
      </c>
      <c r="U213" s="86" t="str">
        <f t="shared" si="120"/>
        <v>-0.0992229554918403-0.0210945858947401j</v>
      </c>
      <c r="V213" s="86" t="str">
        <f t="shared" si="121"/>
        <v>-0.685985865128773-0.145839112358697j</v>
      </c>
      <c r="X213" s="86" t="str">
        <f t="shared" si="122"/>
        <v>-0.226452433488809-0.341835382350573j</v>
      </c>
      <c r="Y213" s="86">
        <f t="shared" si="123"/>
        <v>-7.7434927666311628</v>
      </c>
      <c r="Z213" s="86">
        <f t="shared" si="124"/>
        <v>56.477100191327068</v>
      </c>
      <c r="AB213" s="86" t="str">
        <f t="shared" si="125"/>
        <v>-0.23635124901074-0.0502477647321861j</v>
      </c>
      <c r="AC213" s="86">
        <f t="shared" si="126"/>
        <v>-12.336856926221953</v>
      </c>
      <c r="AD213" s="86">
        <f t="shared" si="127"/>
        <v>12.002262752414367</v>
      </c>
      <c r="AF213" s="86" t="str">
        <f t="shared" si="128"/>
        <v>-0.231608157929625-0.167306618954633j</v>
      </c>
      <c r="AG213" s="86">
        <f t="shared" si="129"/>
        <v>-10.881297551356727</v>
      </c>
      <c r="AH213" s="86">
        <f t="shared" si="130"/>
        <v>35.843190112537201</v>
      </c>
      <c r="AJ213" s="86" t="str">
        <f t="shared" si="131"/>
        <v>9263.25205360184-2612.40921898919j</v>
      </c>
      <c r="AK213" s="86" t="str">
        <f t="shared" si="132"/>
        <v>20000-0.000240015815398214j</v>
      </c>
      <c r="AL213" s="86" t="str">
        <f t="shared" si="146"/>
        <v>10000-37034.5965499866j</v>
      </c>
      <c r="AM213" s="86" t="str">
        <f t="shared" si="147"/>
        <v>930.859178149239-11666.8393018906j</v>
      </c>
      <c r="AN213" s="86" t="str">
        <f t="shared" si="148"/>
        <v>10930.8591781492-11666.8393018906j</v>
      </c>
      <c r="AO213" s="86" t="str">
        <f t="shared" si="149"/>
        <v>8678.65302159206-4270.30932628942j</v>
      </c>
      <c r="AP213" s="86" t="str">
        <f t="shared" si="150"/>
        <v>0.678047263669128+0.060531100302909j</v>
      </c>
      <c r="AQ213" s="86" t="str">
        <f t="shared" si="133"/>
        <v>1+34.92230114044j</v>
      </c>
      <c r="AR213" s="86">
        <f t="shared" si="134"/>
        <v>-2.5135713751413968E-4</v>
      </c>
      <c r="AS213" s="86" t="str">
        <f t="shared" si="135"/>
        <v>0.00292088446627933j</v>
      </c>
      <c r="AT213" s="86" t="str">
        <f t="shared" si="136"/>
        <v>-0.00025135713751414+0.00292088446627933j</v>
      </c>
      <c r="AU213" s="86" t="str">
        <f t="shared" si="137"/>
        <v>1.77584033587159-0.204174506178432j</v>
      </c>
      <c r="AW213" s="86" t="str">
        <f t="shared" si="151"/>
        <v>1.03003207112904-0.463826172559016j</v>
      </c>
      <c r="AX213" s="86">
        <f t="shared" si="138"/>
        <v>1.058849761358537</v>
      </c>
      <c r="AY213" s="86">
        <f t="shared" si="139"/>
        <v>155.75783582271157</v>
      </c>
      <c r="AZ213" s="86" t="str">
        <f t="shared" si="140"/>
        <v>-0.266755594927844+0.0578690860314962j</v>
      </c>
      <c r="BA213" s="86">
        <f t="shared" si="141"/>
        <v>-11.278007164863409</v>
      </c>
      <c r="BB213" s="86">
        <f t="shared" si="142"/>
        <v>-12.239901424874091</v>
      </c>
      <c r="BD213" s="86" t="str">
        <f t="shared" si="143"/>
        <v>-0.316165019316151-0.0649052578094955j</v>
      </c>
      <c r="BE213" s="86">
        <f t="shared" si="144"/>
        <v>-9.8224477899981828</v>
      </c>
      <c r="BF213" s="86">
        <f t="shared" si="145"/>
        <v>11.601025935248742</v>
      </c>
      <c r="BH213" s="86">
        <f t="shared" si="152"/>
        <v>10.822447789998183</v>
      </c>
      <c r="BI213" s="159">
        <f t="shared" si="153"/>
        <v>-11.601025935248742</v>
      </c>
      <c r="BJ213" s="88"/>
      <c r="BK213" s="88"/>
      <c r="BL213" s="88"/>
      <c r="BM213" s="88"/>
      <c r="BN213" s="42"/>
      <c r="BO213" s="42"/>
      <c r="BP213" s="42"/>
    </row>
    <row r="214" spans="1:68" s="86" customFormat="1">
      <c r="A214" s="86">
        <v>150</v>
      </c>
      <c r="B214" s="86">
        <f t="shared" si="103"/>
        <v>100000</v>
      </c>
      <c r="C214" s="86" t="str">
        <f t="shared" si="104"/>
        <v>628318.530717959j</v>
      </c>
      <c r="D214" s="86">
        <f t="shared" si="105"/>
        <v>0.83999999999999975</v>
      </c>
      <c r="E214" s="86" t="str">
        <f t="shared" si="106"/>
        <v>-0.628318530717959j</v>
      </c>
      <c r="F214" s="86" t="str">
        <f t="shared" si="107"/>
        <v>0.84-0.628318530717959j</v>
      </c>
      <c r="G214" s="86">
        <f t="shared" si="108"/>
        <v>0.41544336437411389</v>
      </c>
      <c r="H214" s="86">
        <f t="shared" si="109"/>
        <v>-36.796424352321822</v>
      </c>
      <c r="J214" s="86">
        <f t="shared" si="110"/>
        <v>17.283950617283953</v>
      </c>
      <c r="K214" s="86" t="str">
        <f t="shared" si="111"/>
        <v>1+7.58694625841935j</v>
      </c>
      <c r="L214" s="86">
        <f t="shared" si="112"/>
        <v>-10.770417100558438</v>
      </c>
      <c r="M214" s="86" t="str">
        <f t="shared" si="113"/>
        <v>1.69219367254473j</v>
      </c>
      <c r="N214" s="86" t="str">
        <f t="shared" si="114"/>
        <v>-10.7704171005584+1.69219367254473j</v>
      </c>
      <c r="O214" s="86" t="str">
        <f t="shared" si="115"/>
        <v>0.0173992203217154-0.701690875787151j</v>
      </c>
      <c r="P214" s="86" t="str">
        <f t="shared" si="116"/>
        <v>0.300727264819772-12.1279904457038j</v>
      </c>
      <c r="R214" s="86">
        <f t="shared" si="117"/>
        <v>6.9135802469135808</v>
      </c>
      <c r="S214" s="86" t="str">
        <f t="shared" si="118"/>
        <v>1+0.0471238898038469j</v>
      </c>
      <c r="T214" s="86" t="str">
        <f t="shared" si="119"/>
        <v>-10.7704171005584+1.69219367254473j</v>
      </c>
      <c r="U214" s="86" t="str">
        <f t="shared" si="120"/>
        <v>-0.0899393263099262-0.0185061216141858j</v>
      </c>
      <c r="V214" s="86" t="str">
        <f t="shared" si="121"/>
        <v>-0.621802749797021-0.127943556838815j</v>
      </c>
      <c r="X214" s="86" t="str">
        <f t="shared" si="122"/>
        <v>-0.225923060539971-0.318186790033659j</v>
      </c>
      <c r="Y214" s="86">
        <f t="shared" si="123"/>
        <v>-8.1734554559080195</v>
      </c>
      <c r="Z214" s="86">
        <f t="shared" si="124"/>
        <v>54.623998353083138</v>
      </c>
      <c r="AB214" s="86" t="str">
        <f t="shared" si="125"/>
        <v>-0.214237441357849-0.0440819862316755j</v>
      </c>
      <c r="AC214" s="86">
        <f t="shared" si="126"/>
        <v>-13.202006335162974</v>
      </c>
      <c r="AD214" s="86">
        <f t="shared" si="127"/>
        <v>11.627034395218885</v>
      </c>
      <c r="AF214" s="86" t="str">
        <f t="shared" si="128"/>
        <v>-0.216735770894255-0.146037738234193j</v>
      </c>
      <c r="AG214" s="86">
        <f t="shared" si="129"/>
        <v>-11.655702965730422</v>
      </c>
      <c r="AH214" s="86">
        <f t="shared" si="130"/>
        <v>33.972303516958704</v>
      </c>
      <c r="AJ214" s="86" t="str">
        <f t="shared" si="131"/>
        <v>9197.87346518507-2716.22134044615j</v>
      </c>
      <c r="AK214" s="86" t="str">
        <f t="shared" si="132"/>
        <v>20000-0.000251327412287184j</v>
      </c>
      <c r="AL214" s="86" t="str">
        <f t="shared" si="146"/>
        <v>10000-35367.7651315322j</v>
      </c>
      <c r="AM214" s="86" t="str">
        <f t="shared" si="147"/>
        <v>927.858946029806-11157.1312038254j</v>
      </c>
      <c r="AN214" s="86" t="str">
        <f t="shared" si="148"/>
        <v>10927.8589460298-11157.1312038254j</v>
      </c>
      <c r="AO214" s="86" t="str">
        <f t="shared" si="149"/>
        <v>8555.9824220436-4128.39461131374j</v>
      </c>
      <c r="AP214" s="86" t="str">
        <f t="shared" si="150"/>
        <v>0.679104274422433+0.0631757461420598j</v>
      </c>
      <c r="AQ214" s="86" t="str">
        <f t="shared" si="133"/>
        <v>1+36.5681384877852j</v>
      </c>
      <c r="AR214" s="86">
        <f t="shared" si="134"/>
        <v>-2.7561726854883278E-4</v>
      </c>
      <c r="AS214" s="86" t="str">
        <f t="shared" si="135"/>
        <v>0.0030585415101995j</v>
      </c>
      <c r="AT214" s="86" t="str">
        <f t="shared" si="136"/>
        <v>-0.000275617268548833+0.0030585415101995j</v>
      </c>
      <c r="AU214" s="86" t="str">
        <f t="shared" si="137"/>
        <v>1.77458061984166-0.20895745934106j</v>
      </c>
      <c r="AW214" s="86" t="str">
        <f t="shared" si="151"/>
        <v>1.01727424959377-0.477762988587528j</v>
      </c>
      <c r="AX214" s="86">
        <f t="shared" si="138"/>
        <v>1.0143923842252991</v>
      </c>
      <c r="AY214" s="86">
        <f t="shared" si="139"/>
        <v>154.84289655115592</v>
      </c>
      <c r="AZ214" s="86" t="str">
        <f t="shared" si="140"/>
        <v>-0.238998973877115+0.0575112507860406j</v>
      </c>
      <c r="BA214" s="86">
        <f t="shared" si="141"/>
        <v>-12.187613950937665</v>
      </c>
      <c r="BB214" s="86">
        <f t="shared" si="142"/>
        <v>-13.530069053625198</v>
      </c>
      <c r="BD214" s="86" t="str">
        <f t="shared" si="143"/>
        <v>-0.290251144961913-0.0450121009382993j</v>
      </c>
      <c r="BE214" s="86">
        <f t="shared" si="144"/>
        <v>-10.641310581505083</v>
      </c>
      <c r="BF214" s="86">
        <f t="shared" si="145"/>
        <v>8.8152000681146205</v>
      </c>
      <c r="BH214" s="86">
        <f t="shared" si="152"/>
        <v>11.641310581505083</v>
      </c>
      <c r="BI214" s="159">
        <f t="shared" si="153"/>
        <v>-8.8152000681146205</v>
      </c>
      <c r="BJ214" s="88"/>
      <c r="BK214" s="88"/>
      <c r="BL214" s="88"/>
      <c r="BM214" s="88"/>
      <c r="BN214" s="42"/>
      <c r="BO214" s="42"/>
      <c r="BP214" s="42"/>
    </row>
    <row r="215" spans="1:68" s="86" customFormat="1">
      <c r="A215" s="86">
        <v>151</v>
      </c>
      <c r="B215" s="86">
        <f t="shared" si="103"/>
        <v>104712.85480509</v>
      </c>
      <c r="C215" s="86" t="str">
        <f t="shared" si="104"/>
        <v>657930.270784171j</v>
      </c>
      <c r="D215" s="86">
        <f t="shared" si="105"/>
        <v>0.82456348861708995</v>
      </c>
      <c r="E215" s="86" t="str">
        <f t="shared" si="106"/>
        <v>-0.657930270784171j</v>
      </c>
      <c r="F215" s="86" t="str">
        <f t="shared" si="107"/>
        <v>0.82456348861709-0.657930270784171j</v>
      </c>
      <c r="G215" s="86">
        <f t="shared" si="108"/>
        <v>0.4640821400202042</v>
      </c>
      <c r="H215" s="86">
        <f t="shared" si="109"/>
        <v>-38.586836216726695</v>
      </c>
      <c r="J215" s="86">
        <f t="shared" si="110"/>
        <v>17.283950617283953</v>
      </c>
      <c r="K215" s="86" t="str">
        <f t="shared" si="111"/>
        <v>1+7.94450801971886j</v>
      </c>
      <c r="L215" s="86">
        <f t="shared" si="112"/>
        <v>-11.906005710273222</v>
      </c>
      <c r="M215" s="86" t="str">
        <f t="shared" si="113"/>
        <v>1.77194430335268j</v>
      </c>
      <c r="N215" s="86" t="str">
        <f t="shared" si="114"/>
        <v>-11.9060057102732+1.77194430335268j</v>
      </c>
      <c r="O215" s="86" t="str">
        <f t="shared" si="115"/>
        <v>0.014985014015728-0.665038771371154j</v>
      </c>
      <c r="P215" s="86" t="str">
        <f t="shared" si="116"/>
        <v>0.259000242247151-11.4944972829582j</v>
      </c>
      <c r="R215" s="86">
        <f t="shared" si="117"/>
        <v>6.9135802469135808</v>
      </c>
      <c r="S215" s="86" t="str">
        <f t="shared" si="118"/>
        <v>1+0.0493447703088128j</v>
      </c>
      <c r="T215" s="86" t="str">
        <f t="shared" si="119"/>
        <v>-11.9060057102732+1.77194430335268j</v>
      </c>
      <c r="U215" s="86" t="str">
        <f t="shared" si="120"/>
        <v>-0.0815677031817164-0.0162840672192798j</v>
      </c>
      <c r="V215" s="86" t="str">
        <f t="shared" si="121"/>
        <v>-0.563924861503225-0.112581205466626j</v>
      </c>
      <c r="X215" s="86" t="str">
        <f t="shared" si="122"/>
        <v>-0.225352255177719-0.295859589386541j</v>
      </c>
      <c r="Y215" s="86">
        <f t="shared" si="123"/>
        <v>-8.5912589749763182</v>
      </c>
      <c r="Z215" s="86">
        <f t="shared" si="124"/>
        <v>52.703964915177309</v>
      </c>
      <c r="AB215" s="86" t="str">
        <f t="shared" si="125"/>
        <v>-0.194296052061475-0.0387890040885564j</v>
      </c>
      <c r="AC215" s="86">
        <f t="shared" si="126"/>
        <v>-14.060990143964034</v>
      </c>
      <c r="AD215" s="86">
        <f t="shared" si="127"/>
        <v>11.290024287038619</v>
      </c>
      <c r="AF215" s="86" t="str">
        <f t="shared" si="128"/>
        <v>-0.202199633865447-0.127298769533912j</v>
      </c>
      <c r="AG215" s="86">
        <f t="shared" si="129"/>
        <v>-12.434424775657094</v>
      </c>
      <c r="AH215" s="86">
        <f t="shared" si="130"/>
        <v>32.193276310522691</v>
      </c>
      <c r="AJ215" s="86" t="str">
        <f t="shared" si="131"/>
        <v>9127.23983604807-2822.39106711629j</v>
      </c>
      <c r="AK215" s="86" t="str">
        <f t="shared" si="132"/>
        <v>20000-0.000263172108313668j</v>
      </c>
      <c r="AL215" s="86" t="str">
        <f t="shared" si="146"/>
        <v>10000-33775.9534847608j</v>
      </c>
      <c r="AM215" s="86" t="str">
        <f t="shared" si="147"/>
        <v>924.59140744975-10670.9803944297j</v>
      </c>
      <c r="AN215" s="86" t="str">
        <f t="shared" si="148"/>
        <v>10924.5914074498-10670.9803944297j</v>
      </c>
      <c r="AO215" s="86" t="str">
        <f t="shared" si="149"/>
        <v>8441.56739610614-3988.40543226187j</v>
      </c>
      <c r="AP215" s="86" t="str">
        <f t="shared" si="150"/>
        <v>0.680255314959843+0.0659158386088138j</v>
      </c>
      <c r="AQ215" s="86" t="str">
        <f t="shared" si="133"/>
        <v>1+38.2915417596387j</v>
      </c>
      <c r="AR215" s="86">
        <f t="shared" si="134"/>
        <v>-3.0221797326395047E-4</v>
      </c>
      <c r="AS215" s="86" t="str">
        <f t="shared" si="135"/>
        <v>0.0032026861307286j</v>
      </c>
      <c r="AT215" s="86" t="str">
        <f t="shared" si="136"/>
        <v>-0.00030221797326395+0.0032026861307286j</v>
      </c>
      <c r="AU215" s="86" t="str">
        <f t="shared" si="137"/>
        <v>1.77320144923515-0.214161900410923j</v>
      </c>
      <c r="AW215" s="86" t="str">
        <f t="shared" si="151"/>
        <v>1.00360535065967-0.491926073444918j</v>
      </c>
      <c r="AX215" s="86">
        <f t="shared" si="138"/>
        <v>0.96637177050903067</v>
      </c>
      <c r="AY215" s="86">
        <f t="shared" si="139"/>
        <v>153.88780584602517</v>
      </c>
      <c r="AZ215" s="86" t="str">
        <f t="shared" si="140"/>
        <v>-0.214077879935069+0.0566504419264158j</v>
      </c>
      <c r="BA215" s="86">
        <f t="shared" si="141"/>
        <v>-13.094618373454985</v>
      </c>
      <c r="BB215" s="86">
        <f t="shared" si="142"/>
        <v>-14.822169866936179</v>
      </c>
      <c r="BD215" s="86" t="str">
        <f t="shared" si="143"/>
        <v>-0.265550218299977-0.0282904542971973j</v>
      </c>
      <c r="BE215" s="86">
        <f t="shared" si="144"/>
        <v>-11.46805300514802</v>
      </c>
      <c r="BF215" s="86">
        <f t="shared" si="145"/>
        <v>6.08108215654795</v>
      </c>
      <c r="BH215" s="86">
        <f t="shared" si="152"/>
        <v>12.46805300514802</v>
      </c>
      <c r="BI215" s="159">
        <f t="shared" si="153"/>
        <v>-6.08108215654795</v>
      </c>
      <c r="BJ215" s="88"/>
      <c r="BK215" s="88"/>
      <c r="BL215" s="88"/>
      <c r="BM215" s="88"/>
      <c r="BN215" s="42"/>
      <c r="BO215" s="42"/>
      <c r="BP215" s="42"/>
    </row>
    <row r="216" spans="1:68" s="86" customFormat="1">
      <c r="A216" s="86">
        <v>152</v>
      </c>
      <c r="B216" s="86">
        <f t="shared" si="103"/>
        <v>109647.81961431864</v>
      </c>
      <c r="C216" s="86" t="str">
        <f t="shared" si="104"/>
        <v>688937.569164964j</v>
      </c>
      <c r="D216" s="86">
        <f t="shared" si="105"/>
        <v>0.80763769046121359</v>
      </c>
      <c r="E216" s="86" t="str">
        <f t="shared" si="106"/>
        <v>-0.688937569164964j</v>
      </c>
      <c r="F216" s="86" t="str">
        <f t="shared" si="107"/>
        <v>0.807637690461214-0.688937569164964j</v>
      </c>
      <c r="G216" s="86">
        <f t="shared" si="108"/>
        <v>0.51890625254398892</v>
      </c>
      <c r="H216" s="86">
        <f t="shared" si="109"/>
        <v>-40.465107239056465</v>
      </c>
      <c r="J216" s="86">
        <f t="shared" si="110"/>
        <v>17.283950617283953</v>
      </c>
      <c r="K216" s="86" t="str">
        <f t="shared" si="111"/>
        <v>1+8.31892114766694j</v>
      </c>
      <c r="L216" s="86">
        <f t="shared" si="112"/>
        <v>-13.15115386061402</v>
      </c>
      <c r="M216" s="86" t="str">
        <f t="shared" si="113"/>
        <v>1.85545346559675j</v>
      </c>
      <c r="N216" s="86" t="str">
        <f t="shared" si="114"/>
        <v>-13.151153860614+1.85545346559675j</v>
      </c>
      <c r="O216" s="86" t="str">
        <f t="shared" si="115"/>
        <v>0.012949403443309-0.630735083787041j</v>
      </c>
      <c r="P216" s="86" t="str">
        <f t="shared" si="116"/>
        <v>0.22381684963744-10.9015940407637j</v>
      </c>
      <c r="R216" s="86">
        <f t="shared" si="117"/>
        <v>6.9135802469135808</v>
      </c>
      <c r="S216" s="86" t="str">
        <f t="shared" si="118"/>
        <v>1+0.0516703176873723j</v>
      </c>
      <c r="T216" s="86" t="str">
        <f t="shared" si="119"/>
        <v>-13.151153860614+1.85545346559675j</v>
      </c>
      <c r="U216" s="86" t="str">
        <f t="shared" si="120"/>
        <v>-0.0740113998840607-0.0143709843333166j</v>
      </c>
      <c r="V216" s="86" t="str">
        <f t="shared" si="121"/>
        <v>-0.511683752284864-0.0993549534155222j</v>
      </c>
      <c r="X216" s="86" t="str">
        <f t="shared" si="122"/>
        <v>-0.2247616369107-0.274713110600965j</v>
      </c>
      <c r="Y216" s="86">
        <f t="shared" si="123"/>
        <v>-8.996808612855915</v>
      </c>
      <c r="Z216" s="86">
        <f t="shared" si="124"/>
        <v>50.711047321852732</v>
      </c>
      <c r="AB216" s="86" t="str">
        <f t="shared" si="125"/>
        <v>-0.176296772424498-0.0342319988339037j</v>
      </c>
      <c r="AC216" s="86">
        <f t="shared" si="126"/>
        <v>-14.914382089061831</v>
      </c>
      <c r="AD216" s="86">
        <f t="shared" si="127"/>
        <v>10.988530781857747</v>
      </c>
      <c r="AF216" s="86" t="str">
        <f t="shared" si="128"/>
        <v>-0.188137807624021-0.110825167172548j</v>
      </c>
      <c r="AG216" s="86">
        <f t="shared" si="129"/>
        <v>-13.216814939731943</v>
      </c>
      <c r="AH216" s="86">
        <f t="shared" si="130"/>
        <v>30.500797919303153</v>
      </c>
      <c r="AJ216" s="86" t="str">
        <f t="shared" si="131"/>
        <v>9051.02807413791-2930.728841525j</v>
      </c>
      <c r="AK216" s="86" t="str">
        <f t="shared" si="132"/>
        <v>20000-0.000275575027665986j</v>
      </c>
      <c r="AL216" s="86" t="str">
        <f t="shared" si="146"/>
        <v>10000-32255.7851637514j</v>
      </c>
      <c r="AM216" s="86" t="str">
        <f t="shared" si="147"/>
        <v>921.034972367857-10207.3409251232j</v>
      </c>
      <c r="AN216" s="86" t="str">
        <f t="shared" si="148"/>
        <v>10921.0349723679-10207.3409251232j</v>
      </c>
      <c r="AO216" s="86" t="str">
        <f t="shared" si="149"/>
        <v>8334.98862893336-3850.73619880352j</v>
      </c>
      <c r="AP216" s="86" t="str">
        <f t="shared" si="150"/>
        <v>0.681507952087458+0.068751953219892j</v>
      </c>
      <c r="AQ216" s="86" t="str">
        <f t="shared" si="133"/>
        <v>1+40.0961665254009j</v>
      </c>
      <c r="AR216" s="86">
        <f t="shared" si="134"/>
        <v>-3.313850659861199E-4</v>
      </c>
      <c r="AS216" s="86" t="str">
        <f t="shared" si="135"/>
        <v>0.0033536240779326j</v>
      </c>
      <c r="AT216" s="86" t="str">
        <f t="shared" si="136"/>
        <v>-0.00033138506598612+0.0033536240779326j</v>
      </c>
      <c r="AU216" s="86" t="str">
        <f t="shared" si="137"/>
        <v>1.77169170607582-0.219795706315244j</v>
      </c>
      <c r="AW216" s="86" t="str">
        <f t="shared" si="151"/>
        <v>0.988986898610507-0.506262845779191j</v>
      </c>
      <c r="AX216" s="86">
        <f t="shared" si="138"/>
        <v>0.91454911981118459</v>
      </c>
      <c r="AY216" s="86">
        <f t="shared" si="139"/>
        <v>152.89207254937827</v>
      </c>
      <c r="AZ216" s="86" t="str">
        <f t="shared" si="140"/>
        <v>-0.191685587341509+0.055397507349332j</v>
      </c>
      <c r="BA216" s="86">
        <f t="shared" si="141"/>
        <v>-13.999832969250631</v>
      </c>
      <c r="BB216" s="86">
        <f t="shared" si="142"/>
        <v>-16.119396668763983</v>
      </c>
      <c r="BD216" s="86" t="str">
        <f t="shared" si="143"/>
        <v>-0.24217249139019-0.0143574564835748j</v>
      </c>
      <c r="BE216" s="86">
        <f t="shared" si="144"/>
        <v>-12.302265819920738</v>
      </c>
      <c r="BF216" s="86">
        <f t="shared" si="145"/>
        <v>3.3928704686815081</v>
      </c>
      <c r="BH216" s="86">
        <f t="shared" si="152"/>
        <v>13.302265819920738</v>
      </c>
      <c r="BI216" s="159">
        <f t="shared" si="153"/>
        <v>-3.3928704686815081</v>
      </c>
      <c r="BJ216" s="88"/>
      <c r="BK216" s="88"/>
      <c r="BL216" s="88"/>
      <c r="BM216" s="88"/>
      <c r="BN216" s="42"/>
      <c r="BO216" s="42"/>
      <c r="BP216" s="42"/>
    </row>
    <row r="217" spans="1:68" s="86" customFormat="1">
      <c r="A217" s="86">
        <v>153</v>
      </c>
      <c r="B217" s="86">
        <f t="shared" si="103"/>
        <v>114815.3621496884</v>
      </c>
      <c r="C217" s="86" t="str">
        <f t="shared" si="104"/>
        <v>721406.196497425j</v>
      </c>
      <c r="D217" s="86">
        <f t="shared" si="105"/>
        <v>0.78907892183097472</v>
      </c>
      <c r="E217" s="86" t="str">
        <f t="shared" si="106"/>
        <v>-0.721406196497425j</v>
      </c>
      <c r="F217" s="86" t="str">
        <f t="shared" si="107"/>
        <v>0.789078921830975-0.721406196497425j</v>
      </c>
      <c r="G217" s="86">
        <f t="shared" si="108"/>
        <v>0.58073755822645479</v>
      </c>
      <c r="H217" s="86">
        <f t="shared" si="109"/>
        <v>-42.43475100375408</v>
      </c>
      <c r="J217" s="86">
        <f t="shared" si="110"/>
        <v>17.283950617283953</v>
      </c>
      <c r="K217" s="86" t="str">
        <f t="shared" si="111"/>
        <v>1+8.71097982270641j</v>
      </c>
      <c r="L217" s="86">
        <f t="shared" si="112"/>
        <v>-14.516431658430708</v>
      </c>
      <c r="M217" s="86" t="str">
        <f t="shared" si="113"/>
        <v>1.94289829340634j</v>
      </c>
      <c r="N217" s="86" t="str">
        <f t="shared" si="114"/>
        <v>-14.5164316584307+1.94289829340634j</v>
      </c>
      <c r="O217" s="86" t="str">
        <f t="shared" si="115"/>
        <v>0.0112265628923952-0.598574633028052j</v>
      </c>
      <c r="P217" s="86" t="str">
        <f t="shared" si="116"/>
        <v>0.194039358633991-10.3457343980157j</v>
      </c>
      <c r="R217" s="86">
        <f t="shared" si="117"/>
        <v>6.9135802469135808</v>
      </c>
      <c r="S217" s="86" t="str">
        <f t="shared" si="118"/>
        <v>1+0.0541054647373069j</v>
      </c>
      <c r="T217" s="86" t="str">
        <f t="shared" si="119"/>
        <v>-14.5164316584307+1.94289829340634j</v>
      </c>
      <c r="U217" s="86" t="str">
        <f t="shared" si="120"/>
        <v>-0.0671850812773767-0.0127193272312384j</v>
      </c>
      <c r="V217" s="86" t="str">
        <f t="shared" si="121"/>
        <v>-0.464489450806555-0.0879360894999198j</v>
      </c>
      <c r="X217" s="86" t="str">
        <f t="shared" si="122"/>
        <v>-0.224167049179501-0.254623349800742j</v>
      </c>
      <c r="Y217" s="86">
        <f t="shared" si="123"/>
        <v>-9.3898536788177509</v>
      </c>
      <c r="Z217" s="86">
        <f t="shared" si="124"/>
        <v>48.639733662578379</v>
      </c>
      <c r="AB217" s="86" t="str">
        <f t="shared" si="125"/>
        <v>-0.160036332278995-0.0302977155112734j</v>
      </c>
      <c r="AC217" s="86">
        <f t="shared" si="126"/>
        <v>-15.762696383050232</v>
      </c>
      <c r="AD217" s="86">
        <f t="shared" si="127"/>
        <v>10.720233331015606</v>
      </c>
      <c r="AF217" s="86" t="str">
        <f t="shared" si="128"/>
        <v>-0.174648647782912-0.0963704095950767j</v>
      </c>
      <c r="AG217" s="86">
        <f t="shared" si="129"/>
        <v>-14.002325440168198</v>
      </c>
      <c r="AH217" s="86">
        <f t="shared" si="130"/>
        <v>28.889734276458142</v>
      </c>
      <c r="AJ217" s="86" t="str">
        <f t="shared" si="131"/>
        <v>8968.91310091418-3041.00785881782j</v>
      </c>
      <c r="AK217" s="86" t="str">
        <f t="shared" si="132"/>
        <v>20000-0.00028856247859897j</v>
      </c>
      <c r="AL217" s="86" t="str">
        <f t="shared" si="146"/>
        <v>10000-30804.0356876829j</v>
      </c>
      <c r="AM217" s="86" t="str">
        <f t="shared" si="147"/>
        <v>917.166733125317-9765.21272653885j</v>
      </c>
      <c r="AN217" s="86" t="str">
        <f t="shared" si="148"/>
        <v>10917.1667331253-9765.21272653885j</v>
      </c>
      <c r="AO217" s="86" t="str">
        <f t="shared" si="149"/>
        <v>8235.81905455383-3715.72632289196j</v>
      </c>
      <c r="AP217" s="86" t="str">
        <f t="shared" si="150"/>
        <v>0.682870208895259+0.0716842075868479j</v>
      </c>
      <c r="AQ217" s="86" t="str">
        <f t="shared" si="133"/>
        <v>1+41.9858406361501j</v>
      </c>
      <c r="AR217" s="86">
        <f t="shared" si="134"/>
        <v>-3.6336614720086489E-4</v>
      </c>
      <c r="AS217" s="86" t="str">
        <f t="shared" si="135"/>
        <v>0.0035116755114341j</v>
      </c>
      <c r="AT217" s="86" t="str">
        <f t="shared" si="136"/>
        <v>-0.000363366147200865+0.0035116755114341j</v>
      </c>
      <c r="AU217" s="86" t="str">
        <f t="shared" si="137"/>
        <v>1.7700392809422-0.22586721105853j</v>
      </c>
      <c r="AW217" s="86" t="str">
        <f t="shared" si="151"/>
        <v>0.973382994623433-0.520715256801797j</v>
      </c>
      <c r="AX217" s="86">
        <f t="shared" si="138"/>
        <v>0.85867885552968537</v>
      </c>
      <c r="AY217" s="86">
        <f t="shared" si="139"/>
        <v>151.85526196373613</v>
      </c>
      <c r="AZ217" s="86" t="str">
        <f t="shared" si="140"/>
        <v>-0.171553127075239+0.0538420788056625j</v>
      </c>
      <c r="BA217" s="86">
        <f t="shared" si="141"/>
        <v>-14.904017527520569</v>
      </c>
      <c r="BB217" s="86">
        <f t="shared" si="142"/>
        <v>-17.424504705248324</v>
      </c>
      <c r="BD217" s="86" t="str">
        <f t="shared" si="143"/>
        <v>-0.220181566366259-0.00286310240437654j</v>
      </c>
      <c r="BE217" s="86">
        <f t="shared" si="144"/>
        <v>-13.143646584638507</v>
      </c>
      <c r="BF217" s="86">
        <f t="shared" si="145"/>
        <v>0.74499624019415478</v>
      </c>
      <c r="BH217" s="86">
        <f t="shared" si="152"/>
        <v>14.143646584638507</v>
      </c>
      <c r="BI217" s="159">
        <f t="shared" si="153"/>
        <v>-0.74499624019415478</v>
      </c>
      <c r="BJ217" s="88"/>
      <c r="BK217" s="88"/>
      <c r="BL217" s="88"/>
      <c r="BM217" s="88"/>
      <c r="BN217" s="42"/>
      <c r="BO217" s="42"/>
      <c r="BP217" s="42"/>
    </row>
    <row r="218" spans="1:68" s="86" customFormat="1">
      <c r="A218" s="86">
        <v>154</v>
      </c>
      <c r="B218" s="86">
        <f t="shared" si="103"/>
        <v>120226.44346174138</v>
      </c>
      <c r="C218" s="86" t="str">
        <f t="shared" si="104"/>
        <v>755405.023093271j</v>
      </c>
      <c r="D218" s="86">
        <f t="shared" si="105"/>
        <v>0.76872963668065109</v>
      </c>
      <c r="E218" s="86" t="str">
        <f t="shared" si="106"/>
        <v>-0.755405023093271j</v>
      </c>
      <c r="F218" s="86" t="str">
        <f t="shared" si="107"/>
        <v>0.768729636680651-0.755405023093271j</v>
      </c>
      <c r="G218" s="86">
        <f t="shared" si="108"/>
        <v>0.65049874740046798</v>
      </c>
      <c r="H218" s="86">
        <f t="shared" si="109"/>
        <v>-44.499109433512196</v>
      </c>
      <c r="J218" s="86">
        <f t="shared" si="110"/>
        <v>17.283950617283953</v>
      </c>
      <c r="K218" s="86" t="str">
        <f t="shared" si="111"/>
        <v>1+9.12151565385125j</v>
      </c>
      <c r="L218" s="86">
        <f t="shared" si="112"/>
        <v>-16.013428995415136</v>
      </c>
      <c r="M218" s="86" t="str">
        <f t="shared" si="113"/>
        <v>2.03446426898515j</v>
      </c>
      <c r="N218" s="86" t="str">
        <f t="shared" si="114"/>
        <v>-16.0134289954151+2.03446426898515j</v>
      </c>
      <c r="O218" s="86" t="str">
        <f t="shared" si="115"/>
        <v>0.00976313045559479-0.568376261973113j</v>
      </c>
      <c r="P218" s="86" t="str">
        <f t="shared" si="116"/>
        <v>0.168745464664601-9.82378724397973j</v>
      </c>
      <c r="R218" s="86">
        <f t="shared" si="117"/>
        <v>6.9135802469135808</v>
      </c>
      <c r="S218" s="86" t="str">
        <f t="shared" si="118"/>
        <v>1+0.0566553767319953j</v>
      </c>
      <c r="T218" s="86" t="str">
        <f t="shared" si="119"/>
        <v>-16.0134289954151+2.03446426898515j</v>
      </c>
      <c r="U218" s="86" t="str">
        <f t="shared" si="120"/>
        <v>-0.0610132767911747-0.0112895687956091j</v>
      </c>
      <c r="V218" s="86" t="str">
        <f t="shared" si="121"/>
        <v>-0.421820185222936-0.078051339821495j</v>
      </c>
      <c r="X218" s="86" t="str">
        <f t="shared" si="122"/>
        <v>-0.223579952633727-0.235480420953925j</v>
      </c>
      <c r="Y218" s="86">
        <f t="shared" si="123"/>
        <v>-9.7699862331929719</v>
      </c>
      <c r="Z218" s="86">
        <f t="shared" si="124"/>
        <v>46.484976637837292</v>
      </c>
      <c r="AB218" s="86" t="str">
        <f t="shared" si="125"/>
        <v>-0.14533495907626-0.0268919996628635j</v>
      </c>
      <c r="AC218" s="86">
        <f t="shared" si="126"/>
        <v>-16.606394028116902</v>
      </c>
      <c r="AD218" s="86">
        <f t="shared" si="127"/>
        <v>10.483136351807445</v>
      </c>
      <c r="AF218" s="86" t="str">
        <f t="shared" si="128"/>
        <v>-0.161798291027048-0.0837076909129298j</v>
      </c>
      <c r="AG218" s="86">
        <f t="shared" si="129"/>
        <v>-14.79049481785726</v>
      </c>
      <c r="AH218" s="86">
        <f t="shared" si="130"/>
        <v>27.355161216241754</v>
      </c>
      <c r="AJ218" s="86" t="str">
        <f t="shared" si="131"/>
        <v>8880.57148113568-3152.96130325071j</v>
      </c>
      <c r="AK218" s="86" t="str">
        <f t="shared" si="132"/>
        <v>20000-0.000302162009237308j</v>
      </c>
      <c r="AL218" s="86" t="str">
        <f t="shared" si="146"/>
        <v>10000-29417.6257012768j</v>
      </c>
      <c r="AM218" s="86" t="str">
        <f t="shared" si="147"/>
        <v>912.962467670588-9343.6392833537j</v>
      </c>
      <c r="AN218" s="86" t="str">
        <f t="shared" si="148"/>
        <v>10912.9624676706-9343.6392833537j</v>
      </c>
      <c r="AO218" s="86" t="str">
        <f t="shared" si="149"/>
        <v>8143.62926262862-3583.6634011494j</v>
      </c>
      <c r="AP218" s="86" t="str">
        <f t="shared" si="150"/>
        <v>0.684350562321827+0.0747121900579671j</v>
      </c>
      <c r="AQ218" s="86" t="str">
        <f t="shared" si="133"/>
        <v>1+43.9645723440284j</v>
      </c>
      <c r="AR218" s="86">
        <f t="shared" si="134"/>
        <v>-3.9843270544191826E-4</v>
      </c>
      <c r="AS218" s="86" t="str">
        <f t="shared" si="135"/>
        <v>0.00367717567951389j</v>
      </c>
      <c r="AT218" s="86" t="str">
        <f t="shared" si="136"/>
        <v>-0.000398432705441918+0.00367717567951389j</v>
      </c>
      <c r="AU218" s="86" t="str">
        <f t="shared" si="137"/>
        <v>1.7682309931089-0.232385159945251j</v>
      </c>
      <c r="AW218" s="86" t="str">
        <f t="shared" si="151"/>
        <v>0.956761044326429-0.53521979417306j</v>
      </c>
      <c r="AX218" s="86">
        <f t="shared" si="138"/>
        <v>0.79850963053963619</v>
      </c>
      <c r="AY218" s="86">
        <f t="shared" si="139"/>
        <v>150.77700112186426</v>
      </c>
      <c r="AZ218" s="86" t="str">
        <f t="shared" si="140"/>
        <v>-0.153443957747401+0.0520569292014785j</v>
      </c>
      <c r="BA218" s="86">
        <f t="shared" si="141"/>
        <v>-15.807884397577281</v>
      </c>
      <c r="BB218" s="86">
        <f t="shared" si="142"/>
        <v>-18.739862526328267</v>
      </c>
      <c r="BD218" s="86" t="str">
        <f t="shared" si="143"/>
        <v>-0.19960431499439+0.00650939024504036j</v>
      </c>
      <c r="BE218" s="86">
        <f t="shared" si="144"/>
        <v>-13.991985187317638</v>
      </c>
      <c r="BF218" s="86">
        <f t="shared" si="145"/>
        <v>-1.8678376618938728</v>
      </c>
      <c r="BH218" s="86">
        <f t="shared" si="152"/>
        <v>14.991985187317638</v>
      </c>
      <c r="BI218" s="159">
        <f t="shared" si="153"/>
        <v>1.8678376618938728</v>
      </c>
      <c r="BJ218" s="88"/>
      <c r="BK218" s="88"/>
      <c r="BL218" s="88"/>
      <c r="BM218" s="88"/>
      <c r="BN218" s="42"/>
      <c r="BO218" s="42"/>
      <c r="BP218" s="42"/>
    </row>
    <row r="219" spans="1:68" s="86" customFormat="1">
      <c r="A219" s="86">
        <v>155</v>
      </c>
      <c r="B219" s="86">
        <f t="shared" si="103"/>
        <v>125892.5411794168</v>
      </c>
      <c r="C219" s="86" t="str">
        <f t="shared" si="104"/>
        <v>791006.165022013j</v>
      </c>
      <c r="D219" s="86">
        <f t="shared" si="105"/>
        <v>0.7464170892062213</v>
      </c>
      <c r="E219" s="86" t="str">
        <f t="shared" si="106"/>
        <v>-0.791006165022013j</v>
      </c>
      <c r="F219" s="86" t="str">
        <f t="shared" si="107"/>
        <v>0.746417089206221-0.791006165022013j</v>
      </c>
      <c r="G219" s="86">
        <f t="shared" si="108"/>
        <v>0.72922046100503179</v>
      </c>
      <c r="H219" s="86">
        <f t="shared" si="109"/>
        <v>-46.661253596068761</v>
      </c>
      <c r="J219" s="86">
        <f t="shared" si="110"/>
        <v>17.283950617283953</v>
      </c>
      <c r="K219" s="86" t="str">
        <f t="shared" si="111"/>
        <v>1+9.55139944264081j</v>
      </c>
      <c r="L219" s="86">
        <f t="shared" si="112"/>
        <v>-17.654853935102953</v>
      </c>
      <c r="M219" s="86" t="str">
        <f t="shared" si="113"/>
        <v>2.13034561604385j</v>
      </c>
      <c r="N219" s="86" t="str">
        <f t="shared" si="114"/>
        <v>-17.654853935103+2.13034561604385j</v>
      </c>
      <c r="O219" s="86" t="str">
        <f t="shared" si="115"/>
        <v>0.00851566556068449-0.539979439472507j</v>
      </c>
      <c r="P219" s="86" t="str">
        <f t="shared" si="116"/>
        <v>0.147184343024176-9.33297796619148j</v>
      </c>
      <c r="R219" s="86">
        <f t="shared" si="117"/>
        <v>6.9135802469135808</v>
      </c>
      <c r="S219" s="86" t="str">
        <f t="shared" si="118"/>
        <v>1+0.059325462376651j</v>
      </c>
      <c r="T219" s="86" t="str">
        <f t="shared" si="119"/>
        <v>-17.654853935103+2.13034561604385j</v>
      </c>
      <c r="U219" s="86" t="str">
        <f t="shared" si="120"/>
        <v>-0.0554291055244625-0.0100487160632454j</v>
      </c>
      <c r="V219" s="86" t="str">
        <f t="shared" si="121"/>
        <v>-0.383213569058012-0.0694726048816966j</v>
      </c>
      <c r="X219" s="86" t="str">
        <f t="shared" si="122"/>
        <v>-0.223008481199489-0.217186431683806j</v>
      </c>
      <c r="Y219" s="86">
        <f t="shared" si="123"/>
        <v>-10.136639929834526</v>
      </c>
      <c r="Z219" s="86">
        <f t="shared" si="124"/>
        <v>44.242246089688763</v>
      </c>
      <c r="AB219" s="86" t="str">
        <f t="shared" si="125"/>
        <v>-0.132033341048102-0.0239362613291402j</v>
      </c>
      <c r="AC219" s="86">
        <f t="shared" si="126"/>
        <v>-17.445888382463341</v>
      </c>
      <c r="AD219" s="86">
        <f t="shared" si="127"/>
        <v>10.275523063659932</v>
      </c>
      <c r="AF219" s="86" t="str">
        <f t="shared" si="128"/>
        <v>-0.149627108220048-0.0726304440668007j</v>
      </c>
      <c r="AG219" s="86">
        <f t="shared" si="129"/>
        <v>-15.58093612717246</v>
      </c>
      <c r="AH219" s="86">
        <f t="shared" si="130"/>
        <v>25.892384309935949</v>
      </c>
      <c r="AJ219" s="86" t="str">
        <f t="shared" si="131"/>
        <v>8785.68568546263-3266.2798243389j</v>
      </c>
      <c r="AK219" s="86" t="str">
        <f t="shared" si="132"/>
        <v>20000-0.000316402466008806j</v>
      </c>
      <c r="AL219" s="86" t="str">
        <f t="shared" si="146"/>
        <v>10000-28093.614443073j</v>
      </c>
      <c r="AM219" s="86" t="str">
        <f t="shared" si="147"/>
        <v>908.396662607176-8941.70538728712j</v>
      </c>
      <c r="AN219" s="86" t="str">
        <f t="shared" si="148"/>
        <v>10908.3966626072-8941.70538728712j</v>
      </c>
      <c r="AO219" s="86" t="str">
        <f t="shared" si="149"/>
        <v>8057.99210320835-3454.78668509604j</v>
      </c>
      <c r="AP219" s="86" t="str">
        <f t="shared" si="150"/>
        <v>0.685957933578483+0.0778348823755982j</v>
      </c>
      <c r="AQ219" s="86" t="str">
        <f t="shared" si="133"/>
        <v>1+46.0365588042812j</v>
      </c>
      <c r="AR219" s="86">
        <f t="shared" si="134"/>
        <v>-4.3688242196701784E-4</v>
      </c>
      <c r="AS219" s="86" t="str">
        <f t="shared" si="135"/>
        <v>0.00385047563021746j</v>
      </c>
      <c r="AT219" s="86" t="str">
        <f t="shared" si="136"/>
        <v>-0.000436882421967018+0.00385047563021746j</v>
      </c>
      <c r="AU219" s="86" t="str">
        <f t="shared" si="137"/>
        <v>1.76625250600869-0.239358656213166j</v>
      </c>
      <c r="AW219" s="86" t="str">
        <f t="shared" si="151"/>
        <v>0.939092518468191-0.549707587801756j</v>
      </c>
      <c r="AX219" s="86">
        <f t="shared" si="138"/>
        <v>0.73378547972992614</v>
      </c>
      <c r="AY219" s="86">
        <f t="shared" si="139"/>
        <v>149.65698313648505</v>
      </c>
      <c r="AZ219" s="86" t="str">
        <f t="shared" si="140"/>
        <v>-0.137149467242866+0.0501013654826638j</v>
      </c>
      <c r="BA219" s="86">
        <f t="shared" si="141"/>
        <v>-16.712102902733395</v>
      </c>
      <c r="BB219" s="86">
        <f t="shared" si="142"/>
        <v>-20.067493799855043</v>
      </c>
      <c r="BD219" s="86" t="str">
        <f t="shared" si="143"/>
        <v>-0.180439204098409+0.0140444500932398j</v>
      </c>
      <c r="BE219" s="86">
        <f t="shared" si="144"/>
        <v>-14.847150647442522</v>
      </c>
      <c r="BF219" s="86">
        <f t="shared" si="145"/>
        <v>-4.4506325535789699</v>
      </c>
      <c r="BH219" s="86">
        <f t="shared" si="152"/>
        <v>15.847150647442522</v>
      </c>
      <c r="BI219" s="159">
        <f t="shared" si="153"/>
        <v>4.4506325535789699</v>
      </c>
      <c r="BJ219" s="88"/>
      <c r="BK219" s="88"/>
      <c r="BL219" s="88"/>
      <c r="BM219" s="88"/>
      <c r="BN219" s="42"/>
      <c r="BO219" s="42"/>
      <c r="BP219" s="42"/>
    </row>
    <row r="220" spans="1:68" s="86" customFormat="1">
      <c r="A220" s="86">
        <v>156</v>
      </c>
      <c r="B220" s="86">
        <f t="shared" si="103"/>
        <v>131825.6738556409</v>
      </c>
      <c r="C220" s="86" t="str">
        <f t="shared" si="104"/>
        <v>828285.137078811j</v>
      </c>
      <c r="D220" s="86">
        <f t="shared" si="105"/>
        <v>0.72195186740009898</v>
      </c>
      <c r="E220" s="86" t="str">
        <f t="shared" si="106"/>
        <v>-0.828285137078811j</v>
      </c>
      <c r="F220" s="86" t="str">
        <f t="shared" si="107"/>
        <v>0.721951867400099-0.828285137078811j</v>
      </c>
      <c r="G220" s="86">
        <f t="shared" si="108"/>
        <v>0.81804684753913359</v>
      </c>
      <c r="H220" s="86">
        <f t="shared" si="109"/>
        <v>-48.923864437675455</v>
      </c>
      <c r="J220" s="86">
        <f t="shared" si="110"/>
        <v>17.283950617283953</v>
      </c>
      <c r="K220" s="86" t="str">
        <f t="shared" si="111"/>
        <v>1+10.0015430302266j</v>
      </c>
      <c r="L220" s="86">
        <f t="shared" si="112"/>
        <v>-19.454640592076306</v>
      </c>
      <c r="M220" s="86" t="str">
        <f t="shared" si="113"/>
        <v>2.2307457117746j</v>
      </c>
      <c r="N220" s="86" t="str">
        <f t="shared" si="114"/>
        <v>-19.4546405920763+2.2307457117746j</v>
      </c>
      <c r="O220" s="86" t="str">
        <f t="shared" si="115"/>
        <v>0.00744866242533582-0.513241399202697j</v>
      </c>
      <c r="P220" s="86" t="str">
        <f t="shared" si="116"/>
        <v>0.128742313524323-8.87083899856513j</v>
      </c>
      <c r="R220" s="86">
        <f t="shared" si="117"/>
        <v>6.9135802469135808</v>
      </c>
      <c r="S220" s="86" t="str">
        <f t="shared" si="118"/>
        <v>1+0.0621213852809108j</v>
      </c>
      <c r="T220" s="86" t="str">
        <f t="shared" si="119"/>
        <v>-19.4546405920763+2.2307457117746j</v>
      </c>
      <c r="U220" s="86" t="str">
        <f t="shared" si="120"/>
        <v>-0.0503731823447604-0.008969127183773j</v>
      </c>
      <c r="V220" s="86" t="str">
        <f t="shared" si="121"/>
        <v>-0.348259038432911-0.0620087805297886j</v>
      </c>
      <c r="X220" s="86" t="str">
        <f t="shared" si="122"/>
        <v>-0.222458245748993-0.199653706293078j</v>
      </c>
      <c r="Y220" s="86">
        <f t="shared" si="123"/>
        <v>-10.489089742114766</v>
      </c>
      <c r="Z220" s="86">
        <f t="shared" si="124"/>
        <v>41.907609720321375</v>
      </c>
      <c r="AB220" s="86" t="str">
        <f t="shared" si="125"/>
        <v>-0.119990021510788-0.0213646570182568j</v>
      </c>
      <c r="AC220" s="86">
        <f t="shared" si="126"/>
        <v>-18.281550065175253</v>
      </c>
      <c r="AD220" s="86">
        <f t="shared" si="127"/>
        <v>10.095917341247628</v>
      </c>
      <c r="AF220" s="86" t="str">
        <f t="shared" si="128"/>
        <v>-0.138155167368831-0.062952051075553j</v>
      </c>
      <c r="AG220" s="86">
        <f t="shared" si="129"/>
        <v>-16.373326312148684</v>
      </c>
      <c r="AH220" s="86">
        <f t="shared" si="130"/>
        <v>24.496948455371438</v>
      </c>
      <c r="AJ220" s="86" t="str">
        <f t="shared" si="131"/>
        <v>8683.94900711922-3380.60937006116j</v>
      </c>
      <c r="AK220" s="86" t="str">
        <f t="shared" si="132"/>
        <v>20000-0.000331314054831524j</v>
      </c>
      <c r="AL220" s="86" t="str">
        <f t="shared" si="146"/>
        <v>10000-26829.1935076795j</v>
      </c>
      <c r="AM220" s="86" t="str">
        <f t="shared" si="147"/>
        <v>903.442560112972-8558.53496454583j</v>
      </c>
      <c r="AN220" s="86" t="str">
        <f t="shared" si="148"/>
        <v>10903.442560113-8558.53496454583j</v>
      </c>
      <c r="AO220" s="86" t="str">
        <f t="shared" si="149"/>
        <v>7978.48653755538-3329.29071135152j</v>
      </c>
      <c r="AP220" s="86" t="str">
        <f t="shared" si="150"/>
        <v>0.687701670002853+0.0810505765915464j</v>
      </c>
      <c r="AQ220" s="86" t="str">
        <f t="shared" si="133"/>
        <v>1+48.2061949779868j</v>
      </c>
      <c r="AR220" s="86">
        <f t="shared" si="134"/>
        <v>-4.7904169778467643E-4</v>
      </c>
      <c r="AS220" s="86" t="str">
        <f t="shared" si="135"/>
        <v>0.00403194295597498j</v>
      </c>
      <c r="AT220" s="86" t="str">
        <f t="shared" si="136"/>
        <v>-0.000479041697784676+0.00403194295597498j</v>
      </c>
      <c r="AU220" s="86" t="str">
        <f t="shared" si="137"/>
        <v>1.76408823812163-0.246797098941381j</v>
      </c>
      <c r="AW220" s="86" t="str">
        <f t="shared" si="151"/>
        <v>0.920353730746977-0.564104628262298j</v>
      </c>
      <c r="AX220" s="86">
        <f t="shared" si="138"/>
        <v>0.66424710091902783</v>
      </c>
      <c r="AY220" s="86">
        <f t="shared" si="139"/>
        <v>148.49497039899254</v>
      </c>
      <c r="AZ220" s="86" t="str">
        <f t="shared" si="140"/>
        <v>-0.122485165855099+0.048023884686646j</v>
      </c>
      <c r="BA220" s="86">
        <f t="shared" si="141"/>
        <v>-17.617302964256226</v>
      </c>
      <c r="BB220" s="86">
        <f t="shared" si="142"/>
        <v>-21.409112259759866</v>
      </c>
      <c r="BD220" s="86" t="str">
        <f t="shared" si="143"/>
        <v>-0.162663167080201+0.0199958142655508j</v>
      </c>
      <c r="BE220" s="86">
        <f t="shared" si="144"/>
        <v>-15.709079211229632</v>
      </c>
      <c r="BF220" s="86">
        <f t="shared" si="145"/>
        <v>-7.0080811456361118</v>
      </c>
      <c r="BH220" s="86">
        <f t="shared" si="152"/>
        <v>16.709079211229632</v>
      </c>
      <c r="BI220" s="159">
        <f t="shared" si="153"/>
        <v>7.0080811456361118</v>
      </c>
      <c r="BJ220" s="88"/>
      <c r="BK220" s="88"/>
      <c r="BL220" s="88"/>
      <c r="BM220" s="88"/>
      <c r="BN220" s="42"/>
      <c r="BO220" s="42"/>
      <c r="BP220" s="42"/>
    </row>
    <row r="221" spans="1:68" s="86" customFormat="1">
      <c r="A221" s="86">
        <v>157</v>
      </c>
      <c r="B221" s="86">
        <f t="shared" si="103"/>
        <v>138038.42646028864</v>
      </c>
      <c r="C221" s="86" t="str">
        <f t="shared" si="104"/>
        <v>867321.012961475j</v>
      </c>
      <c r="D221" s="86">
        <f t="shared" si="105"/>
        <v>0.69512628512588004</v>
      </c>
      <c r="E221" s="86" t="str">
        <f t="shared" si="106"/>
        <v>-0.867321012961475j</v>
      </c>
      <c r="F221" s="86" t="str">
        <f t="shared" si="107"/>
        <v>0.69512628512588-0.867321012961475j</v>
      </c>
      <c r="G221" s="86">
        <f t="shared" si="108"/>
        <v>0.91823870188921297</v>
      </c>
      <c r="H221" s="86">
        <f t="shared" si="109"/>
        <v>-51.289092687180535</v>
      </c>
      <c r="J221" s="86">
        <f t="shared" si="110"/>
        <v>17.283950617283953</v>
      </c>
      <c r="K221" s="86" t="str">
        <f t="shared" si="111"/>
        <v>1+10.4729012315098j</v>
      </c>
      <c r="L221" s="86">
        <f t="shared" si="112"/>
        <v>-21.428067419156953</v>
      </c>
      <c r="M221" s="86" t="str">
        <f t="shared" si="113"/>
        <v>2.33587751824131j</v>
      </c>
      <c r="N221" s="86" t="str">
        <f t="shared" si="114"/>
        <v>-21.428067419157+2.33587751824131j</v>
      </c>
      <c r="O221" s="86" t="str">
        <f t="shared" si="115"/>
        <v>0.00653298951835114-0.488034723972247j</v>
      </c>
      <c r="P221" s="86" t="str">
        <f t="shared" si="116"/>
        <v>0.112915868218415-8.43516806865612j</v>
      </c>
      <c r="R221" s="86">
        <f t="shared" si="117"/>
        <v>6.9135802469135808</v>
      </c>
      <c r="S221" s="86" t="str">
        <f t="shared" si="118"/>
        <v>1+0.0650490759721106j</v>
      </c>
      <c r="T221" s="86" t="str">
        <f t="shared" si="119"/>
        <v>-21.428067419157+2.33587751824131j</v>
      </c>
      <c r="U221" s="86" t="str">
        <f t="shared" si="120"/>
        <v>-0.04579267820173-0.00802756310771202j</v>
      </c>
      <c r="V221" s="86" t="str">
        <f t="shared" si="121"/>
        <v>-0.316591355468751-0.05549920173233j</v>
      </c>
      <c r="X221" s="86" t="str">
        <f t="shared" si="122"/>
        <v>-0.221932947766077-0.182803293852336j</v>
      </c>
      <c r="Y221" s="86">
        <f t="shared" si="123"/>
        <v>-10.826453510198537</v>
      </c>
      <c r="Z221" s="86">
        <f t="shared" si="124"/>
        <v>39.477841206814588</v>
      </c>
      <c r="AB221" s="86" t="str">
        <f t="shared" si="125"/>
        <v>-0.10907916051156-0.019121830806343j</v>
      </c>
      <c r="AC221" s="86">
        <f t="shared" si="126"/>
        <v>-19.11371127723061</v>
      </c>
      <c r="AD221" s="86">
        <f t="shared" si="127"/>
        <v>9.9430520519508718</v>
      </c>
      <c r="AF221" s="86" t="str">
        <f t="shared" si="128"/>
        <v>-0.127386790272145-0.0545050141110689j</v>
      </c>
      <c r="AG221" s="86">
        <f t="shared" si="129"/>
        <v>-17.167396941902528</v>
      </c>
      <c r="AH221" s="86">
        <f t="shared" si="130"/>
        <v>23.164639908760449</v>
      </c>
      <c r="AJ221" s="86" t="str">
        <f t="shared" si="131"/>
        <v>8575.07113526768-3495.54951013082j</v>
      </c>
      <c r="AK221" s="86" t="str">
        <f t="shared" si="132"/>
        <v>20000-0.00034692840518459j</v>
      </c>
      <c r="AL221" s="86" t="str">
        <f t="shared" si="146"/>
        <v>10000-25621.6808887683j</v>
      </c>
      <c r="AM221" s="86" t="str">
        <f t="shared" si="147"/>
        <v>898.072233167619-8193.28897481953j</v>
      </c>
      <c r="AN221" s="86" t="str">
        <f t="shared" si="148"/>
        <v>10898.0722331676-8193.28897481953j</v>
      </c>
      <c r="AO221" s="86" t="str">
        <f t="shared" si="149"/>
        <v>7904.70079504855-3207.32898524257j</v>
      </c>
      <c r="AP221" s="86" t="str">
        <f t="shared" si="150"/>
        <v>0.689591516780283+0.084356786710046j</v>
      </c>
      <c r="AQ221" s="86" t="str">
        <f t="shared" si="133"/>
        <v>1+50.4780829543578j</v>
      </c>
      <c r="AR221" s="86">
        <f t="shared" si="134"/>
        <v>-5.252684244839241E-4</v>
      </c>
      <c r="AS221" s="86" t="str">
        <f t="shared" si="135"/>
        <v>0.00422196257331413j</v>
      </c>
      <c r="AT221" s="86" t="str">
        <f t="shared" si="136"/>
        <v>-0.000525268424483924+0.00422196257331413j</v>
      </c>
      <c r="AU221" s="86" t="str">
        <f t="shared" si="137"/>
        <v>1.76172126950412-0.254710110982368j</v>
      </c>
      <c r="AW221" s="86" t="str">
        <f t="shared" si="151"/>
        <v>0.900526613751579-0.578332105714315j</v>
      </c>
      <c r="AX221" s="86">
        <f t="shared" si="138"/>
        <v>0.58963323684093638</v>
      </c>
      <c r="AY221" s="86">
        <f t="shared" si="139"/>
        <v>147.29079640493757</v>
      </c>
      <c r="AZ221" s="86" t="str">
        <f t="shared" si="140"/>
        <v>-0.109287455721685+0.0458642630434334j</v>
      </c>
      <c r="BA221" s="86">
        <f t="shared" si="141"/>
        <v>-18.5240780403897</v>
      </c>
      <c r="BB221" s="86">
        <f t="shared" si="142"/>
        <v>-22.766151543111562</v>
      </c>
      <c r="BD221" s="86" t="str">
        <f t="shared" si="143"/>
        <v>-0.1462371944633+0.0245886548683542j</v>
      </c>
      <c r="BE221" s="86">
        <f t="shared" si="144"/>
        <v>-16.577763705061606</v>
      </c>
      <c r="BF221" s="86">
        <f t="shared" si="145"/>
        <v>-9.5445636863018706</v>
      </c>
      <c r="BH221" s="86">
        <f t="shared" si="152"/>
        <v>17.577763705061606</v>
      </c>
      <c r="BI221" s="159">
        <f t="shared" si="153"/>
        <v>9.5445636863018706</v>
      </c>
      <c r="BJ221" s="88"/>
      <c r="BK221" s="88"/>
      <c r="BL221" s="88"/>
      <c r="BM221" s="88"/>
      <c r="BN221" s="42"/>
      <c r="BO221" s="42"/>
      <c r="BP221" s="42"/>
    </row>
    <row r="222" spans="1:68" s="86" customFormat="1">
      <c r="A222" s="86">
        <v>158</v>
      </c>
      <c r="B222" s="86">
        <f t="shared" si="103"/>
        <v>144543.9770745929</v>
      </c>
      <c r="C222" s="86" t="str">
        <f t="shared" si="104"/>
        <v>908196.592996385j</v>
      </c>
      <c r="D222" s="86">
        <f t="shared" si="105"/>
        <v>0.66571261906335322</v>
      </c>
      <c r="E222" s="86" t="str">
        <f t="shared" si="106"/>
        <v>-0.908196592996385j</v>
      </c>
      <c r="F222" s="86" t="str">
        <f t="shared" si="107"/>
        <v>0.665712619063353-0.908196592996385j</v>
      </c>
      <c r="G222" s="86">
        <f t="shared" si="108"/>
        <v>1.0311731589971735</v>
      </c>
      <c r="H222" s="86">
        <f t="shared" si="109"/>
        <v>-53.758398498363043</v>
      </c>
      <c r="J222" s="86">
        <f t="shared" si="110"/>
        <v>17.283950617283953</v>
      </c>
      <c r="K222" s="86" t="str">
        <f t="shared" si="111"/>
        <v>1+10.9664738604313j</v>
      </c>
      <c r="L222" s="86">
        <f t="shared" si="112"/>
        <v>-23.591886906734956</v>
      </c>
      <c r="M222" s="86" t="str">
        <f t="shared" si="113"/>
        <v>2.44596403410076j</v>
      </c>
      <c r="N222" s="86" t="str">
        <f t="shared" si="114"/>
        <v>-23.591886906735+2.44596403410076j</v>
      </c>
      <c r="O222" s="86" t="str">
        <f t="shared" si="115"/>
        <v>0.00574465745127905-0.464245300861906j</v>
      </c>
      <c r="P222" s="86" t="str">
        <f t="shared" si="116"/>
        <v>0.0992903757011194-8.02399285440331j</v>
      </c>
      <c r="R222" s="86">
        <f t="shared" si="117"/>
        <v>6.9135802469135808</v>
      </c>
      <c r="S222" s="86" t="str">
        <f t="shared" si="118"/>
        <v>1+0.0681147444747289j</v>
      </c>
      <c r="T222" s="86" t="str">
        <f t="shared" si="119"/>
        <v>-23.591886906735+2.44596403410076j</v>
      </c>
      <c r="U222" s="86" t="str">
        <f t="shared" si="120"/>
        <v>-0.0416405115778882-0.00720442323361926j</v>
      </c>
      <c r="V222" s="86" t="str">
        <f t="shared" si="121"/>
        <v>-0.287885018316264-0.0498083581583554j</v>
      </c>
      <c r="X222" s="86" t="str">
        <f t="shared" si="122"/>
        <v>-0.221434849218618-0.166563710951206j</v>
      </c>
      <c r="Y222" s="86">
        <f t="shared" si="123"/>
        <v>-11.147696407662124</v>
      </c>
      <c r="Z222" s="86">
        <f t="shared" si="124"/>
        <v>36.95055391977894</v>
      </c>
      <c r="AB222" s="86" t="str">
        <f t="shared" si="125"/>
        <v>-0.0991886088465629-0.0171610936322889j</v>
      </c>
      <c r="AC222" s="86">
        <f t="shared" si="126"/>
        <v>-19.942669608041626</v>
      </c>
      <c r="AD222" s="86">
        <f t="shared" si="127"/>
        <v>9.8158426659018403</v>
      </c>
      <c r="AF222" s="86" t="str">
        <f t="shared" si="128"/>
        <v>-0.117314305639405-0.0471397925920754j</v>
      </c>
      <c r="AG222" s="86">
        <f t="shared" si="129"/>
        <v>-17.962926205878833</v>
      </c>
      <c r="AH222" s="86">
        <f t="shared" si="130"/>
        <v>21.891482899204902</v>
      </c>
      <c r="AJ222" s="86" t="str">
        <f t="shared" si="131"/>
        <v>8458.78436391164-3610.65239589195j</v>
      </c>
      <c r="AK222" s="86" t="str">
        <f t="shared" si="132"/>
        <v>20000-0.000363278637198554j</v>
      </c>
      <c r="AL222" s="86" t="str">
        <f t="shared" si="146"/>
        <v>10000-24468.5152901809j</v>
      </c>
      <c r="AM222" s="86" t="str">
        <f t="shared" si="147"/>
        <v>892.256693862327-7845.16337988359j</v>
      </c>
      <c r="AN222" s="86" t="str">
        <f t="shared" si="148"/>
        <v>10892.2566938623-7845.16337988359j</v>
      </c>
      <c r="AO222" s="86" t="str">
        <f t="shared" si="149"/>
        <v>7836.23490350704-3089.01763158208j</v>
      </c>
      <c r="AP222" s="86" t="str">
        <f t="shared" si="150"/>
        <v>0.691637576859571+0.0877501558050454j</v>
      </c>
      <c r="AQ222" s="86" t="str">
        <f t="shared" si="133"/>
        <v>1+52.8570417123896j</v>
      </c>
      <c r="AR222" s="86">
        <f t="shared" si="134"/>
        <v>-5.7595502238872039E-4</v>
      </c>
      <c r="AS222" s="86" t="str">
        <f t="shared" si="135"/>
        <v>0.00442093753931966j</v>
      </c>
      <c r="AT222" s="86" t="str">
        <f t="shared" si="136"/>
        <v>-0.00057595502238872+0.00442093753931966j</v>
      </c>
      <c r="AU222" s="86" t="str">
        <f t="shared" si="137"/>
        <v>1.75913324430373-0.263107455548151j</v>
      </c>
      <c r="AW222" s="86" t="str">
        <f t="shared" si="151"/>
        <v>0.87959947139745-0.592306873448741j</v>
      </c>
      <c r="AX222" s="86">
        <f t="shared" si="138"/>
        <v>0.50968212162583393</v>
      </c>
      <c r="AY222" s="86">
        <f t="shared" si="139"/>
        <v>146.04436600732242</v>
      </c>
      <c r="AZ222" s="86" t="str">
        <f t="shared" si="140"/>
        <v>-0.0974108816243873+0.0436552059000743j</v>
      </c>
      <c r="BA222" s="86">
        <f t="shared" si="141"/>
        <v>-19.432987486415794</v>
      </c>
      <c r="BB222" s="86">
        <f t="shared" si="142"/>
        <v>-24.139791326775708</v>
      </c>
      <c r="BD222" s="86" t="str">
        <f t="shared" si="143"/>
        <v>-0.131110824393014+0.0280219329383111j</v>
      </c>
      <c r="BE222" s="86">
        <f t="shared" si="144"/>
        <v>-17.453244084252983</v>
      </c>
      <c r="BF222" s="86">
        <f t="shared" si="145"/>
        <v>-12.064151093472702</v>
      </c>
      <c r="BH222" s="86">
        <f t="shared" si="152"/>
        <v>18.453244084252983</v>
      </c>
      <c r="BI222" s="159">
        <f t="shared" si="153"/>
        <v>12.064151093472702</v>
      </c>
      <c r="BJ222" s="88"/>
      <c r="BK222" s="88"/>
      <c r="BL222" s="88"/>
      <c r="BM222" s="88"/>
      <c r="BN222" s="42"/>
      <c r="BO222" s="42"/>
      <c r="BP222" s="42"/>
    </row>
    <row r="223" spans="1:68" s="86" customFormat="1">
      <c r="A223" s="86">
        <v>159</v>
      </c>
      <c r="B223" s="86">
        <f t="shared" si="103"/>
        <v>151356.12484362093</v>
      </c>
      <c r="C223" s="86" t="str">
        <f t="shared" si="104"/>
        <v>950998.579769078j</v>
      </c>
      <c r="D223" s="86">
        <f t="shared" si="105"/>
        <v>0.63346117555715598</v>
      </c>
      <c r="E223" s="86" t="str">
        <f t="shared" si="106"/>
        <v>-0.950998579769078j</v>
      </c>
      <c r="F223" s="86" t="str">
        <f t="shared" si="107"/>
        <v>0.633461175557156-0.950998579769078j</v>
      </c>
      <c r="G223" s="86">
        <f t="shared" si="108"/>
        <v>1.1583387782225865</v>
      </c>
      <c r="H223" s="86">
        <f t="shared" si="109"/>
        <v>-56.332373295946311</v>
      </c>
      <c r="J223" s="86">
        <f t="shared" si="110"/>
        <v>17.283950617283953</v>
      </c>
      <c r="K223" s="86" t="str">
        <f t="shared" si="111"/>
        <v>1+11.4833078507116j</v>
      </c>
      <c r="L223" s="86">
        <f t="shared" si="112"/>
        <v>-25.964467795253935</v>
      </c>
      <c r="M223" s="86" t="str">
        <f t="shared" si="113"/>
        <v>2.56123876761265j</v>
      </c>
      <c r="N223" s="86" t="str">
        <f t="shared" si="114"/>
        <v>-25.9644677952539+2.56123876761265j</v>
      </c>
      <c r="O223" s="86" t="str">
        <f t="shared" si="115"/>
        <v>0.00506384152922532-0.441770585629742j</v>
      </c>
      <c r="P223" s="86" t="str">
        <f t="shared" si="116"/>
        <v>0.0875231869248821-7.63554098619307j</v>
      </c>
      <c r="R223" s="86">
        <f t="shared" si="117"/>
        <v>6.9135802469135808</v>
      </c>
      <c r="S223" s="86" t="str">
        <f t="shared" si="118"/>
        <v>1+0.0713248934826808j</v>
      </c>
      <c r="T223" s="86" t="str">
        <f t="shared" si="119"/>
        <v>-25.9644677952539+2.56123876761265j</v>
      </c>
      <c r="U223" s="86" t="str">
        <f t="shared" si="120"/>
        <v>-0.0378746513829707-0.00648312610302488j</v>
      </c>
      <c r="V223" s="86" t="str">
        <f t="shared" si="121"/>
        <v>-0.261849441660044-0.0448216125641226j</v>
      </c>
      <c r="X223" s="86" t="str">
        <f t="shared" si="122"/>
        <v>-0.220965133081471-0.150869878172413j</v>
      </c>
      <c r="Y223" s="86">
        <f t="shared" si="123"/>
        <v>-11.45163955462148</v>
      </c>
      <c r="Z223" s="86">
        <f t="shared" si="124"/>
        <v>34.324356805690798</v>
      </c>
      <c r="AB223" s="86" t="str">
        <f t="shared" si="125"/>
        <v>-0.0902182475399821-0.0154429480995461j</v>
      </c>
      <c r="AC223" s="86">
        <f t="shared" si="126"/>
        <v>-20.768691388823548</v>
      </c>
      <c r="AD223" s="86">
        <f t="shared" si="127"/>
        <v>9.7133651746315195</v>
      </c>
      <c r="AF223" s="86" t="str">
        <f t="shared" si="128"/>
        <v>-0.107921106280776-0.040723456168075j</v>
      </c>
      <c r="AG223" s="86">
        <f t="shared" si="129"/>
        <v>-18.759732050861309</v>
      </c>
      <c r="AH223" s="86">
        <f t="shared" si="130"/>
        <v>20.673732500614022</v>
      </c>
      <c r="AJ223" s="86" t="str">
        <f t="shared" si="131"/>
        <v>8334.85038593004-3725.42251341539j</v>
      </c>
      <c r="AK223" s="86" t="str">
        <f t="shared" si="132"/>
        <v>20000-0.000380399431907632j</v>
      </c>
      <c r="AL223" s="86" t="str">
        <f t="shared" si="146"/>
        <v>10000-23367.2506930749j</v>
      </c>
      <c r="AM223" s="86" t="str">
        <f t="shared" si="147"/>
        <v>885.96603982119-7513.38718096609j</v>
      </c>
      <c r="AN223" s="86" t="str">
        <f t="shared" si="148"/>
        <v>10885.9660398212-7513.38718096609j</v>
      </c>
      <c r="AO223" s="86" t="str">
        <f t="shared" si="149"/>
        <v>7772.70266377678-2974.43894517265j</v>
      </c>
      <c r="AP223" s="86" t="str">
        <f t="shared" si="150"/>
        <v>0.693850257309115+0.0912263596896492j</v>
      </c>
      <c r="AQ223" s="86" t="str">
        <f t="shared" si="133"/>
        <v>1+55.3481173425603j</v>
      </c>
      <c r="AR223" s="86">
        <f t="shared" si="134"/>
        <v>-6.3153177182800565E-4</v>
      </c>
      <c r="AS223" s="86" t="str">
        <f t="shared" si="135"/>
        <v>0.00462928990657151j</v>
      </c>
      <c r="AT223" s="86" t="str">
        <f t="shared" si="136"/>
        <v>-0.000631531771828006+0.00462928990657151j</v>
      </c>
      <c r="AU223" s="86" t="str">
        <f t="shared" si="137"/>
        <v>1.75630426976592-0.271998939959868j</v>
      </c>
      <c r="AW223" s="86" t="str">
        <f t="shared" si="151"/>
        <v>0.857567684497267-0.605942035565702j</v>
      </c>
      <c r="AX223" s="86">
        <f t="shared" si="138"/>
        <v>0.42413294601988782</v>
      </c>
      <c r="AY223" s="86">
        <f t="shared" si="139"/>
        <v>144.75565393867737</v>
      </c>
      <c r="AZ223" s="86" t="str">
        <f t="shared" si="140"/>
        <v>-0.0867257850488381+0.0414236553160079j</v>
      </c>
      <c r="BA223" s="86">
        <f t="shared" si="141"/>
        <v>-20.344558442803667</v>
      </c>
      <c r="BB223" s="86">
        <f t="shared" si="142"/>
        <v>-25.530980886691111</v>
      </c>
      <c r="BD223" s="86" t="str">
        <f t="shared" si="143"/>
        <v>-0.117225707147343+0.030470814809494j</v>
      </c>
      <c r="BE223" s="86">
        <f t="shared" si="144"/>
        <v>-18.335599104841389</v>
      </c>
      <c r="BF223" s="86">
        <f t="shared" si="145"/>
        <v>-14.570613560708608</v>
      </c>
      <c r="BH223" s="86">
        <f t="shared" si="152"/>
        <v>19.335599104841389</v>
      </c>
      <c r="BI223" s="159">
        <f t="shared" si="153"/>
        <v>14.570613560708608</v>
      </c>
      <c r="BJ223" s="88"/>
      <c r="BK223" s="88"/>
      <c r="BL223" s="88"/>
      <c r="BM223" s="88"/>
      <c r="BN223" s="42"/>
      <c r="BO223" s="42"/>
      <c r="BP223" s="42"/>
    </row>
    <row r="224" spans="1:68" s="86" customFormat="1">
      <c r="A224" s="86">
        <v>160</v>
      </c>
      <c r="B224" s="86">
        <f t="shared" si="103"/>
        <v>158489.31924611155</v>
      </c>
      <c r="C224" s="86" t="str">
        <f t="shared" si="104"/>
        <v>995817.762032063j</v>
      </c>
      <c r="D224" s="86">
        <f t="shared" si="105"/>
        <v>0.59809817095846629</v>
      </c>
      <c r="E224" s="86" t="str">
        <f t="shared" si="106"/>
        <v>-0.995817762032063j</v>
      </c>
      <c r="F224" s="86" t="str">
        <f t="shared" si="107"/>
        <v>0.598098170958466-0.995817762032063j</v>
      </c>
      <c r="G224" s="86">
        <f t="shared" si="108"/>
        <v>1.3013247856838785</v>
      </c>
      <c r="H224" s="86">
        <f t="shared" si="109"/>
        <v>-59.010548797139023</v>
      </c>
      <c r="J224" s="86">
        <f t="shared" si="110"/>
        <v>17.283950617283953</v>
      </c>
      <c r="K224" s="86" t="str">
        <f t="shared" si="111"/>
        <v>1+12.0244994765372j</v>
      </c>
      <c r="L224" s="86">
        <f t="shared" si="112"/>
        <v>-28.565951008101088</v>
      </c>
      <c r="M224" s="86" t="str">
        <f t="shared" si="113"/>
        <v>2.68194623194191j</v>
      </c>
      <c r="N224" s="86" t="str">
        <f t="shared" si="114"/>
        <v>-28.5659510081011+2.68194623194191j</v>
      </c>
      <c r="O224" s="86" t="str">
        <f t="shared" si="115"/>
        <v>0.00447410283392622-0.420518125578727j</v>
      </c>
      <c r="P224" s="86" t="str">
        <f t="shared" si="116"/>
        <v>0.077330172438231-7.26821451617553j</v>
      </c>
      <c r="R224" s="86">
        <f t="shared" si="117"/>
        <v>6.9135802469135808</v>
      </c>
      <c r="S224" s="86" t="str">
        <f t="shared" si="118"/>
        <v>1+0.0746863321524047j</v>
      </c>
      <c r="T224" s="86" t="str">
        <f t="shared" si="119"/>
        <v>-28.5659510081011+2.68194623194191j</v>
      </c>
      <c r="U224" s="86" t="str">
        <f t="shared" si="120"/>
        <v>-0.0344575145873472-0.00584960513005976j</v>
      </c>
      <c r="V224" s="86" t="str">
        <f t="shared" si="121"/>
        <v>-0.23822479220882-0.0404417144794255j</v>
      </c>
      <c r="X224" s="86" t="str">
        <f t="shared" si="122"/>
        <v>-0.220524180337196-0.135662216961373j</v>
      </c>
      <c r="Y224" s="86">
        <f t="shared" si="123"/>
        <v>-11.736974065600762</v>
      </c>
      <c r="Z224" s="86">
        <f t="shared" si="124"/>
        <v>31.599026680847288</v>
      </c>
      <c r="AB224" s="86" t="str">
        <f t="shared" si="125"/>
        <v>-0.0820785529936673-0.0139338872930766j</v>
      </c>
      <c r="AC224" s="86">
        <f t="shared" si="126"/>
        <v>-21.592014646512556</v>
      </c>
      <c r="AD224" s="86">
        <f t="shared" si="127"/>
        <v>9.6348375467966036</v>
      </c>
      <c r="AF224" s="86" t="str">
        <f t="shared" si="128"/>
        <v>-0.0991841142140846-0.0351382601278867j</v>
      </c>
      <c r="AG224" s="86">
        <f t="shared" si="129"/>
        <v>-19.557666335616439</v>
      </c>
      <c r="AH224" s="86">
        <f t="shared" si="130"/>
        <v>19.507865050905593</v>
      </c>
      <c r="AJ224" s="86" t="str">
        <f t="shared" si="131"/>
        <v>8203.06758746318-3839.31739117031j</v>
      </c>
      <c r="AK224" s="86" t="str">
        <f t="shared" si="132"/>
        <v>20000-0.000398327104812826j</v>
      </c>
      <c r="AL224" s="86" t="str">
        <f t="shared" si="146"/>
        <v>10000-22315.5511675908j</v>
      </c>
      <c r="AM224" s="86" t="str">
        <f t="shared" si="147"/>
        <v>879.169643893186-7197.22052528865j</v>
      </c>
      <c r="AN224" s="86" t="str">
        <f t="shared" si="148"/>
        <v>10879.1696438932-7197.22052528865j</v>
      </c>
      <c r="AO224" s="86" t="str">
        <f t="shared" si="149"/>
        <v>7713.73313990863-2863.64479049358j</v>
      </c>
      <c r="AP224" s="86" t="str">
        <f t="shared" si="150"/>
        <v>0.696240200325367+0.0947800086020984j</v>
      </c>
      <c r="AQ224" s="86" t="str">
        <f t="shared" si="133"/>
        <v>1+57.9565937502661j</v>
      </c>
      <c r="AR224" s="86">
        <f t="shared" si="134"/>
        <v>-6.9247046580069656E-4</v>
      </c>
      <c r="AS224" s="86" t="str">
        <f t="shared" si="135"/>
        <v>0.00484746161837492j</v>
      </c>
      <c r="AT224" s="86" t="str">
        <f t="shared" si="136"/>
        <v>-0.000692470465800697+0.00484746161837492j</v>
      </c>
      <c r="AU224" s="86" t="str">
        <f t="shared" si="137"/>
        <v>1.75321281243413-0.281394304949917j</v>
      </c>
      <c r="AW224" s="86" t="str">
        <f t="shared" si="151"/>
        <v>0.834434345492521-0.619147653002339j</v>
      </c>
      <c r="AX224" s="86">
        <f t="shared" si="138"/>
        <v>0.33272728720493416</v>
      </c>
      <c r="AY224" s="86">
        <f t="shared" si="139"/>
        <v>143.42470150078535</v>
      </c>
      <c r="AZ224" s="86" t="str">
        <f t="shared" si="140"/>
        <v>-0.0771162972609515+0.0391918293242923j</v>
      </c>
      <c r="BA224" s="86">
        <f t="shared" si="141"/>
        <v>-21.259287359307621</v>
      </c>
      <c r="BB224" s="86">
        <f t="shared" si="142"/>
        <v>-26.940460952418022</v>
      </c>
      <c r="BD224" s="86" t="str">
        <f t="shared" si="143"/>
        <v>-0.104518402716252+0.0320890404392073j</v>
      </c>
      <c r="BE224" s="86">
        <f t="shared" si="144"/>
        <v>-19.224939048411493</v>
      </c>
      <c r="BF224" s="86">
        <f t="shared" si="145"/>
        <v>-17.067433448309004</v>
      </c>
      <c r="BH224" s="86">
        <f t="shared" si="152"/>
        <v>20.224939048411493</v>
      </c>
      <c r="BI224" s="159">
        <f t="shared" si="153"/>
        <v>17.067433448309004</v>
      </c>
      <c r="BJ224" s="88"/>
      <c r="BK224" s="88"/>
      <c r="BL224" s="88"/>
      <c r="BM224" s="88"/>
      <c r="BN224" s="42"/>
      <c r="BO224" s="42"/>
      <c r="BP224" s="42"/>
    </row>
    <row r="225" spans="1:68" s="86" customFormat="1">
      <c r="A225" s="86">
        <v>161</v>
      </c>
      <c r="B225" s="86">
        <f t="shared" si="103"/>
        <v>165958.69074375625</v>
      </c>
      <c r="C225" s="86" t="str">
        <f t="shared" si="104"/>
        <v>1042749.20727993j</v>
      </c>
      <c r="D225" s="86">
        <f t="shared" si="105"/>
        <v>0.55932340746589337</v>
      </c>
      <c r="E225" s="86" t="str">
        <f t="shared" si="106"/>
        <v>-1.04274920727993j</v>
      </c>
      <c r="F225" s="86" t="str">
        <f t="shared" si="107"/>
        <v>0.559323407465893-1.04274920727993j</v>
      </c>
      <c r="G225" s="86">
        <f t="shared" si="108"/>
        <v>1.4618032885123842</v>
      </c>
      <c r="H225" s="86">
        <f t="shared" si="109"/>
        <v>-61.791201235305543</v>
      </c>
      <c r="J225" s="86">
        <f t="shared" si="110"/>
        <v>17.283950617283953</v>
      </c>
      <c r="K225" s="86" t="str">
        <f t="shared" si="111"/>
        <v>1+12.5911966779052j</v>
      </c>
      <c r="L225" s="86">
        <f t="shared" si="112"/>
        <v>-31.418420628620389</v>
      </c>
      <c r="M225" s="86" t="str">
        <f t="shared" si="113"/>
        <v>2.80834246380391j</v>
      </c>
      <c r="N225" s="86" t="str">
        <f t="shared" si="114"/>
        <v>-31.4184206286204+2.80834246380391j</v>
      </c>
      <c r="O225" s="86" t="str">
        <f t="shared" si="115"/>
        <v>0.00396176487840598-0.400404298932386j</v>
      </c>
      <c r="P225" s="86" t="str">
        <f t="shared" si="116"/>
        <v>0.0684749485156589-6.92056812969556j</v>
      </c>
      <c r="R225" s="86">
        <f t="shared" si="117"/>
        <v>6.9135802469135808</v>
      </c>
      <c r="S225" s="86" t="str">
        <f t="shared" si="118"/>
        <v>1+0.0782061905459947j</v>
      </c>
      <c r="T225" s="86" t="str">
        <f t="shared" si="119"/>
        <v>-31.4184206286204+2.80834246380391j</v>
      </c>
      <c r="U225" s="86" t="str">
        <f t="shared" si="120"/>
        <v>-0.0313554444760092-0.00529189607283954j</v>
      </c>
      <c r="V225" s="86" t="str">
        <f t="shared" si="121"/>
        <v>-0.216778381562533-0.036585948157903j</v>
      </c>
      <c r="X225" s="86" t="str">
        <f t="shared" si="122"/>
        <v>-0.220111782930571-0.120885879689365j</v>
      </c>
      <c r="Y225" s="86">
        <f t="shared" si="123"/>
        <v>-12.002281766893619</v>
      </c>
      <c r="Z225" s="86">
        <f t="shared" si="124"/>
        <v>28.775688282425193</v>
      </c>
      <c r="AB225" s="86" t="str">
        <f t="shared" si="125"/>
        <v>-0.0746893541767272-0.0126054121271717j</v>
      </c>
      <c r="AC225" s="86">
        <f t="shared" si="126"/>
        <v>-22.412851705080726</v>
      </c>
      <c r="AD225" s="86">
        <f t="shared" si="127"/>
        <v>9.579604099807284</v>
      </c>
      <c r="AF225" s="86" t="str">
        <f t="shared" si="128"/>
        <v>-0.0910757490573883-0.0302802166432008j</v>
      </c>
      <c r="AG225" s="86">
        <f t="shared" si="129"/>
        <v>-20.356609881061708</v>
      </c>
      <c r="AH225" s="86">
        <f t="shared" si="130"/>
        <v>18.390567096931164</v>
      </c>
      <c r="AJ225" s="86" t="str">
        <f t="shared" si="131"/>
        <v>8063.27871902832-3951.74942140164j</v>
      </c>
      <c r="AK225" s="86" t="str">
        <f t="shared" si="132"/>
        <v>20000-0.000417099682911972j</v>
      </c>
      <c r="AL225" s="86" t="str">
        <f t="shared" si="146"/>
        <v>10000-21311.1859180312j</v>
      </c>
      <c r="AM225" s="86" t="str">
        <f t="shared" si="147"/>
        <v>871.836392232633-6895.95288359263j</v>
      </c>
      <c r="AN225" s="86" t="str">
        <f t="shared" si="148"/>
        <v>10871.8363922326-6895.95288359263j</v>
      </c>
      <c r="AO225" s="86" t="str">
        <f t="shared" si="149"/>
        <v>7658.97173442134-2756.65981489887j</v>
      </c>
      <c r="AP225" s="86" t="str">
        <f t="shared" si="150"/>
        <v>0.698818197134669+0.0984045488133415j</v>
      </c>
      <c r="AQ225" s="86" t="str">
        <f t="shared" si="133"/>
        <v>1+60.6880038636919j</v>
      </c>
      <c r="AR225" s="86">
        <f t="shared" si="134"/>
        <v>-7.5928841504319133E-4</v>
      </c>
      <c r="AS225" s="86" t="str">
        <f t="shared" si="135"/>
        <v>0.00507591544618139j</v>
      </c>
      <c r="AT225" s="86" t="str">
        <f t="shared" si="136"/>
        <v>-0.000759288415043191+0.00507591544618139j</v>
      </c>
      <c r="AU225" s="86" t="str">
        <f t="shared" si="137"/>
        <v>1.74983559247755-0.291303097791123j</v>
      </c>
      <c r="AW225" s="86" t="str">
        <f t="shared" si="151"/>
        <v>0.810210799149534-0.631831556470781j</v>
      </c>
      <c r="AX225" s="86">
        <f t="shared" si="138"/>
        <v>0.23521044226551163</v>
      </c>
      <c r="AY225" s="86">
        <f t="shared" si="139"/>
        <v>142.05161139682576</v>
      </c>
      <c r="AZ225" s="86" t="str">
        <f t="shared" si="140"/>
        <v>-0.0684786184997553+0.036978049868114j</v>
      </c>
      <c r="BA225" s="86">
        <f t="shared" si="141"/>
        <v>-22.177641262815211</v>
      </c>
      <c r="BB225" s="86">
        <f t="shared" si="142"/>
        <v>-28.368784503366953</v>
      </c>
      <c r="BD225" s="86" t="str">
        <f t="shared" si="143"/>
        <v>-0.0929225518388751+0.0330111737587632j</v>
      </c>
      <c r="BE225" s="86">
        <f t="shared" si="144"/>
        <v>-20.121399438796189</v>
      </c>
      <c r="BF225" s="86">
        <f t="shared" si="145"/>
        <v>-19.557821506243044</v>
      </c>
      <c r="BH225" s="86">
        <f t="shared" si="152"/>
        <v>21.121399438796189</v>
      </c>
      <c r="BI225" s="159">
        <f t="shared" si="153"/>
        <v>19.557821506243044</v>
      </c>
      <c r="BJ225" s="88"/>
      <c r="BK225" s="88"/>
      <c r="BL225" s="88"/>
      <c r="BM225" s="88"/>
      <c r="BN225" s="42"/>
      <c r="BO225" s="42"/>
      <c r="BP225" s="42"/>
    </row>
    <row r="226" spans="1:68" s="86" customFormat="1">
      <c r="A226" s="86">
        <v>162</v>
      </c>
      <c r="B226" s="86">
        <f t="shared" si="103"/>
        <v>173780.08287493771</v>
      </c>
      <c r="C226" s="86" t="str">
        <f t="shared" si="104"/>
        <v>1091892.46340026j</v>
      </c>
      <c r="D226" s="86">
        <f t="shared" si="105"/>
        <v>0.51680772473567527</v>
      </c>
      <c r="E226" s="86" t="str">
        <f t="shared" si="106"/>
        <v>-1.09189246340026j</v>
      </c>
      <c r="F226" s="86" t="str">
        <f t="shared" si="107"/>
        <v>0.516807724735675-1.09189246340026j</v>
      </c>
      <c r="G226" s="86">
        <f t="shared" si="108"/>
        <v>1.6415034881289094</v>
      </c>
      <c r="H226" s="86">
        <f t="shared" si="109"/>
        <v>-64.671162211461777</v>
      </c>
      <c r="J226" s="86">
        <f t="shared" si="110"/>
        <v>17.283950617283953</v>
      </c>
      <c r="K226" s="86" t="str">
        <f t="shared" si="111"/>
        <v>1+13.1846014955581j</v>
      </c>
      <c r="L226" s="86">
        <f t="shared" si="112"/>
        <v>-34.546091372680863</v>
      </c>
      <c r="M226" s="86" t="str">
        <f t="shared" si="113"/>
        <v>2.94069556655268j</v>
      </c>
      <c r="N226" s="86" t="str">
        <f t="shared" si="114"/>
        <v>-34.5460913726809+2.94069556655268j</v>
      </c>
      <c r="O226" s="86" t="str">
        <f t="shared" si="115"/>
        <v>0.00351541276106538-0.381353236020653j</v>
      </c>
      <c r="P226" s="86" t="str">
        <f t="shared" si="116"/>
        <v>0.0607602205616239-6.5912904991224j</v>
      </c>
      <c r="R226" s="86">
        <f t="shared" si="117"/>
        <v>6.9135802469135808</v>
      </c>
      <c r="S226" s="86" t="str">
        <f t="shared" si="118"/>
        <v>1+0.0818919347550195j</v>
      </c>
      <c r="T226" s="86" t="str">
        <f t="shared" si="119"/>
        <v>-34.5460913726809+2.94069556655268j</v>
      </c>
      <c r="U226" s="86" t="str">
        <f t="shared" si="120"/>
        <v>-0.0285382576131466-0.00479979806127254j</v>
      </c>
      <c r="V226" s="86" t="str">
        <f t="shared" si="121"/>
        <v>-0.197301534115581-0.0331837890655879j</v>
      </c>
      <c r="X226" s="86" t="str">
        <f t="shared" si="122"/>
        <v>-0.219727307441091-0.106490090642844j</v>
      </c>
      <c r="Y226" s="86">
        <f t="shared" si="123"/>
        <v>-12.246063598900189</v>
      </c>
      <c r="Z226" s="86">
        <f t="shared" si="124"/>
        <v>25.856990142999848</v>
      </c>
      <c r="AB226" s="86" t="str">
        <f t="shared" si="125"/>
        <v>-0.067978753485247-0.0114332239062803j</v>
      </c>
      <c r="AC226" s="86">
        <f t="shared" si="126"/>
        <v>-23.231391474967992</v>
      </c>
      <c r="AD226" s="86">
        <f t="shared" si="127"/>
        <v>9.5471222842451482</v>
      </c>
      <c r="AF226" s="86" t="str">
        <f t="shared" si="128"/>
        <v>-0.0835654844213726-0.0260577104784305j</v>
      </c>
      <c r="AG226" s="86">
        <f t="shared" si="129"/>
        <v>-21.156468300763954</v>
      </c>
      <c r="AH226" s="86">
        <f t="shared" si="130"/>
        <v>17.318723595945443</v>
      </c>
      <c r="AJ226" s="86" t="str">
        <f t="shared" si="131"/>
        <v>7915.37877771124-4062.08894320039j</v>
      </c>
      <c r="AK226" s="86" t="str">
        <f t="shared" si="132"/>
        <v>20000-0.000436756985360104j</v>
      </c>
      <c r="AL226" s="86" t="str">
        <f t="shared" si="146"/>
        <v>10000-20352.0245510442j</v>
      </c>
      <c r="AM226" s="86" t="str">
        <f t="shared" si="147"/>
        <v>863.934975616543-6608.90130200311j</v>
      </c>
      <c r="AN226" s="86" t="str">
        <f t="shared" si="148"/>
        <v>10863.9349756165-6608.90130200311j</v>
      </c>
      <c r="AO226" s="86" t="str">
        <f t="shared" si="149"/>
        <v>7608.08091460318-2653.48445246903j</v>
      </c>
      <c r="AP226" s="86" t="str">
        <f t="shared" si="150"/>
        <v>0.701595083141586+0.1020921665508j</v>
      </c>
      <c r="AQ226" s="86" t="str">
        <f t="shared" si="133"/>
        <v>1+63.5481413698951j</v>
      </c>
      <c r="AR226" s="86">
        <f t="shared" si="134"/>
        <v>-8.3255283949859463E-4</v>
      </c>
      <c r="AS226" s="86" t="str">
        <f t="shared" si="135"/>
        <v>0.00531513597118905j</v>
      </c>
      <c r="AT226" s="86" t="str">
        <f t="shared" si="136"/>
        <v>-0.000832552839498595+0.00531513597118905j</v>
      </c>
      <c r="AU226" s="86" t="str">
        <f t="shared" si="137"/>
        <v>1.74614747735739-0.301734527423278j</v>
      </c>
      <c r="AW226" s="86" t="str">
        <f t="shared" si="151"/>
        <v>0.784917068371915-0.643900249243061j</v>
      </c>
      <c r="AX226" s="86">
        <f t="shared" si="138"/>
        <v>0.13133260000550523</v>
      </c>
      <c r="AY226" s="86">
        <f t="shared" si="139"/>
        <v>140.63654077312617</v>
      </c>
      <c r="AZ226" s="86" t="str">
        <f t="shared" si="140"/>
        <v>-0.0607195396201228+0.034797403721826j</v>
      </c>
      <c r="BA226" s="86">
        <f t="shared" si="141"/>
        <v>-23.100058874962475</v>
      </c>
      <c r="BB226" s="86">
        <f t="shared" si="142"/>
        <v>-29.816336942628766</v>
      </c>
      <c r="BD226" s="86" t="str">
        <f t="shared" si="143"/>
        <v>-0.0823705413208676+0.0333546945298253j</v>
      </c>
      <c r="BE226" s="86">
        <f t="shared" si="144"/>
        <v>-21.025135700758447</v>
      </c>
      <c r="BF226" s="86">
        <f t="shared" si="145"/>
        <v>-22.0447356309285</v>
      </c>
      <c r="BH226" s="86">
        <f t="shared" si="152"/>
        <v>22.025135700758447</v>
      </c>
      <c r="BI226" s="159">
        <f t="shared" si="153"/>
        <v>22.0447356309285</v>
      </c>
      <c r="BJ226" s="88"/>
      <c r="BK226" s="88"/>
      <c r="BL226" s="88"/>
      <c r="BM226" s="88"/>
      <c r="BN226" s="42"/>
      <c r="BO226" s="42"/>
      <c r="BP226" s="42"/>
    </row>
    <row r="227" spans="1:68" s="86" customFormat="1">
      <c r="A227" s="86">
        <v>163</v>
      </c>
      <c r="B227" s="86">
        <f t="shared" si="103"/>
        <v>181970.08586099852</v>
      </c>
      <c r="C227" s="86" t="str">
        <f t="shared" si="104"/>
        <v>1143351.76982803j</v>
      </c>
      <c r="D227" s="86">
        <f t="shared" si="105"/>
        <v>0.47019020562785607</v>
      </c>
      <c r="E227" s="86" t="str">
        <f t="shared" si="106"/>
        <v>-1.14335176982803j</v>
      </c>
      <c r="F227" s="86" t="str">
        <f t="shared" si="107"/>
        <v>0.470190205627856-1.14335176982803j</v>
      </c>
      <c r="G227" s="86">
        <f t="shared" si="108"/>
        <v>1.8421773454601134</v>
      </c>
      <c r="H227" s="86">
        <f t="shared" si="109"/>
        <v>-67.645650953515016</v>
      </c>
      <c r="J227" s="86">
        <f t="shared" si="110"/>
        <v>17.283950617283953</v>
      </c>
      <c r="K227" s="86" t="str">
        <f t="shared" si="111"/>
        <v>1+13.8059726206735j</v>
      </c>
      <c r="L227" s="86">
        <f t="shared" si="112"/>
        <v>-37.975514148257638</v>
      </c>
      <c r="M227" s="86" t="str">
        <f t="shared" si="113"/>
        <v>3.07928627886401j</v>
      </c>
      <c r="N227" s="86" t="str">
        <f t="shared" si="114"/>
        <v>-37.9755141482576+3.07928627886401j</v>
      </c>
      <c r="O227" s="86" t="str">
        <f t="shared" si="115"/>
        <v>0.00312548922021369-0.363295893526065j</v>
      </c>
      <c r="P227" s="86" t="str">
        <f t="shared" si="116"/>
        <v>0.0540208013370267-6.27918828316656j</v>
      </c>
      <c r="R227" s="86">
        <f t="shared" si="117"/>
        <v>6.9135802469135808</v>
      </c>
      <c r="S227" s="86" t="str">
        <f t="shared" si="118"/>
        <v>1+0.0857513827371022j</v>
      </c>
      <c r="T227" s="86" t="str">
        <f t="shared" si="119"/>
        <v>-37.9755141482576+3.07928627886401j</v>
      </c>
      <c r="U227" s="86" t="str">
        <f t="shared" si="120"/>
        <v>-0.0259788494774148-0.00436459390191518j</v>
      </c>
      <c r="V227" s="86" t="str">
        <f t="shared" si="121"/>
        <v>-0.179606860584596-0.0301749701860803j</v>
      </c>
      <c r="X227" s="86" t="str">
        <f t="shared" si="122"/>
        <v>-0.219369820721067-0.0924275796540915j</v>
      </c>
      <c r="Y227" s="86">
        <f t="shared" si="123"/>
        <v>-12.466776287729909</v>
      </c>
      <c r="Z227" s="86">
        <f t="shared" si="124"/>
        <v>22.847261095672962</v>
      </c>
      <c r="AB227" s="86" t="str">
        <f t="shared" si="125"/>
        <v>-0.0618821873568757-0.0103965580850607j</v>
      </c>
      <c r="AC227" s="86">
        <f t="shared" si="126"/>
        <v>-24.047801465943458</v>
      </c>
      <c r="AD227" s="86">
        <f t="shared" si="127"/>
        <v>9.5369514711418901</v>
      </c>
      <c r="AF227" s="86" t="str">
        <f t="shared" si="128"/>
        <v>-0.0766210657862097-0.0223901896315894j</v>
      </c>
      <c r="AG227" s="86">
        <f t="shared" si="129"/>
        <v>-21.957168506122127</v>
      </c>
      <c r="AH227" s="86">
        <f t="shared" si="130"/>
        <v>16.28940591052762</v>
      </c>
      <c r="AJ227" s="86" t="str">
        <f t="shared" si="131"/>
        <v>7759.32289150039-4169.66871351213j</v>
      </c>
      <c r="AK227" s="86" t="str">
        <f t="shared" si="132"/>
        <v>20000-0.000457340707931212j</v>
      </c>
      <c r="AL227" s="86" t="str">
        <f t="shared" si="146"/>
        <v>10000-19436.0325567735j</v>
      </c>
      <c r="AM227" s="86" t="str">
        <f t="shared" si="147"/>
        <v>855.434238290786-6335.40873323631j</v>
      </c>
      <c r="AN227" s="86" t="str">
        <f t="shared" si="148"/>
        <v>10855.4342382908-6335.40873323631j</v>
      </c>
      <c r="AO227" s="86" t="str">
        <f t="shared" si="149"/>
        <v>7560.74065106655-2554.09770649811j</v>
      </c>
      <c r="AP227" s="86" t="str">
        <f t="shared" si="150"/>
        <v>0.704581612893005+0.10583369716084j</v>
      </c>
      <c r="AQ227" s="86" t="str">
        <f t="shared" si="133"/>
        <v>1+66.5430730039913j</v>
      </c>
      <c r="AR227" s="86">
        <f t="shared" si="134"/>
        <v>-9.1288568346691262E-4</v>
      </c>
      <c r="AS227" s="86" t="str">
        <f t="shared" si="135"/>
        <v>0.00556563061220428j</v>
      </c>
      <c r="AT227" s="86" t="str">
        <f t="shared" si="136"/>
        <v>-0.000912885683466913+0.00556563061220428j</v>
      </c>
      <c r="AU227" s="86" t="str">
        <f t="shared" si="137"/>
        <v>1.74212137636626-0.312697299660919j</v>
      </c>
      <c r="AW227" s="86" t="str">
        <f t="shared" si="151"/>
        <v>0.758582148254501-0.655259877615089j</v>
      </c>
      <c r="AX227" s="86">
        <f t="shared" si="138"/>
        <v>2.0849784788502034E-2</v>
      </c>
      <c r="AY227" s="86">
        <f t="shared" si="139"/>
        <v>139.17969264328579</v>
      </c>
      <c r="AZ227" s="86" t="str">
        <f t="shared" si="140"/>
        <v>-0.0537551700023014+0.0326622711474023j</v>
      </c>
      <c r="BA227" s="86">
        <f t="shared" si="141"/>
        <v>-24.026951681154948</v>
      </c>
      <c r="BB227" s="86">
        <f t="shared" si="142"/>
        <v>-31.283355885572263</v>
      </c>
      <c r="BD227" s="86" t="str">
        <f t="shared" si="143"/>
        <v>-0.0727947656034264+0.0332219120392526j</v>
      </c>
      <c r="BE227" s="86">
        <f t="shared" si="144"/>
        <v>-21.936318721333624</v>
      </c>
      <c r="BF227" s="86">
        <f t="shared" si="145"/>
        <v>-24.530901446186505</v>
      </c>
      <c r="BH227" s="86">
        <f t="shared" si="152"/>
        <v>22.936318721333624</v>
      </c>
      <c r="BI227" s="159">
        <f t="shared" si="153"/>
        <v>24.530901446186505</v>
      </c>
      <c r="BJ227" s="88"/>
      <c r="BK227" s="88"/>
      <c r="BL227" s="88"/>
      <c r="BM227" s="88"/>
      <c r="BN227" s="42"/>
      <c r="BO227" s="42"/>
      <c r="BP227" s="42"/>
    </row>
    <row r="228" spans="1:68" s="86" customFormat="1">
      <c r="A228" s="86">
        <v>164</v>
      </c>
      <c r="B228" s="86">
        <f t="shared" si="103"/>
        <v>190546.07179632501</v>
      </c>
      <c r="C228" s="86" t="str">
        <f t="shared" si="104"/>
        <v>1197236.27865146j</v>
      </c>
      <c r="D228" s="86">
        <f t="shared" si="105"/>
        <v>0.41907511236783057</v>
      </c>
      <c r="E228" s="86" t="str">
        <f t="shared" si="106"/>
        <v>-1.19723627865146j</v>
      </c>
      <c r="F228" s="86" t="str">
        <f t="shared" si="107"/>
        <v>0.419075112367831-1.19723627865146j</v>
      </c>
      <c r="G228" s="86">
        <f t="shared" si="108"/>
        <v>2.0655568152784847</v>
      </c>
      <c r="H228" s="86">
        <f t="shared" si="109"/>
        <v>-70.708145485117413</v>
      </c>
      <c r="J228" s="86">
        <f t="shared" si="110"/>
        <v>17.283950617283953</v>
      </c>
      <c r="K228" s="86" t="str">
        <f t="shared" si="111"/>
        <v>1+14.4566280647164j</v>
      </c>
      <c r="L228" s="86">
        <f t="shared" si="112"/>
        <v>-41.735801447035399</v>
      </c>
      <c r="M228" s="86" t="str">
        <f t="shared" si="113"/>
        <v>3.22440857021995j</v>
      </c>
      <c r="N228" s="86" t="str">
        <f t="shared" si="114"/>
        <v>-41.7358014470354+3.22440857021995j</v>
      </c>
      <c r="O228" s="86" t="str">
        <f t="shared" si="115"/>
        <v>0.00278396767154778-0.346169257917133j</v>
      </c>
      <c r="P228" s="86" t="str">
        <f t="shared" si="116"/>
        <v>0.0481179597551468-5.98317235906156j</v>
      </c>
      <c r="R228" s="86">
        <f t="shared" si="117"/>
        <v>6.9135802469135808</v>
      </c>
      <c r="S228" s="86" t="str">
        <f t="shared" si="118"/>
        <v>1+0.0897927208988595j</v>
      </c>
      <c r="T228" s="86" t="str">
        <f t="shared" si="119"/>
        <v>-41.7358014470354+3.22440857021995j</v>
      </c>
      <c r="U228" s="86" t="str">
        <f t="shared" si="120"/>
        <v>-0.0236528503029137-0.0039788183853721j</v>
      </c>
      <c r="V228" s="86" t="str">
        <f t="shared" si="121"/>
        <v>-0.163525878637428-0.0275078801951651j</v>
      </c>
      <c r="X228" s="86" t="str">
        <f t="shared" si="122"/>
        <v>-0.219038186106968-0.0786540933099988j</v>
      </c>
      <c r="Y228" s="86">
        <f t="shared" si="123"/>
        <v>-12.662877201381777</v>
      </c>
      <c r="Z228" s="86">
        <f t="shared" si="124"/>
        <v>19.752629570687134</v>
      </c>
      <c r="AB228" s="86" t="str">
        <f t="shared" si="125"/>
        <v>-0.0563416064765119-0.00947763237154255j</v>
      </c>
      <c r="AC228" s="86">
        <f t="shared" si="126"/>
        <v>-24.862229553987252</v>
      </c>
      <c r="AD228" s="86">
        <f t="shared" si="127"/>
        <v>9.5487434060569854</v>
      </c>
      <c r="AF228" s="86" t="str">
        <f t="shared" si="128"/>
        <v>-0.0702094524927428-0.0192069483197615j</v>
      </c>
      <c r="AG228" s="86">
        <f t="shared" si="129"/>
        <v>-22.758655791278532</v>
      </c>
      <c r="AH228" s="86">
        <f t="shared" si="130"/>
        <v>15.299859984082872</v>
      </c>
      <c r="AJ228" s="86" t="str">
        <f t="shared" si="131"/>
        <v>7595.13395492153-4273.78985866331j</v>
      </c>
      <c r="AK228" s="86" t="str">
        <f t="shared" si="132"/>
        <v>20000-0.000478894511460584j</v>
      </c>
      <c r="AL228" s="86" t="str">
        <f t="shared" si="146"/>
        <v>10000-18561.2669933898j</v>
      </c>
      <c r="AM228" s="86" t="str">
        <f t="shared" si="147"/>
        <v>846.303587729868-6074.84245387435j</v>
      </c>
      <c r="AN228" s="86" t="str">
        <f t="shared" si="148"/>
        <v>10846.3035877299-6074.84245387435j</v>
      </c>
      <c r="AO228" s="86" t="str">
        <f t="shared" si="149"/>
        <v>7516.64862423891-2458.45970759437j</v>
      </c>
      <c r="AP228" s="86" t="str">
        <f t="shared" si="150"/>
        <v>0.70778831376912+0.10961854298188j</v>
      </c>
      <c r="AQ228" s="86" t="str">
        <f t="shared" si="133"/>
        <v>1+69.679151417515j</v>
      </c>
      <c r="AR228" s="86">
        <f t="shared" si="134"/>
        <v>-1.0009688953123692E-3</v>
      </c>
      <c r="AS228" s="86" t="str">
        <f t="shared" si="135"/>
        <v>0.00582793070194515j</v>
      </c>
      <c r="AT228" s="86" t="str">
        <f t="shared" si="136"/>
        <v>-0.00100096889531237+0.00582793070194515j</v>
      </c>
      <c r="AU228" s="86" t="str">
        <f t="shared" si="137"/>
        <v>1.73772813795339-0.324199430506236j</v>
      </c>
      <c r="AW228" s="86" t="str">
        <f t="shared" si="151"/>
        <v>0.731244156996595-0.665817242824629j</v>
      </c>
      <c r="AX228" s="86">
        <f t="shared" si="138"/>
        <v>-9.6475490841106751E-2</v>
      </c>
      <c r="AY228" s="86">
        <f t="shared" si="139"/>
        <v>137.68130598082277</v>
      </c>
      <c r="AZ228" s="86" t="str">
        <f t="shared" si="140"/>
        <v>-0.0475098415858767+0.0305827497866491j</v>
      </c>
      <c r="BA228" s="86">
        <f t="shared" si="141"/>
        <v>-24.95870504482837</v>
      </c>
      <c r="BB228" s="86">
        <f t="shared" si="142"/>
        <v>-32.769950613120244</v>
      </c>
      <c r="BD228" s="86" t="str">
        <f t="shared" si="143"/>
        <v>-0.0641285692745868+0.0327016953463836j</v>
      </c>
      <c r="BE228" s="86">
        <f t="shared" si="144"/>
        <v>-22.855131282119654</v>
      </c>
      <c r="BF228" s="86">
        <f t="shared" si="145"/>
        <v>-27.018834035094415</v>
      </c>
      <c r="BH228" s="86">
        <f t="shared" si="152"/>
        <v>23.855131282119654</v>
      </c>
      <c r="BI228" s="159">
        <f t="shared" si="153"/>
        <v>27.018834035094415</v>
      </c>
      <c r="BJ228" s="88"/>
      <c r="BK228" s="88"/>
      <c r="BL228" s="88"/>
      <c r="BM228" s="88"/>
      <c r="BN228" s="42"/>
      <c r="BO228" s="42"/>
      <c r="BP228" s="42"/>
    </row>
    <row r="229" spans="1:68" s="86" customFormat="1">
      <c r="A229" s="86">
        <v>165</v>
      </c>
      <c r="B229" s="86">
        <f t="shared" si="103"/>
        <v>199526.23149688821</v>
      </c>
      <c r="C229" s="86" t="str">
        <f t="shared" si="104"/>
        <v>1253660.28613816j</v>
      </c>
      <c r="D229" s="86">
        <f t="shared" si="105"/>
        <v>0.36302852711440492</v>
      </c>
      <c r="E229" s="86" t="str">
        <f t="shared" si="106"/>
        <v>-1.25366028613816j</v>
      </c>
      <c r="F229" s="86" t="str">
        <f t="shared" si="107"/>
        <v>0.363028527114405-1.25366028613816j</v>
      </c>
      <c r="G229" s="86">
        <f t="shared" si="108"/>
        <v>2.3133036565865712</v>
      </c>
      <c r="H229" s="86">
        <f t="shared" si="109"/>
        <v>-73.85031155141219</v>
      </c>
      <c r="J229" s="86">
        <f t="shared" si="110"/>
        <v>17.283950617283953</v>
      </c>
      <c r="K229" s="86" t="str">
        <f t="shared" si="111"/>
        <v>1+15.1379479551183j</v>
      </c>
      <c r="L229" s="86">
        <f t="shared" si="112"/>
        <v>-45.858874481378066</v>
      </c>
      <c r="M229" s="86" t="str">
        <f t="shared" si="113"/>
        <v>3.37637026445728j</v>
      </c>
      <c r="N229" s="86" t="str">
        <f t="shared" si="114"/>
        <v>-45.8588744813781+3.37637026445728j</v>
      </c>
      <c r="O229" s="86" t="str">
        <f t="shared" si="115"/>
        <v>0.00248408665522533-0.329915658199263j</v>
      </c>
      <c r="P229" s="86" t="str">
        <f t="shared" si="116"/>
        <v>0.0429348310779687-5.70224594418479j</v>
      </c>
      <c r="R229" s="86">
        <f t="shared" si="117"/>
        <v>6.9135802469135808</v>
      </c>
      <c r="S229" s="86" t="str">
        <f t="shared" si="118"/>
        <v>1+0.094024521460362j</v>
      </c>
      <c r="T229" s="86" t="str">
        <f t="shared" si="119"/>
        <v>-45.8588744813781+3.37637026445728j</v>
      </c>
      <c r="U229" s="86" t="str">
        <f t="shared" si="120"/>
        <v>-0.0215383239828886-0.00363606564679525j</v>
      </c>
      <c r="V229" s="86" t="str">
        <f t="shared" si="121"/>
        <v>-0.148906931239724-0.0251382316321647j</v>
      </c>
      <c r="X229" s="86" t="str">
        <f t="shared" si="122"/>
        <v>-0.218731136819204-0.0651279712888863j</v>
      </c>
      <c r="Y229" s="86">
        <f t="shared" si="123"/>
        <v>-12.832876411959798</v>
      </c>
      <c r="Z229" s="86">
        <f t="shared" si="124"/>
        <v>16.581086559570593</v>
      </c>
      <c r="AB229" s="86" t="str">
        <f t="shared" si="125"/>
        <v>-0.0513047585583393-0.00866118785562455j</v>
      </c>
      <c r="AC229" s="86">
        <f t="shared" si="126"/>
        <v>-25.674805528664081</v>
      </c>
      <c r="AD229" s="86">
        <f t="shared" si="127"/>
        <v>9.5822340526852372</v>
      </c>
      <c r="AF229" s="86" t="str">
        <f t="shared" si="128"/>
        <v>-0.0642975365110602-0.0164460105515425j</v>
      </c>
      <c r="AG229" s="86">
        <f t="shared" si="129"/>
        <v>-23.56089141362704</v>
      </c>
      <c r="AH229" s="86">
        <f t="shared" si="130"/>
        <v>14.347494969920035</v>
      </c>
      <c r="AJ229" s="86" t="str">
        <f t="shared" si="131"/>
        <v>7422.90972785618-4373.72935269889j</v>
      </c>
      <c r="AK229" s="86" t="str">
        <f t="shared" si="132"/>
        <v>20000-0.000501464114455264j</v>
      </c>
      <c r="AL229" s="86" t="str">
        <f t="shared" si="146"/>
        <v>10000-17725.8723658518j</v>
      </c>
      <c r="AM229" s="86" t="str">
        <f t="shared" si="147"/>
        <v>836.513467376074-5826.59257615475j</v>
      </c>
      <c r="AN229" s="86" t="str">
        <f t="shared" si="148"/>
        <v>10836.5134673761-5826.59257615475j</v>
      </c>
      <c r="AO229" s="86" t="str">
        <f t="shared" si="149"/>
        <v>7475.5202484641-2366.51405169791j</v>
      </c>
      <c r="AP229" s="86" t="str">
        <f t="shared" si="150"/>
        <v>0.711225317801056+0.113434603946461j</v>
      </c>
      <c r="AQ229" s="86" t="str">
        <f t="shared" si="133"/>
        <v>1+72.9630286532409j</v>
      </c>
      <c r="AR229" s="86">
        <f t="shared" si="134"/>
        <v>-1.0975502165471429E-3</v>
      </c>
      <c r="AS229" s="86" t="str">
        <f t="shared" si="135"/>
        <v>0.00610259261406906j</v>
      </c>
      <c r="AT229" s="86" t="str">
        <f t="shared" si="136"/>
        <v>-0.00109755021654714+0.00610259261406906j</v>
      </c>
      <c r="AU229" s="86" t="str">
        <f t="shared" si="137"/>
        <v>1.73293645218162-0.336248035568305j</v>
      </c>
      <c r="AW229" s="86" t="str">
        <f t="shared" si="151"/>
        <v>0.702950339012579-0.675480825700021j</v>
      </c>
      <c r="AX229" s="86">
        <f t="shared" si="138"/>
        <v>-0.22087392024285971</v>
      </c>
      <c r="AY229" s="86">
        <f t="shared" si="139"/>
        <v>136.14164488043568</v>
      </c>
      <c r="AZ229" s="86" t="str">
        <f t="shared" si="140"/>
        <v>-0.0419151637458034+0.0285669957339643j</v>
      </c>
      <c r="BA229" s="86">
        <f t="shared" si="141"/>
        <v>-25.89567944890694</v>
      </c>
      <c r="BB229" s="86">
        <f t="shared" si="142"/>
        <v>-34.276121066879028</v>
      </c>
      <c r="BD229" s="86" t="str">
        <f t="shared" si="143"/>
        <v>-0.0563069398749506+0.0318710243603569j</v>
      </c>
      <c r="BE229" s="86">
        <f t="shared" si="144"/>
        <v>-23.781765333869906</v>
      </c>
      <c r="BF229" s="86">
        <f t="shared" si="145"/>
        <v>-29.510860149644259</v>
      </c>
      <c r="BH229" s="86">
        <f t="shared" si="152"/>
        <v>24.781765333869906</v>
      </c>
      <c r="BI229" s="159">
        <f t="shared" si="153"/>
        <v>29.510860149644259</v>
      </c>
      <c r="BJ229" s="88"/>
      <c r="BK229" s="88"/>
      <c r="BL229" s="88"/>
      <c r="BM229" s="88"/>
      <c r="BN229" s="42"/>
      <c r="BO229" s="42"/>
      <c r="BP229" s="42"/>
    </row>
    <row r="230" spans="1:68" s="86" customFormat="1">
      <c r="A230" s="86">
        <v>166</v>
      </c>
      <c r="B230" s="86">
        <f t="shared" si="103"/>
        <v>208929.61308540421</v>
      </c>
      <c r="C230" s="86" t="str">
        <f t="shared" si="104"/>
        <v>1312743.47517293j</v>
      </c>
      <c r="D230" s="86">
        <f t="shared" si="105"/>
        <v>0.30157466841573044</v>
      </c>
      <c r="E230" s="86" t="str">
        <f t="shared" si="106"/>
        <v>-1.31274347517293j</v>
      </c>
      <c r="F230" s="86" t="str">
        <f t="shared" si="107"/>
        <v>0.30157466841573-1.31274347517293j</v>
      </c>
      <c r="G230" s="86">
        <f t="shared" si="108"/>
        <v>2.5869538720862959</v>
      </c>
      <c r="H230" s="86">
        <f t="shared" si="109"/>
        <v>-77.062007334751058</v>
      </c>
      <c r="J230" s="86">
        <f t="shared" si="110"/>
        <v>17.283950617283953</v>
      </c>
      <c r="K230" s="86" t="str">
        <f t="shared" si="111"/>
        <v>1+15.8513774627131j</v>
      </c>
      <c r="L230" s="86">
        <f t="shared" si="112"/>
        <v>-50.379734164641675</v>
      </c>
      <c r="M230" s="86" t="str">
        <f t="shared" si="113"/>
        <v>3.53549369270339j</v>
      </c>
      <c r="N230" s="86" t="str">
        <f t="shared" si="114"/>
        <v>-50.3797341646417+3.53549369270339j</v>
      </c>
      <c r="O230" s="86" t="str">
        <f t="shared" si="115"/>
        <v>0.0022201334588696-0.314482171404387j</v>
      </c>
      <c r="P230" s="86" t="str">
        <f t="shared" si="116"/>
        <v>0.038372677066882-5.43549432056965j</v>
      </c>
      <c r="R230" s="86">
        <f t="shared" si="117"/>
        <v>6.9135802469135808</v>
      </c>
      <c r="S230" s="86" t="str">
        <f t="shared" si="118"/>
        <v>1+0.0984557606379697j</v>
      </c>
      <c r="T230" s="86" t="str">
        <f t="shared" si="119"/>
        <v>-50.3797341646417+3.53549369270339j</v>
      </c>
      <c r="U230" s="86" t="str">
        <f t="shared" si="120"/>
        <v>-0.0196155040007243-0.00333082843913656j</v>
      </c>
      <c r="V230" s="86" t="str">
        <f t="shared" si="121"/>
        <v>-0.135613360992662-0.0230279497026725j</v>
      </c>
      <c r="X230" s="86" t="str">
        <f t="shared" si="122"/>
        <v>-0.218447331653499-0.051809777500441j</v>
      </c>
      <c r="Y230" s="86">
        <f t="shared" si="123"/>
        <v>-12.975393935701</v>
      </c>
      <c r="Z230" s="86">
        <f t="shared" si="124"/>
        <v>13.342473985811978</v>
      </c>
      <c r="AB230" s="86" t="str">
        <f t="shared" si="125"/>
        <v>-0.0467245593276812-0.0079341061544489j</v>
      </c>
      <c r="AC230" s="86">
        <f t="shared" si="126"/>
        <v>-26.485642443908258</v>
      </c>
      <c r="AD230" s="86">
        <f t="shared" si="127"/>
        <v>9.6372365956771944</v>
      </c>
      <c r="AF230" s="86" t="str">
        <f t="shared" si="128"/>
        <v>-0.0588526818018353-0.0140531162501729j</v>
      </c>
      <c r="AG230" s="86">
        <f t="shared" si="129"/>
        <v>-24.363850596175457</v>
      </c>
      <c r="AH230" s="86">
        <f t="shared" si="130"/>
        <v>13.429872501076574</v>
      </c>
      <c r="AJ230" s="86" t="str">
        <f t="shared" si="131"/>
        <v>7242.82908054564-4468.74901012115j</v>
      </c>
      <c r="AK230" s="86" t="str">
        <f t="shared" si="132"/>
        <v>20000-0.000525097390069172j</v>
      </c>
      <c r="AL230" s="86" t="str">
        <f t="shared" si="146"/>
        <v>10000-16928.0766901507j</v>
      </c>
      <c r="AM230" s="86" t="str">
        <f t="shared" si="147"/>
        <v>826.035892639074-5590.07066435315j</v>
      </c>
      <c r="AN230" s="86" t="str">
        <f t="shared" si="148"/>
        <v>10826.0358926391-5590.07066435315j</v>
      </c>
      <c r="AO230" s="86" t="str">
        <f t="shared" si="149"/>
        <v>7437.08855713104-2278.18992814269j</v>
      </c>
      <c r="AP230" s="86" t="str">
        <f t="shared" si="150"/>
        <v>0.714902171668071+0.117268225441109j</v>
      </c>
      <c r="AQ230" s="86" t="str">
        <f t="shared" si="133"/>
        <v>1+76.4016702550645j</v>
      </c>
      <c r="AR230" s="86">
        <f t="shared" si="134"/>
        <v>-1.2034495294357954E-3</v>
      </c>
      <c r="AS230" s="86" t="str">
        <f t="shared" si="135"/>
        <v>0.00639019894331629j</v>
      </c>
      <c r="AT230" s="86" t="str">
        <f t="shared" si="136"/>
        <v>-0.0012034495294358+0.00639019894331629j</v>
      </c>
      <c r="AU230" s="86" t="str">
        <f t="shared" si="137"/>
        <v>1.72771276115722-0.348849093618046j</v>
      </c>
      <c r="AW230" s="86" t="str">
        <f t="shared" si="151"/>
        <v>0.673756923049081-0.684161794807407j</v>
      </c>
      <c r="AX230" s="86">
        <f t="shared" si="138"/>
        <v>-0.35256948625271167</v>
      </c>
      <c r="AY230" s="86">
        <f t="shared" si="139"/>
        <v>134.56098729359198</v>
      </c>
      <c r="AZ230" s="86" t="str">
        <f t="shared" si="140"/>
        <v>-0.036909207630263+0.0266214994214453j</v>
      </c>
      <c r="BA230" s="86">
        <f t="shared" si="141"/>
        <v>-26.838211930160959</v>
      </c>
      <c r="BB230" s="86">
        <f t="shared" si="142"/>
        <v>-35.801776110730827</v>
      </c>
      <c r="BD230" s="86" t="str">
        <f t="shared" si="143"/>
        <v>-0.0492670070403467+0.0307963720468053j</v>
      </c>
      <c r="BE230" s="86">
        <f t="shared" si="144"/>
        <v>-24.716420082428158</v>
      </c>
      <c r="BF230" s="86">
        <f t="shared" si="145"/>
        <v>-32.009140205331363</v>
      </c>
      <c r="BH230" s="86">
        <f t="shared" si="152"/>
        <v>25.716420082428158</v>
      </c>
      <c r="BI230" s="159">
        <f t="shared" si="153"/>
        <v>32.009140205331363</v>
      </c>
      <c r="BJ230" s="88"/>
      <c r="BK230" s="88"/>
      <c r="BL230" s="88"/>
      <c r="BM230" s="88"/>
      <c r="BN230" s="42"/>
      <c r="BO230" s="42"/>
      <c r="BP230" s="42"/>
    </row>
    <row r="231" spans="1:68" s="86" customFormat="1">
      <c r="A231" s="86">
        <v>167</v>
      </c>
      <c r="B231" s="86">
        <f t="shared" si="103"/>
        <v>218776.16239495529</v>
      </c>
      <c r="C231" s="86" t="str">
        <f t="shared" si="104"/>
        <v>1374611.16912112j</v>
      </c>
      <c r="D231" s="86">
        <f t="shared" si="105"/>
        <v>0.23419185228377737</v>
      </c>
      <c r="E231" s="86" t="str">
        <f t="shared" si="106"/>
        <v>-1.37461116912112j</v>
      </c>
      <c r="F231" s="86" t="str">
        <f t="shared" si="107"/>
        <v>0.234191852283777-1.37461116912112j</v>
      </c>
      <c r="G231" s="86">
        <f t="shared" si="108"/>
        <v>2.887859898634435</v>
      </c>
      <c r="H231" s="86">
        <f t="shared" si="109"/>
        <v>-80.331378395014298</v>
      </c>
      <c r="J231" s="86">
        <f t="shared" si="110"/>
        <v>17.283950617283953</v>
      </c>
      <c r="K231" s="86" t="str">
        <f t="shared" si="111"/>
        <v>1+16.5984298671375j</v>
      </c>
      <c r="L231" s="86">
        <f t="shared" si="112"/>
        <v>-55.336758235162456</v>
      </c>
      <c r="M231" s="86" t="str">
        <f t="shared" si="113"/>
        <v>3.70211637708361j</v>
      </c>
      <c r="N231" s="86" t="str">
        <f t="shared" si="114"/>
        <v>-55.3367582351625+3.70211637708361j</v>
      </c>
      <c r="O231" s="86" t="str">
        <f t="shared" si="115"/>
        <v>0.00198726726382072-0.2998201069522j</v>
      </c>
      <c r="P231" s="86" t="str">
        <f t="shared" si="116"/>
        <v>0.0343478292512223-5.18207592263062j</v>
      </c>
      <c r="R231" s="86">
        <f t="shared" si="117"/>
        <v>6.9135802469135808</v>
      </c>
      <c r="S231" s="86" t="str">
        <f t="shared" si="118"/>
        <v>1+0.103095837684084j</v>
      </c>
      <c r="T231" s="86" t="str">
        <f t="shared" si="119"/>
        <v>-55.3367582351625+3.70211637708361j</v>
      </c>
      <c r="U231" s="86" t="str">
        <f t="shared" si="120"/>
        <v>-0.0178665612801115-0.00305836359408949j</v>
      </c>
      <c r="V231" s="86" t="str">
        <f t="shared" si="121"/>
        <v>-0.12352190514645-0.0211442421319767j</v>
      </c>
      <c r="X231" s="86" t="str">
        <f t="shared" si="122"/>
        <v>-0.218185396914533-0.0386619774380045j</v>
      </c>
      <c r="Y231" s="86">
        <f t="shared" si="123"/>
        <v>-13.089219050623226</v>
      </c>
      <c r="Z231" s="86">
        <f t="shared" si="124"/>
        <v>10.048383858920687</v>
      </c>
      <c r="AB231" s="86" t="str">
        <f t="shared" si="125"/>
        <v>-0.0425585395350227-0.00728508893742306j</v>
      </c>
      <c r="AC231" s="86">
        <f t="shared" si="126"/>
        <v>-27.294837792046348</v>
      </c>
      <c r="AD231" s="86">
        <f t="shared" si="127"/>
        <v>9.7136354099421283</v>
      </c>
      <c r="AF231" s="86" t="str">
        <f t="shared" si="128"/>
        <v>-0.0538431204156903-0.0119808077351841j</v>
      </c>
      <c r="AG231" s="86">
        <f t="shared" si="129"/>
        <v>-25.167520887569658</v>
      </c>
      <c r="AH231" s="86">
        <f t="shared" si="130"/>
        <v>12.544696724505513</v>
      </c>
      <c r="AJ231" s="86" t="str">
        <f t="shared" si="131"/>
        <v>7055.15705131332-4558.10591084028j</v>
      </c>
      <c r="AK231" s="86" t="str">
        <f t="shared" si="132"/>
        <v>20000-0.000549844467648448j</v>
      </c>
      <c r="AL231" s="86" t="str">
        <f t="shared" si="146"/>
        <v>10000-16166.1877346962j</v>
      </c>
      <c r="AM231" s="86" t="str">
        <f t="shared" si="147"/>
        <v>814.845048148208-5364.70846727081j</v>
      </c>
      <c r="AN231" s="86" t="str">
        <f t="shared" si="148"/>
        <v>10814.8450481482-5364.70846727081j</v>
      </c>
      <c r="AO231" s="86" t="str">
        <f t="shared" si="149"/>
        <v>7401.10398591448-2193.40405237954j</v>
      </c>
      <c r="AP231" s="86" t="str">
        <f t="shared" si="150"/>
        <v>0.718827625756572+0.121104168385384j</v>
      </c>
      <c r="AQ231" s="86" t="str">
        <f t="shared" si="133"/>
        <v>1+80.0023700428492j</v>
      </c>
      <c r="AR231" s="86">
        <f t="shared" si="134"/>
        <v>-1.3195658170047349E-3</v>
      </c>
      <c r="AS231" s="86" t="str">
        <f t="shared" si="135"/>
        <v>0.00669135974127117j</v>
      </c>
      <c r="AT231" s="86" t="str">
        <f t="shared" si="136"/>
        <v>-0.00131956581700473+0.00669135974127117j</v>
      </c>
      <c r="AU231" s="86" t="str">
        <f t="shared" si="137"/>
        <v>1.72202118082947-0.362007182402737j</v>
      </c>
      <c r="AW231" s="86" t="str">
        <f t="shared" si="151"/>
        <v>0.643728845700643-0.691774970618349j</v>
      </c>
      <c r="AX231" s="86">
        <f t="shared" si="138"/>
        <v>-0.49177995951779319</v>
      </c>
      <c r="AY231" s="86">
        <f t="shared" si="139"/>
        <v>132.93961393165557</v>
      </c>
      <c r="AZ231" s="86" t="str">
        <f t="shared" si="140"/>
        <v>-0.0324358017152233+0.0247513105438863j</v>
      </c>
      <c r="BA231" s="86">
        <f t="shared" si="141"/>
        <v>-27.78661775156413</v>
      </c>
      <c r="BB231" s="86">
        <f t="shared" si="142"/>
        <v>-37.346750658402243</v>
      </c>
      <c r="BD231" s="86" t="str">
        <f t="shared" si="143"/>
        <v>-0.0429483926731042+0.029534931509633j</v>
      </c>
      <c r="BE231" s="86">
        <f t="shared" si="144"/>
        <v>-25.659300847087433</v>
      </c>
      <c r="BF231" s="86">
        <f t="shared" si="145"/>
        <v>-34.515689343838858</v>
      </c>
      <c r="BH231" s="86">
        <f t="shared" si="152"/>
        <v>26.659300847087433</v>
      </c>
      <c r="BI231" s="159">
        <f t="shared" si="153"/>
        <v>34.515689343838858</v>
      </c>
      <c r="BJ231" s="88"/>
      <c r="BK231" s="88"/>
      <c r="BL231" s="88"/>
      <c r="BM231" s="88"/>
      <c r="BN231" s="42"/>
      <c r="BO231" s="42"/>
      <c r="BP231" s="42"/>
    </row>
    <row r="232" spans="1:68" s="86" customFormat="1">
      <c r="A232" s="86">
        <v>168</v>
      </c>
      <c r="B232" s="86">
        <f t="shared" si="103"/>
        <v>229086.7652767775</v>
      </c>
      <c r="C232" s="86" t="str">
        <f t="shared" si="104"/>
        <v>1439394.59765635j</v>
      </c>
      <c r="D232" s="86">
        <f t="shared" si="105"/>
        <v>0.1603080636003571</v>
      </c>
      <c r="E232" s="86" t="str">
        <f t="shared" si="106"/>
        <v>-1.43939459765635j</v>
      </c>
      <c r="F232" s="86" t="str">
        <f t="shared" si="107"/>
        <v>0.160308063600357-1.43939459765635j</v>
      </c>
      <c r="G232" s="86">
        <f t="shared" si="108"/>
        <v>3.2171345729558305</v>
      </c>
      <c r="H232" s="86">
        <f t="shared" si="109"/>
        <v>-83.645050666113988</v>
      </c>
      <c r="J232" s="86">
        <f t="shared" si="110"/>
        <v>17.283950617283953</v>
      </c>
      <c r="K232" s="86" t="str">
        <f t="shared" si="111"/>
        <v>1+17.3806897667004j</v>
      </c>
      <c r="L232" s="86">
        <f t="shared" si="112"/>
        <v>-60.772027046246045</v>
      </c>
      <c r="M232" s="86" t="str">
        <f t="shared" si="113"/>
        <v>3.87659174665102j</v>
      </c>
      <c r="N232" s="86" t="str">
        <f t="shared" si="114"/>
        <v>-60.772027046246+3.87659174665102j</v>
      </c>
      <c r="O232" s="86" t="str">
        <f t="shared" si="115"/>
        <v>0.00178137416643346-0.285884558253884j</v>
      </c>
      <c r="P232" s="86" t="str">
        <f t="shared" si="116"/>
        <v>0.0307891831235413-4.94121458710417j</v>
      </c>
      <c r="R232" s="86">
        <f t="shared" si="117"/>
        <v>6.9135802469135808</v>
      </c>
      <c r="S232" s="86" t="str">
        <f t="shared" si="118"/>
        <v>1+0.107954594824226j</v>
      </c>
      <c r="T232" s="86" t="str">
        <f t="shared" si="119"/>
        <v>-60.772027046246+3.87659174665102j</v>
      </c>
      <c r="U232" s="86" t="str">
        <f t="shared" si="120"/>
        <v>-0.016275399622566-0.00281457905862428j</v>
      </c>
      <c r="V232" s="86" t="str">
        <f t="shared" si="121"/>
        <v>-0.112521281341197-0.0194588181830814j</v>
      </c>
      <c r="X232" s="86" t="str">
        <f t="shared" si="122"/>
        <v>-0.217943957659481-0.0256486545710666j</v>
      </c>
      <c r="Y232" s="86">
        <f t="shared" si="123"/>
        <v>-13.17336768655613</v>
      </c>
      <c r="Z232" s="86">
        <f t="shared" si="124"/>
        <v>6.711960223796666</v>
      </c>
      <c r="AB232" s="86" t="str">
        <f t="shared" si="125"/>
        <v>-0.038768357683709-0.00670438884477722j</v>
      </c>
      <c r="AC232" s="86">
        <f t="shared" si="126"/>
        <v>-28.102474518241635</v>
      </c>
      <c r="AD232" s="86">
        <f t="shared" si="127"/>
        <v>9.8113808338439412</v>
      </c>
      <c r="AF232" s="86" t="str">
        <f t="shared" si="128"/>
        <v>-0.0492382349400953-0.0101876117478748j</v>
      </c>
      <c r="AG232" s="86">
        <f t="shared" si="129"/>
        <v>-25.971900824182281</v>
      </c>
      <c r="AH232" s="86">
        <f t="shared" si="130"/>
        <v>11.689805176904116</v>
      </c>
      <c r="AJ232" s="86" t="str">
        <f t="shared" si="131"/>
        <v>6860.24838338372-4641.06409696292j</v>
      </c>
      <c r="AK232" s="86" t="str">
        <f t="shared" si="132"/>
        <v>20000-0.000575757839062539j</v>
      </c>
      <c r="AL232" s="86" t="str">
        <f t="shared" si="146"/>
        <v>10000-15438.5894308655j</v>
      </c>
      <c r="AM232" s="86" t="str">
        <f t="shared" si="147"/>
        <v>802.917941442137-5149.95677942235j</v>
      </c>
      <c r="AN232" s="86" t="str">
        <f t="shared" si="148"/>
        <v>10802.9179414421-5149.95677942235j</v>
      </c>
      <c r="AO232" s="86" t="str">
        <f t="shared" si="149"/>
        <v>7367.33408491233-2112.0624212721j</v>
      </c>
      <c r="AP232" s="86" t="str">
        <f t="shared" si="150"/>
        <v>0.723009404171927+0.124925606796145j</v>
      </c>
      <c r="AQ232" s="86" t="str">
        <f t="shared" si="133"/>
        <v>1+83.7727655835996j</v>
      </c>
      <c r="AR232" s="86">
        <f t="shared" si="134"/>
        <v>-1.4468847945411833E-3</v>
      </c>
      <c r="AS232" s="86" t="str">
        <f t="shared" si="135"/>
        <v>0.00700671381036353j</v>
      </c>
      <c r="AT232" s="86" t="str">
        <f t="shared" si="136"/>
        <v>-0.00144688479454118+0.00700671381036353j</v>
      </c>
      <c r="AU232" s="86" t="str">
        <f t="shared" si="137"/>
        <v>1.71582343817439-0.375725185024405j</v>
      </c>
      <c r="AW232" s="86" t="str">
        <f t="shared" si="151"/>
        <v>0.612939357661609-0.698239722293918j</v>
      </c>
      <c r="AX232" s="86">
        <f t="shared" si="138"/>
        <v>-0.6387178151776074</v>
      </c>
      <c r="AY232" s="86">
        <f t="shared" si="139"/>
        <v>131.27779798912792</v>
      </c>
      <c r="AZ232" s="86" t="str">
        <f t="shared" si="140"/>
        <v>-0.0284439228613758+0.0229602235108328j</v>
      </c>
      <c r="BA232" s="86">
        <f t="shared" si="141"/>
        <v>-28.741192333419249</v>
      </c>
      <c r="BB232" s="86">
        <f t="shared" si="142"/>
        <v>-38.910821177028083</v>
      </c>
      <c r="BD232" s="86" t="str">
        <f t="shared" si="143"/>
        <v>-0.0372934472942478+0.0281357032899666j</v>
      </c>
      <c r="BE232" s="86">
        <f t="shared" si="144"/>
        <v>-26.610618639359881</v>
      </c>
      <c r="BF232" s="86">
        <f t="shared" si="145"/>
        <v>-37.032396833967965</v>
      </c>
      <c r="BH232" s="86">
        <f t="shared" si="152"/>
        <v>27.610618639359881</v>
      </c>
      <c r="BI232" s="159">
        <f t="shared" si="153"/>
        <v>37.032396833967965</v>
      </c>
      <c r="BJ232" s="88"/>
      <c r="BK232" s="88"/>
      <c r="BL232" s="88"/>
      <c r="BM232" s="88"/>
      <c r="BN232" s="42"/>
      <c r="BO232" s="42"/>
      <c r="BP232" s="42"/>
    </row>
    <row r="233" spans="1:68" s="86" customFormat="1">
      <c r="A233" s="86">
        <v>169</v>
      </c>
      <c r="B233" s="86">
        <f t="shared" si="103"/>
        <v>239883.29190194918</v>
      </c>
      <c r="C233" s="86" t="str">
        <f t="shared" si="104"/>
        <v>1507231.1751162j</v>
      </c>
      <c r="D233" s="86">
        <f t="shared" si="105"/>
        <v>7.9296100260546898E-2</v>
      </c>
      <c r="E233" s="86" t="str">
        <f t="shared" si="106"/>
        <v>-1.5072311751162j</v>
      </c>
      <c r="F233" s="86" t="str">
        <f t="shared" si="107"/>
        <v>0.0792961002605469-1.5072311751162j</v>
      </c>
      <c r="G233" s="86">
        <f t="shared" si="108"/>
        <v>3.575601419841882</v>
      </c>
      <c r="H233" s="86">
        <f t="shared" si="109"/>
        <v>-86.988420135968084</v>
      </c>
      <c r="J233" s="86">
        <f t="shared" si="110"/>
        <v>17.283950617283953</v>
      </c>
      <c r="K233" s="86" t="str">
        <f t="shared" si="111"/>
        <v>1+18.1998164395281j</v>
      </c>
      <c r="L233" s="86">
        <f t="shared" si="112"/>
        <v>-66.731680787775502</v>
      </c>
      <c r="M233" s="86" t="str">
        <f t="shared" si="113"/>
        <v>4.05928988705678j</v>
      </c>
      <c r="N233" s="86" t="str">
        <f t="shared" si="114"/>
        <v>-66.7316807877755+4.05928988705678j</v>
      </c>
      <c r="O233" s="86" t="str">
        <f t="shared" si="115"/>
        <v>0.00159894799043553-0.272634011781903j</v>
      </c>
      <c r="P233" s="86" t="str">
        <f t="shared" si="116"/>
        <v>0.0276361381062931-4.71219279623042j</v>
      </c>
      <c r="R233" s="86">
        <f t="shared" si="117"/>
        <v>6.9135802469135808</v>
      </c>
      <c r="S233" s="86" t="str">
        <f t="shared" si="118"/>
        <v>1+0.113042338133715j</v>
      </c>
      <c r="T233" s="86" t="str">
        <f t="shared" si="119"/>
        <v>-66.7316807877755+4.05928988705678j</v>
      </c>
      <c r="U233" s="86" t="str">
        <f t="shared" si="120"/>
        <v>-0.0148274750508857-0.00259593877470708j</v>
      </c>
      <c r="V233" s="86" t="str">
        <f t="shared" si="121"/>
        <v>-0.102510938623407-0.0179472310350119j</v>
      </c>
      <c r="X233" s="86" t="str">
        <f t="shared" si="122"/>
        <v>-0.217721660640021-0.0127352597706786j</v>
      </c>
      <c r="Y233" s="86">
        <f t="shared" si="123"/>
        <v>-13.227133357027913</v>
      </c>
      <c r="Z233" s="86">
        <f t="shared" si="124"/>
        <v>3.3476051477480553</v>
      </c>
      <c r="AB233" s="86" t="str">
        <f t="shared" si="125"/>
        <v>-0.035319369702111-0.00618358290897599j</v>
      </c>
      <c r="AC233" s="86">
        <f t="shared" si="126"/>
        <v>-28.908621890250433</v>
      </c>
      <c r="AD233" s="86">
        <f t="shared" si="127"/>
        <v>9.9304846078811693</v>
      </c>
      <c r="AF233" s="86" t="str">
        <f t="shared" si="128"/>
        <v>-0.0450087514065291-0.00863731067335968j</v>
      </c>
      <c r="AG233" s="86">
        <f t="shared" si="129"/>
        <v>-26.776998846187769</v>
      </c>
      <c r="AH233" s="86">
        <f t="shared" si="130"/>
        <v>10.863160546401076</v>
      </c>
      <c r="AJ233" s="86" t="str">
        <f t="shared" si="131"/>
        <v>6658.54922669871-4716.9072984973j</v>
      </c>
      <c r="AK233" s="86" t="str">
        <f t="shared" si="132"/>
        <v>20000-0.000602892470046479j</v>
      </c>
      <c r="AL233" s="86" t="str">
        <f t="shared" si="146"/>
        <v>10000-14743.7384451055j</v>
      </c>
      <c r="AM233" s="86" t="str">
        <f t="shared" si="147"/>
        <v>790.235104975476-4945.28444410212j</v>
      </c>
      <c r="AN233" s="86" t="str">
        <f t="shared" si="148"/>
        <v>10790.2351049755-4945.28444410212j</v>
      </c>
      <c r="AO233" s="86" t="str">
        <f t="shared" si="149"/>
        <v>7335.56318428894-2034.06191110003j</v>
      </c>
      <c r="AP233" s="86" t="str">
        <f t="shared" si="150"/>
        <v>0.727453958771323+0.128714158221962j</v>
      </c>
      <c r="AQ233" s="86" t="str">
        <f t="shared" si="133"/>
        <v>1+87.7208543917628j</v>
      </c>
      <c r="AR233" s="86">
        <f t="shared" si="134"/>
        <v>-1.5864872773651243E-3</v>
      </c>
      <c r="AS233" s="86" t="str">
        <f t="shared" si="135"/>
        <v>0.00733693005885414j</v>
      </c>
      <c r="AT233" s="86" t="str">
        <f t="shared" si="136"/>
        <v>-0.00158648727736512+0.00733693005885414j</v>
      </c>
      <c r="AU233" s="86" t="str">
        <f t="shared" si="137"/>
        <v>1.70907882845179-0.39000396547323j</v>
      </c>
      <c r="AW233" s="86" t="str">
        <f t="shared" si="151"/>
        <v>0.581469535584477-0.703480779868556j</v>
      </c>
      <c r="AX233" s="86">
        <f t="shared" si="138"/>
        <v>-0.79359154671930976</v>
      </c>
      <c r="AY233" s="86">
        <f t="shared" si="139"/>
        <v>129.57579636187069</v>
      </c>
      <c r="AZ233" s="86" t="str">
        <f t="shared" si="140"/>
        <v>-0.0248871692250112+0.0212509326601765j</v>
      </c>
      <c r="BA233" s="86">
        <f t="shared" si="141"/>
        <v>-29.702213436969753</v>
      </c>
      <c r="BB233" s="86">
        <f t="shared" si="142"/>
        <v>-40.493719030248201</v>
      </c>
      <c r="BD233" s="86" t="str">
        <f t="shared" si="143"/>
        <v>-0.0322473998260537+0.0266404585144377j</v>
      </c>
      <c r="BE233" s="86">
        <f t="shared" si="144"/>
        <v>-27.570590392907093</v>
      </c>
      <c r="BF233" s="86">
        <f t="shared" si="145"/>
        <v>-39.56104309172818</v>
      </c>
      <c r="BH233" s="86">
        <f t="shared" si="152"/>
        <v>28.570590392907093</v>
      </c>
      <c r="BI233" s="159">
        <f t="shared" si="153"/>
        <v>39.56104309172818</v>
      </c>
      <c r="BJ233" s="88"/>
      <c r="BK233" s="88"/>
      <c r="BL233" s="88"/>
      <c r="BM233" s="88"/>
      <c r="BN233" s="42"/>
      <c r="BO233" s="42"/>
      <c r="BP233" s="42"/>
    </row>
    <row r="234" spans="1:68" s="86" customFormat="1">
      <c r="A234" s="86">
        <v>170</v>
      </c>
      <c r="B234" s="86">
        <f t="shared" si="103"/>
        <v>251188.64315095812</v>
      </c>
      <c r="C234" s="86" t="str">
        <f t="shared" si="104"/>
        <v>1578264.79197648j</v>
      </c>
      <c r="D234" s="86">
        <f t="shared" si="105"/>
        <v>-9.5317511683141731E-3</v>
      </c>
      <c r="E234" s="86" t="str">
        <f t="shared" si="106"/>
        <v>-1.57826479197648j</v>
      </c>
      <c r="F234" s="86" t="str">
        <f t="shared" si="107"/>
        <v>-0.00953175116831417-1.57826479197648j</v>
      </c>
      <c r="G234" s="86">
        <f t="shared" si="108"/>
        <v>3.9637557696679733</v>
      </c>
      <c r="H234" s="86">
        <f t="shared" si="109"/>
        <v>-90.346027153594633</v>
      </c>
      <c r="J234" s="86">
        <f t="shared" si="110"/>
        <v>17.283950617283953</v>
      </c>
      <c r="K234" s="86" t="str">
        <f t="shared" si="111"/>
        <v>1+19.057547363116j</v>
      </c>
      <c r="L234" s="86">
        <f t="shared" si="112"/>
        <v>-73.266311171926304</v>
      </c>
      <c r="M234" s="86" t="str">
        <f t="shared" si="113"/>
        <v>4.25059832555147j</v>
      </c>
      <c r="N234" s="86" t="str">
        <f t="shared" si="114"/>
        <v>-73.2663111719263+4.25059832555147j</v>
      </c>
      <c r="O234" s="86" t="str">
        <f t="shared" si="115"/>
        <v>0.00143699203246561-0.260030005366081j</v>
      </c>
      <c r="P234" s="86" t="str">
        <f t="shared" si="116"/>
        <v>0.0248368993265661-4.49434577175943j</v>
      </c>
      <c r="R234" s="86">
        <f t="shared" si="117"/>
        <v>6.9135802469135808</v>
      </c>
      <c r="S234" s="86" t="str">
        <f t="shared" si="118"/>
        <v>1+0.118369859398236j</v>
      </c>
      <c r="T234" s="86" t="str">
        <f t="shared" si="119"/>
        <v>-73.2663111719263+4.25059832555147j</v>
      </c>
      <c r="U234" s="86" t="str">
        <f t="shared" si="120"/>
        <v>-0.0135096359225664-0.00239938236848024j</v>
      </c>
      <c r="V234" s="86" t="str">
        <f t="shared" si="121"/>
        <v>-0.0933999520572492-0.0165883225475177j</v>
      </c>
      <c r="X234" s="86" t="str">
        <f t="shared" si="122"/>
        <v>-0.217517190806767+0.000111611280750242j</v>
      </c>
      <c r="Y234" s="86">
        <f t="shared" si="123"/>
        <v>-13.250127140863096</v>
      </c>
      <c r="Z234" s="86">
        <f t="shared" si="124"/>
        <v>-2.9399307466661639E-2</v>
      </c>
      <c r="AB234" s="86" t="str">
        <f t="shared" si="125"/>
        <v>-0.0321802480902871-0.00571538125259017j</v>
      </c>
      <c r="AC234" s="86">
        <f t="shared" si="126"/>
        <v>-29.713336236428361</v>
      </c>
      <c r="AD234" s="86">
        <f t="shared" si="127"/>
        <v>10.071015859808114</v>
      </c>
      <c r="AF234" s="86" t="str">
        <f t="shared" si="128"/>
        <v>-0.0411268621934491-0.00729829583951569j</v>
      </c>
      <c r="AG234" s="86">
        <f t="shared" si="129"/>
        <v>-27.582832426038159</v>
      </c>
      <c r="AH234" s="86">
        <f t="shared" si="130"/>
        <v>10.062843341237055</v>
      </c>
      <c r="AJ234" s="86" t="str">
        <f t="shared" si="131"/>
        <v>6450.59673211377-4784.95236348084j</v>
      </c>
      <c r="AK234" s="86" t="str">
        <f t="shared" si="132"/>
        <v>20000-0.000631305916790591j</v>
      </c>
      <c r="AL234" s="86" t="str">
        <f t="shared" si="146"/>
        <v>10000-14080.1609053149j</v>
      </c>
      <c r="AM234" s="86" t="str">
        <f t="shared" si="147"/>
        <v>776.781334585283-4750.17751140684j</v>
      </c>
      <c r="AN234" s="86" t="str">
        <f t="shared" si="148"/>
        <v>10776.7813345853-4750.17751140684j</v>
      </c>
      <c r="AO234" s="86" t="str">
        <f t="shared" si="149"/>
        <v>7305.59203203745-1959.29173963553j</v>
      </c>
      <c r="AP234" s="86" t="str">
        <f t="shared" si="150"/>
        <v>0.732166211605647+0.132449952304657j</v>
      </c>
      <c r="AQ234" s="86" t="str">
        <f t="shared" si="133"/>
        <v>1+91.8550108930311j</v>
      </c>
      <c r="AR234" s="86">
        <f t="shared" si="134"/>
        <v>-1.7395583559090438E-3</v>
      </c>
      <c r="AS234" s="86" t="str">
        <f t="shared" si="135"/>
        <v>0.00768270891967895j</v>
      </c>
      <c r="AT234" s="86" t="str">
        <f t="shared" si="136"/>
        <v>-0.00173955835590904+0.00768270891967895j</v>
      </c>
      <c r="AU234" s="86" t="str">
        <f t="shared" si="137"/>
        <v>1.70174419794829-0.404842012326384j</v>
      </c>
      <c r="AW234" s="86" t="str">
        <f t="shared" si="151"/>
        <v>0.549407725823416-0.707428952435388j</v>
      </c>
      <c r="AX234" s="86">
        <f t="shared" si="138"/>
        <v>-0.95660732960270911</v>
      </c>
      <c r="AY234" s="86">
        <f t="shared" si="139"/>
        <v>127.83384301343426</v>
      </c>
      <c r="AZ234" s="86" t="str">
        <f t="shared" si="140"/>
        <v>-0.0217233030920067+0.0196251645794233j</v>
      </c>
      <c r="BA234" s="86">
        <f t="shared" si="141"/>
        <v>-30.669943566031073</v>
      </c>
      <c r="BB234" s="86">
        <f t="shared" si="142"/>
        <v>-42.095141126757539</v>
      </c>
      <c r="BD234" s="86" t="str">
        <f t="shared" si="143"/>
        <v>-0.0277584416082681+0.0250845929188914j</v>
      </c>
      <c r="BE234" s="86">
        <f t="shared" si="144"/>
        <v>-28.53943975564086</v>
      </c>
      <c r="BF234" s="86">
        <f t="shared" si="145"/>
        <v>-42.103313645328569</v>
      </c>
      <c r="BH234" s="86">
        <f t="shared" si="152"/>
        <v>29.53943975564086</v>
      </c>
      <c r="BI234" s="159">
        <f t="shared" si="153"/>
        <v>42.103313645328569</v>
      </c>
      <c r="BJ234" s="88"/>
      <c r="BK234" s="88"/>
      <c r="BL234" s="88"/>
      <c r="BM234" s="88"/>
      <c r="BN234" s="42"/>
      <c r="BO234" s="42"/>
      <c r="BP234" s="42"/>
    </row>
    <row r="235" spans="1:68" s="86" customFormat="1">
      <c r="A235" s="86">
        <v>171</v>
      </c>
      <c r="B235" s="86">
        <f t="shared" si="103"/>
        <v>263026.79918953823</v>
      </c>
      <c r="C235" s="86" t="str">
        <f t="shared" si="104"/>
        <v>1652646.12006218j</v>
      </c>
      <c r="D235" s="86">
        <f t="shared" si="105"/>
        <v>-0.10692955347029698</v>
      </c>
      <c r="E235" s="86" t="str">
        <f t="shared" si="106"/>
        <v>-1.65264612006218j</v>
      </c>
      <c r="F235" s="86" t="str">
        <f t="shared" si="107"/>
        <v>-0.106929553470297-1.65264612006218j</v>
      </c>
      <c r="G235" s="86">
        <f t="shared" si="108"/>
        <v>4.3817405136860179</v>
      </c>
      <c r="H235" s="86">
        <f t="shared" si="109"/>
        <v>-93.701992864489185</v>
      </c>
      <c r="J235" s="86">
        <f t="shared" si="110"/>
        <v>17.283950617283953</v>
      </c>
      <c r="K235" s="86" t="str">
        <f t="shared" si="111"/>
        <v>1+19.9557018997508j</v>
      </c>
      <c r="L235" s="86">
        <f t="shared" si="112"/>
        <v>-80.431390908001717</v>
      </c>
      <c r="M235" s="86" t="str">
        <f t="shared" si="113"/>
        <v>4.45092285298228j</v>
      </c>
      <c r="N235" s="86" t="str">
        <f t="shared" si="114"/>
        <v>-80.4313909080017+4.45092285298228j</v>
      </c>
      <c r="O235" s="86" t="str">
        <f t="shared" si="115"/>
        <v>0.00129293784815487-0.248036828754509j</v>
      </c>
      <c r="P235" s="86" t="str">
        <f t="shared" si="116"/>
        <v>0.0223470739187261-4.28705629946065j</v>
      </c>
      <c r="R235" s="86">
        <f t="shared" si="117"/>
        <v>6.9135802469135808</v>
      </c>
      <c r="S235" s="86" t="str">
        <f t="shared" si="118"/>
        <v>1+0.123948459004664j</v>
      </c>
      <c r="T235" s="86" t="str">
        <f t="shared" si="119"/>
        <v>-80.4313909080017+4.45092285298228j</v>
      </c>
      <c r="U235" s="86" t="str">
        <f t="shared" si="120"/>
        <v>-0.0123099811353144-0.00222225717275062j</v>
      </c>
      <c r="V235" s="86" t="str">
        <f t="shared" si="121"/>
        <v>-0.0851060424169885-0.0153637532930907j</v>
      </c>
      <c r="X235" s="86" t="str">
        <f t="shared" si="122"/>
        <v>-0.217329282833526+0.0129244169518045j</v>
      </c>
      <c r="Y235" s="86">
        <f t="shared" si="123"/>
        <v>-13.24230291796823</v>
      </c>
      <c r="Z235" s="86">
        <f t="shared" si="124"/>
        <v>-3.4033307211024635</v>
      </c>
      <c r="AB235" s="86" t="str">
        <f t="shared" si="125"/>
        <v>-0.0293226441624134-0.005293465164378j</v>
      </c>
      <c r="AC235" s="86">
        <f t="shared" si="126"/>
        <v>-30.516661563250004</v>
      </c>
      <c r="AD235" s="86">
        <f t="shared" si="127"/>
        <v>10.233097532632058</v>
      </c>
      <c r="AF235" s="86" t="str">
        <f t="shared" si="128"/>
        <v>-0.0375662946791755-0.00614299551926041j</v>
      </c>
      <c r="AG235" s="86">
        <f t="shared" si="129"/>
        <v>-28.389427373239023</v>
      </c>
      <c r="AH235" s="86">
        <f t="shared" si="130"/>
        <v>9.2870454709939168</v>
      </c>
      <c r="AJ235" s="86" t="str">
        <f t="shared" si="131"/>
        <v>6237.01632953812-4844.56299375455j</v>
      </c>
      <c r="AK235" s="86" t="str">
        <f t="shared" si="132"/>
        <v>20000-0.000661058448024871j</v>
      </c>
      <c r="AL235" s="86" t="str">
        <f t="shared" si="146"/>
        <v>10000-13446.4492745647j</v>
      </c>
      <c r="AM235" s="86" t="str">
        <f t="shared" si="147"/>
        <v>762.546448515325-4564.13856333229j</v>
      </c>
      <c r="AN235" s="86" t="str">
        <f t="shared" si="148"/>
        <v>10762.5464485153-4564.13856333229j</v>
      </c>
      <c r="AO235" s="86" t="str">
        <f t="shared" si="149"/>
        <v>7277.23741672538-1887.63481396516j</v>
      </c>
      <c r="AP235" s="86" t="str">
        <f t="shared" si="150"/>
        <v>0.737149291573267+0.136111742288626j</v>
      </c>
      <c r="AQ235" s="86" t="str">
        <f t="shared" si="133"/>
        <v>1+96.1840041876189j</v>
      </c>
      <c r="AR235" s="86">
        <f t="shared" si="134"/>
        <v>-1.9073974559925555E-3</v>
      </c>
      <c r="AS235" s="86" t="str">
        <f t="shared" si="135"/>
        <v>0.00804478383616108j</v>
      </c>
      <c r="AT235" s="86" t="str">
        <f t="shared" si="136"/>
        <v>-0.00190739745599256+0.00804478383616108j</v>
      </c>
      <c r="AU235" s="86" t="str">
        <f t="shared" si="137"/>
        <v>1.69377395837832-0.420235050199993j</v>
      </c>
      <c r="AW235" s="86" t="str">
        <f t="shared" si="151"/>
        <v>0.516848947088862-0.710021751650454j</v>
      </c>
      <c r="AX235" s="86">
        <f t="shared" si="138"/>
        <v>-1.1279709614806135</v>
      </c>
      <c r="AY235" s="86">
        <f t="shared" si="139"/>
        <v>126.05214507323441</v>
      </c>
      <c r="AZ235" s="86" t="str">
        <f t="shared" si="140"/>
        <v>-0.018913853169517+0.0180837932745594j</v>
      </c>
      <c r="BA235" s="86">
        <f t="shared" si="141"/>
        <v>-31.644632524730625</v>
      </c>
      <c r="BB235" s="86">
        <f t="shared" si="142"/>
        <v>-43.71475739413367</v>
      </c>
      <c r="BD235" s="86" t="str">
        <f t="shared" si="143"/>
        <v>-0.0237777602899279+0.023497885585024j</v>
      </c>
      <c r="BE235" s="86">
        <f t="shared" si="144"/>
        <v>-29.517398334719637</v>
      </c>
      <c r="BF235" s="86">
        <f t="shared" si="145"/>
        <v>-44.660809455771755</v>
      </c>
      <c r="BH235" s="86">
        <f t="shared" si="152"/>
        <v>30.517398334719637</v>
      </c>
      <c r="BI235" s="159">
        <f t="shared" si="153"/>
        <v>44.660809455771755</v>
      </c>
      <c r="BJ235" s="88"/>
      <c r="BK235" s="88"/>
      <c r="BL235" s="88"/>
      <c r="BM235" s="88"/>
      <c r="BN235" s="42"/>
      <c r="BO235" s="42"/>
      <c r="BP235" s="42"/>
    </row>
    <row r="236" spans="1:68" s="86" customFormat="1">
      <c r="A236" s="86">
        <v>172</v>
      </c>
      <c r="B236" s="86">
        <f t="shared" si="103"/>
        <v>275422.87033381691</v>
      </c>
      <c r="C236" s="86" t="str">
        <f t="shared" si="104"/>
        <v>1730532.93214267j</v>
      </c>
      <c r="D236" s="86">
        <f t="shared" si="105"/>
        <v>-0.21372412004670216</v>
      </c>
      <c r="E236" s="86" t="str">
        <f t="shared" si="106"/>
        <v>-1.73053293214267j</v>
      </c>
      <c r="F236" s="86" t="str">
        <f t="shared" si="107"/>
        <v>-0.213724120046702-1.73053293214267j</v>
      </c>
      <c r="G236" s="86">
        <f t="shared" si="108"/>
        <v>4.8293389902653656</v>
      </c>
      <c r="H236" s="86">
        <f t="shared" si="109"/>
        <v>-97.0404870390756</v>
      </c>
      <c r="J236" s="86">
        <f t="shared" si="110"/>
        <v>17.283950617283953</v>
      </c>
      <c r="K236" s="86" t="str">
        <f t="shared" si="111"/>
        <v>1+20.8961851556227j</v>
      </c>
      <c r="L236" s="86">
        <f t="shared" si="112"/>
        <v>-88.287744612237006</v>
      </c>
      <c r="M236" s="86" t="str">
        <f t="shared" si="113"/>
        <v>4.66068838452992j</v>
      </c>
      <c r="N236" s="86" t="str">
        <f t="shared" si="114"/>
        <v>-88.287744612237+4.66068838452992j</v>
      </c>
      <c r="O236" s="86" t="str">
        <f t="shared" si="115"/>
        <v>0.00116457794907047-0.236621260543641j</v>
      </c>
      <c r="P236" s="86" t="str">
        <f t="shared" si="116"/>
        <v>0.0201285077617118-4.08975018223577j</v>
      </c>
      <c r="R236" s="86">
        <f t="shared" si="117"/>
        <v>6.9135802469135808</v>
      </c>
      <c r="S236" s="86" t="str">
        <f t="shared" si="118"/>
        <v>1+0.1297899699107j</v>
      </c>
      <c r="T236" s="86" t="str">
        <f t="shared" si="119"/>
        <v>-88.287744612237+4.66068838452992j</v>
      </c>
      <c r="U236" s="86" t="str">
        <f t="shared" si="120"/>
        <v>-0.0112177341322028-0.00206226055361444j</v>
      </c>
      <c r="V236" s="86" t="str">
        <f t="shared" si="121"/>
        <v>-0.0775547051115255-0.0142576038274579j</v>
      </c>
      <c r="X236" s="86" t="str">
        <f t="shared" si="122"/>
        <v>-0.217156728802446+0.0257348483973214j</v>
      </c>
      <c r="Y236" s="86">
        <f t="shared" si="123"/>
        <v>-13.203965377547679</v>
      </c>
      <c r="Z236" s="86">
        <f t="shared" si="124"/>
        <v>-6.7584968980161477</v>
      </c>
      <c r="AB236" s="86" t="str">
        <f t="shared" si="125"/>
        <v>-0.0267208879243128-0.00491234972004476j</v>
      </c>
      <c r="AC236" s="86">
        <f t="shared" si="126"/>
        <v>-31.318630062187744</v>
      </c>
      <c r="AD236" s="86">
        <f t="shared" si="127"/>
        <v>10.416903164197947</v>
      </c>
      <c r="AF236" s="86" t="str">
        <f t="shared" si="128"/>
        <v>-0.0343023382942101-0.00514737035192929j</v>
      </c>
      <c r="AG236" s="86">
        <f t="shared" si="129"/>
        <v>-29.196817283885839</v>
      </c>
      <c r="AH236" s="86">
        <f t="shared" si="130"/>
        <v>8.5340647357578234</v>
      </c>
      <c r="AJ236" s="86" t="str">
        <f t="shared" si="131"/>
        <v>6018.51656721495-4895.16332743951j</v>
      </c>
      <c r="AK236" s="86" t="str">
        <f t="shared" si="132"/>
        <v>20000-0.000692213172857067j</v>
      </c>
      <c r="AL236" s="86" t="str">
        <f t="shared" si="146"/>
        <v>10000-12841.2593655225j</v>
      </c>
      <c r="AM236" s="86" t="str">
        <f t="shared" si="147"/>
        <v>747.52604692741-4386.68621607874j</v>
      </c>
      <c r="AN236" s="86" t="str">
        <f t="shared" si="148"/>
        <v>10747.5260469274-4386.68621607874j</v>
      </c>
      <c r="AO236" s="86" t="str">
        <f t="shared" si="149"/>
        <v>7250.33178264595-1818.96898514985j</v>
      </c>
      <c r="AP236" s="86" t="str">
        <f t="shared" si="150"/>
        <v>0.742404272529828+0.1396770634991j</v>
      </c>
      <c r="AQ236" s="86" t="str">
        <f t="shared" si="133"/>
        <v>1+100.717016650703j</v>
      </c>
      <c r="AR236" s="86">
        <f t="shared" si="134"/>
        <v>-2.0914293696944488E-3</v>
      </c>
      <c r="AS236" s="86" t="str">
        <f t="shared" si="135"/>
        <v>0.00842392281774273j</v>
      </c>
      <c r="AT236" s="86" t="str">
        <f t="shared" si="136"/>
        <v>-0.00209142936969445+0.00842392281774273j</v>
      </c>
      <c r="AU236" s="86" t="str">
        <f t="shared" si="137"/>
        <v>1.68512013988813-0.436175619307282j</v>
      </c>
      <c r="AW236" s="86" t="str">
        <f t="shared" si="151"/>
        <v>0.483894276846073-0.711203928564756j</v>
      </c>
      <c r="AX236" s="86">
        <f t="shared" si="138"/>
        <v>-1.3078899827066979</v>
      </c>
      <c r="AY236" s="86">
        <f t="shared" si="139"/>
        <v>124.23088213359611</v>
      </c>
      <c r="AZ236" s="86" t="str">
        <f t="shared" si="140"/>
        <v>-0.0164237671582001+0.0166269425511138j</v>
      </c>
      <c r="BA236" s="86">
        <f t="shared" si="141"/>
        <v>-32.626520044894434</v>
      </c>
      <c r="BB236" s="86">
        <f t="shared" si="142"/>
        <v>-45.352214702206084</v>
      </c>
      <c r="BD236" s="86" t="str">
        <f t="shared" si="143"/>
        <v>-0.020259535199076+0.0219051746996938j</v>
      </c>
      <c r="BE236" s="86">
        <f t="shared" si="144"/>
        <v>-30.504707266592529</v>
      </c>
      <c r="BF236" s="86">
        <f t="shared" si="145"/>
        <v>-47.235053130646151</v>
      </c>
      <c r="BH236" s="86">
        <f t="shared" si="152"/>
        <v>31.504707266592529</v>
      </c>
      <c r="BI236" s="159">
        <f t="shared" si="153"/>
        <v>47.235053130646151</v>
      </c>
      <c r="BJ236" s="88"/>
      <c r="BK236" s="88"/>
      <c r="BL236" s="88"/>
      <c r="BM236" s="88"/>
      <c r="BN236" s="42"/>
      <c r="BO236" s="42"/>
      <c r="BP236" s="42"/>
    </row>
    <row r="237" spans="1:68" s="86" customFormat="1">
      <c r="A237" s="86">
        <v>173</v>
      </c>
      <c r="B237" s="86">
        <f t="shared" si="103"/>
        <v>288403.15031266079</v>
      </c>
      <c r="C237" s="86" t="str">
        <f t="shared" si="104"/>
        <v>1812090.43658882j</v>
      </c>
      <c r="D237" s="86">
        <f t="shared" si="105"/>
        <v>-0.33082203376428132</v>
      </c>
      <c r="E237" s="86" t="str">
        <f t="shared" si="106"/>
        <v>-1.81209043658882j</v>
      </c>
      <c r="F237" s="86" t="str">
        <f t="shared" si="107"/>
        <v>-0.330822033764281-1.81209043658882j</v>
      </c>
      <c r="G237" s="86">
        <f t="shared" si="108"/>
        <v>5.3059857502857621</v>
      </c>
      <c r="H237" s="86">
        <f t="shared" si="109"/>
        <v>-100.34619222789108</v>
      </c>
      <c r="J237" s="86">
        <f t="shared" si="110"/>
        <v>17.283950617283953</v>
      </c>
      <c r="K237" s="86" t="str">
        <f t="shared" si="111"/>
        <v>1+21.88099202181j</v>
      </c>
      <c r="L237" s="86">
        <f t="shared" si="112"/>
        <v>-96.902065150118915</v>
      </c>
      <c r="M237" s="86" t="str">
        <f t="shared" si="113"/>
        <v>4.88033986101051j</v>
      </c>
      <c r="N237" s="86" t="str">
        <f t="shared" si="114"/>
        <v>-96.9020651501189+4.88033986101051j</v>
      </c>
      <c r="O237" s="86" t="str">
        <f t="shared" si="115"/>
        <v>0.00105000988625256-0.225752336473098j</v>
      </c>
      <c r="P237" s="86" t="str">
        <f t="shared" si="116"/>
        <v>0.0181483190216492-3.9018922353375j</v>
      </c>
      <c r="R237" s="86">
        <f t="shared" si="117"/>
        <v>6.9135802469135808</v>
      </c>
      <c r="S237" s="86" t="str">
        <f t="shared" si="118"/>
        <v>1+0.135906782744161j</v>
      </c>
      <c r="T237" s="86" t="str">
        <f t="shared" si="119"/>
        <v>-96.9020651501189+4.88033986101051j</v>
      </c>
      <c r="U237" s="86" t="str">
        <f t="shared" si="120"/>
        <v>-0.0102231307388931-0.00191739087196611j</v>
      </c>
      <c r="V237" s="86" t="str">
        <f t="shared" si="121"/>
        <v>-0.0706784347380264-0.0132560356580373j</v>
      </c>
      <c r="X237" s="86" t="str">
        <f t="shared" si="122"/>
        <v>-0.216998382944337+0.0385739912224663j</v>
      </c>
      <c r="Y237" s="86">
        <f t="shared" si="123"/>
        <v>-13.135760060633999</v>
      </c>
      <c r="Z237" s="86">
        <f t="shared" si="124"/>
        <v>-10.079702400820651</v>
      </c>
      <c r="AB237" s="86" t="str">
        <f t="shared" si="125"/>
        <v>-0.0243517208992649-0.00456726697148474j</v>
      </c>
      <c r="AC237" s="86">
        <f t="shared" si="126"/>
        <v>-32.119262514606838</v>
      </c>
      <c r="AD237" s="86">
        <f t="shared" si="127"/>
        <v>10.622653936745877</v>
      </c>
      <c r="AF237" s="86" t="str">
        <f t="shared" si="128"/>
        <v>-0.0313118400865883-0.00429046920676614j</v>
      </c>
      <c r="AG237" s="86">
        <f t="shared" si="129"/>
        <v>-30.005043107133623</v>
      </c>
      <c r="AH237" s="86">
        <f t="shared" si="130"/>
        <v>7.8023002122935736</v>
      </c>
      <c r="AJ237" s="86" t="str">
        <f t="shared" si="131"/>
        <v>5795.88149296796-4936.2508697544j</v>
      </c>
      <c r="AK237" s="86" t="str">
        <f t="shared" si="132"/>
        <v>20000-0.000724836174635527j</v>
      </c>
      <c r="AL237" s="86" t="str">
        <f t="shared" si="146"/>
        <v>10000-12263.3074892523j</v>
      </c>
      <c r="AM237" s="86" t="str">
        <f t="shared" si="147"/>
        <v>731.722247789286-4217.35480656536j</v>
      </c>
      <c r="AN237" s="86" t="str">
        <f t="shared" si="148"/>
        <v>10731.7222477893-4217.35480656536j</v>
      </c>
      <c r="AO237" s="86" t="str">
        <f t="shared" si="149"/>
        <v>7224.72283975306-1753.16822938057j</v>
      </c>
      <c r="AP237" s="86" t="str">
        <f t="shared" si="150"/>
        <v>0.747929921474259+0.143122441607183j</v>
      </c>
      <c r="AQ237" s="86" t="str">
        <f t="shared" si="133"/>
        <v>1+105.463663409469j</v>
      </c>
      <c r="AR237" s="86">
        <f t="shared" si="134"/>
        <v>-2.2932163504630594E-3</v>
      </c>
      <c r="AS237" s="86" t="str">
        <f t="shared" si="135"/>
        <v>0.00882093006903579j</v>
      </c>
      <c r="AT237" s="86" t="str">
        <f t="shared" si="136"/>
        <v>-0.00229321635046306+0.00882093006903579j</v>
      </c>
      <c r="AU237" s="86" t="str">
        <f t="shared" si="137"/>
        <v>1.67573249036638-0.452652624458094j</v>
      </c>
      <c r="AW237" s="86" t="str">
        <f t="shared" si="151"/>
        <v>0.450650241213489-0.710927939451658j</v>
      </c>
      <c r="AX237" s="86">
        <f t="shared" si="138"/>
        <v>-1.4965758624421388</v>
      </c>
      <c r="AY237" s="86">
        <f t="shared" si="139"/>
        <v>122.37020905369377</v>
      </c>
      <c r="AZ237" s="86" t="str">
        <f t="shared" si="140"/>
        <v>-0.0142211065941805+0.0152540787986303j</v>
      </c>
      <c r="BA237" s="86">
        <f t="shared" si="141"/>
        <v>-33.615838377048981</v>
      </c>
      <c r="BB237" s="86">
        <f t="shared" si="142"/>
        <v>-47.007137009560523</v>
      </c>
      <c r="BD237" s="86" t="str">
        <f t="shared" si="143"/>
        <v>-0.0171609027203062+0.0203269609702499j</v>
      </c>
      <c r="BE237" s="86">
        <f t="shared" si="144"/>
        <v>-31.501618969575755</v>
      </c>
      <c r="BF237" s="86">
        <f t="shared" si="145"/>
        <v>-49.827490734012855</v>
      </c>
      <c r="BH237" s="86">
        <f t="shared" si="152"/>
        <v>32.501618969575759</v>
      </c>
      <c r="BI237" s="159">
        <f t="shared" si="153"/>
        <v>49.827490734012855</v>
      </c>
      <c r="BJ237" s="88"/>
      <c r="BK237" s="88"/>
      <c r="BL237" s="88"/>
      <c r="BM237" s="88"/>
      <c r="BN237" s="42"/>
      <c r="BO237" s="42"/>
      <c r="BP237" s="42"/>
    </row>
    <row r="238" spans="1:68" s="86" customFormat="1">
      <c r="A238" s="86">
        <v>174</v>
      </c>
      <c r="B238" s="86">
        <f t="shared" si="103"/>
        <v>301995.17204020178</v>
      </c>
      <c r="C238" s="86" t="str">
        <f t="shared" si="104"/>
        <v>1897491.62780217j</v>
      </c>
      <c r="D238" s="86">
        <f t="shared" si="105"/>
        <v>-0.45921734296946193</v>
      </c>
      <c r="E238" s="86" t="str">
        <f t="shared" si="106"/>
        <v>-1.89749162780217j</v>
      </c>
      <c r="F238" s="86" t="str">
        <f t="shared" si="107"/>
        <v>-0.459217342969462-1.89749162780217j</v>
      </c>
      <c r="G238" s="86">
        <f t="shared" si="108"/>
        <v>5.8107940723193874</v>
      </c>
      <c r="H238" s="86">
        <f t="shared" si="109"/>
        <v>-103.60472968962175</v>
      </c>
      <c r="J238" s="86">
        <f t="shared" si="110"/>
        <v>17.283950617283953</v>
      </c>
      <c r="K238" s="86" t="str">
        <f t="shared" si="111"/>
        <v>1+22.9122114057112j</v>
      </c>
      <c r="L238" s="86">
        <f t="shared" si="112"/>
        <v>-106.34747979449482</v>
      </c>
      <c r="M238" s="86" t="str">
        <f t="shared" si="113"/>
        <v>5.11034319265486j</v>
      </c>
      <c r="N238" s="86" t="str">
        <f t="shared" si="114"/>
        <v>-106.347479794495+5.11034319265486j</v>
      </c>
      <c r="O238" s="86" t="str">
        <f t="shared" si="115"/>
        <v>0.000947589678230453-0.215401144827462j</v>
      </c>
      <c r="P238" s="86" t="str">
        <f t="shared" si="116"/>
        <v>0.0163780932039831-3.72298275010428j</v>
      </c>
      <c r="R238" s="86">
        <f t="shared" si="117"/>
        <v>6.9135802469135808</v>
      </c>
      <c r="S238" s="86" t="str">
        <f t="shared" si="118"/>
        <v>1+0.142311872085163j</v>
      </c>
      <c r="T238" s="86" t="str">
        <f t="shared" si="119"/>
        <v>-106.347479794495+5.11034319265486j</v>
      </c>
      <c r="U238" s="86" t="str">
        <f t="shared" si="120"/>
        <v>-0.00931731913976171-0.00178590570168517j</v>
      </c>
      <c r="V238" s="86" t="str">
        <f t="shared" si="121"/>
        <v>-0.0644160335588464-0.0123470023820209j</v>
      </c>
      <c r="X238" s="86" t="str">
        <f t="shared" si="122"/>
        <v>-0.216853164135362+0.0514724726779284j</v>
      </c>
      <c r="Y238" s="86">
        <f t="shared" si="123"/>
        <v>-13.038646575231835</v>
      </c>
      <c r="Z238" s="86">
        <f t="shared" si="124"/>
        <v>-13.352676530480664</v>
      </c>
      <c r="AB238" s="86" t="str">
        <f t="shared" si="125"/>
        <v>-0.022194057868952-0.00425406642158934j</v>
      </c>
      <c r="AC238" s="86">
        <f t="shared" si="126"/>
        <v>-32.918568602351058</v>
      </c>
      <c r="AD238" s="86">
        <f t="shared" si="127"/>
        <v>10.850615922320344</v>
      </c>
      <c r="AF238" s="86" t="str">
        <f t="shared" si="128"/>
        <v>-0.0285731768511869-0.00355403894816487j</v>
      </c>
      <c r="AG238" s="86">
        <f t="shared" si="129"/>
        <v>-30.814152803717999</v>
      </c>
      <c r="AH238" s="86">
        <f t="shared" si="130"/>
        <v>7.0902485225244334</v>
      </c>
      <c r="AJ238" s="86" t="str">
        <f t="shared" si="131"/>
        <v>5569.96067419398-4967.40826084109j</v>
      </c>
      <c r="AK238" s="86" t="str">
        <f t="shared" si="132"/>
        <v>20000-0.000758996651120867j</v>
      </c>
      <c r="AL238" s="86" t="str">
        <f t="shared" si="146"/>
        <v>10000-11711.3677323371j</v>
      </c>
      <c r="AM238" s="86" t="str">
        <f t="shared" si="147"/>
        <v>715.144371430702-4055.69426579899j</v>
      </c>
      <c r="AN238" s="86" t="str">
        <f t="shared" si="148"/>
        <v>10715.1443714307-4055.69426579899j</v>
      </c>
      <c r="AO238" s="86" t="str">
        <f t="shared" si="149"/>
        <v>7200.27316621482-1690.10377303115j</v>
      </c>
      <c r="AP238" s="86" t="str">
        <f t="shared" si="150"/>
        <v>0.753722466629127+0.146423651874046j</v>
      </c>
      <c r="AQ238" s="86" t="str">
        <f t="shared" si="133"/>
        <v>1+110.434012738086j</v>
      </c>
      <c r="AR238" s="86">
        <f t="shared" si="134"/>
        <v>-2.5144713751414044E-3</v>
      </c>
      <c r="AS238" s="86" t="str">
        <f t="shared" si="135"/>
        <v>0.00923664769564796j</v>
      </c>
      <c r="AT238" s="86" t="str">
        <f t="shared" si="136"/>
        <v>-0.0025144713751414+0.00923664769564796j</v>
      </c>
      <c r="AU238" s="86" t="str">
        <f t="shared" si="137"/>
        <v>1.66555862946685-0.469650856063081j</v>
      </c>
      <c r="AW238" s="86" t="str">
        <f t="shared" si="151"/>
        <v>0.417228220560483-0.709154361945973j</v>
      </c>
      <c r="AX238" s="86">
        <f t="shared" si="138"/>
        <v>-1.694246123977416</v>
      </c>
      <c r="AY238" s="86">
        <f t="shared" si="139"/>
        <v>120.47026238651566</v>
      </c>
      <c r="AZ238" s="86" t="str">
        <f t="shared" si="140"/>
        <v>-0.0122767770305572+0.0139640963838229j</v>
      </c>
      <c r="BA238" s="86">
        <f t="shared" si="141"/>
        <v>-34.612814726328452</v>
      </c>
      <c r="BB238" s="86">
        <f t="shared" si="142"/>
        <v>-48.679121691164141</v>
      </c>
      <c r="BD238" s="86" t="str">
        <f t="shared" si="143"/>
        <v>-0.0144418979559977+0.0187799476525275j</v>
      </c>
      <c r="BE238" s="86">
        <f t="shared" si="144"/>
        <v>-32.508398927695396</v>
      </c>
      <c r="BF238" s="86">
        <f t="shared" si="145"/>
        <v>-52.439489090960009</v>
      </c>
      <c r="BH238" s="86">
        <f t="shared" si="152"/>
        <v>33.508398927695396</v>
      </c>
      <c r="BI238" s="159">
        <f t="shared" si="153"/>
        <v>52.439489090960009</v>
      </c>
      <c r="BJ238" s="88"/>
      <c r="BK238" s="88"/>
      <c r="BL238" s="88"/>
      <c r="BM238" s="88"/>
      <c r="BN238" s="42"/>
      <c r="BO238" s="42"/>
      <c r="BP238" s="42"/>
    </row>
    <row r="239" spans="1:68" s="86" customFormat="1">
      <c r="A239" s="86">
        <v>175</v>
      </c>
      <c r="B239" s="86">
        <f t="shared" si="103"/>
        <v>316227.76601683802</v>
      </c>
      <c r="C239" s="86" t="str">
        <f t="shared" si="104"/>
        <v>1986917.65315922j</v>
      </c>
      <c r="D239" s="86">
        <f t="shared" si="105"/>
        <v>-0.59999999999999898</v>
      </c>
      <c r="E239" s="86" t="str">
        <f t="shared" si="106"/>
        <v>-1.98691765315922j</v>
      </c>
      <c r="F239" s="86" t="str">
        <f t="shared" si="107"/>
        <v>-0.599999999999999-1.98691765315922j</v>
      </c>
      <c r="G239" s="86">
        <f t="shared" si="108"/>
        <v>6.3425974201875954</v>
      </c>
      <c r="H239" s="86">
        <f t="shared" si="109"/>
        <v>-106.80301778155575</v>
      </c>
      <c r="J239" s="86">
        <f t="shared" si="110"/>
        <v>17.283950617283953</v>
      </c>
      <c r="K239" s="86" t="str">
        <f t="shared" si="111"/>
        <v>1+23.9920306618976j</v>
      </c>
      <c r="L239" s="86">
        <f t="shared" si="112"/>
        <v>-116.70417100558409</v>
      </c>
      <c r="M239" s="86" t="str">
        <f t="shared" si="113"/>
        <v>5.35118624736647j</v>
      </c>
      <c r="N239" s="86" t="str">
        <f t="shared" si="114"/>
        <v>-116.704171005584+5.35118624736647j</v>
      </c>
      <c r="O239" s="86" t="str">
        <f t="shared" si="115"/>
        <v>0.000855892926737223-0.205540645314991j</v>
      </c>
      <c r="P239" s="86" t="str">
        <f t="shared" si="116"/>
        <v>0.0147932110794088-3.55255436346898j</v>
      </c>
      <c r="R239" s="86">
        <f t="shared" si="117"/>
        <v>6.9135802469135808</v>
      </c>
      <c r="S239" s="86" t="str">
        <f t="shared" si="118"/>
        <v>1+0.149018823986941j</v>
      </c>
      <c r="T239" s="86" t="str">
        <f t="shared" si="119"/>
        <v>-116.704171005584+5.35118624736647j</v>
      </c>
      <c r="U239" s="86" t="str">
        <f t="shared" si="120"/>
        <v>-0.0084922705320872-0.00166628616262445j</v>
      </c>
      <c r="V239" s="86" t="str">
        <f t="shared" si="121"/>
        <v>-0.0587119938020844-0.0115200030996258j</v>
      </c>
      <c r="X239" s="86" t="str">
        <f t="shared" si="122"/>
        <v>-0.21672005669985+0.0644605966096441j</v>
      </c>
      <c r="Y239" s="86">
        <f t="shared" si="123"/>
        <v>-12.913857799413524</v>
      </c>
      <c r="Z239" s="86">
        <f t="shared" si="124"/>
        <v>-16.56443349131527</v>
      </c>
      <c r="AB239" s="86" t="str">
        <f t="shared" si="125"/>
        <v>-0.020228774049781-0.00396913006464505j</v>
      </c>
      <c r="AC239" s="86">
        <f t="shared" si="126"/>
        <v>-33.716547130899023</v>
      </c>
      <c r="AD239" s="86">
        <f t="shared" si="127"/>
        <v>11.101097455616724</v>
      </c>
      <c r="AF239" s="86" t="str">
        <f t="shared" si="128"/>
        <v>-0.0260662102021811-0.00292218206688202j</v>
      </c>
      <c r="AG239" s="86">
        <f t="shared" si="129"/>
        <v>-31.624201073901979</v>
      </c>
      <c r="AH239" s="86">
        <f t="shared" si="130"/>
        <v>6.3965009673505335</v>
      </c>
      <c r="AJ239" s="86" t="str">
        <f t="shared" si="131"/>
        <v>5341.6570740822-4988.31338667987j</v>
      </c>
      <c r="AK239" s="86" t="str">
        <f t="shared" si="132"/>
        <v>20000-0.000794767061263687j</v>
      </c>
      <c r="AL239" s="86" t="str">
        <f t="shared" si="146"/>
        <v>10000-11184.2693565527j</v>
      </c>
      <c r="AM239" s="86" t="str">
        <f t="shared" si="147"/>
        <v>697.809543264853-3901.27017618887j</v>
      </c>
      <c r="AN239" s="86" t="str">
        <f t="shared" si="148"/>
        <v>10697.8095432649-3901.27017618887j</v>
      </c>
      <c r="AO239" s="86" t="str">
        <f t="shared" si="149"/>
        <v>7176.8597975112-1629.64517598191j</v>
      </c>
      <c r="AP239" s="86" t="str">
        <f t="shared" si="150"/>
        <v>0.759775396125937+0.1495560285329j</v>
      </c>
      <c r="AQ239" s="86" t="str">
        <f t="shared" si="133"/>
        <v>1+115.638607413867j</v>
      </c>
      <c r="AR239" s="86">
        <f t="shared" si="134"/>
        <v>-2.7570726854883208E-3</v>
      </c>
      <c r="AS239" s="86" t="str">
        <f t="shared" si="135"/>
        <v>0.00967195749040151j</v>
      </c>
      <c r="AT239" s="86" t="str">
        <f t="shared" si="136"/>
        <v>-0.00275707268548832+0.00967195749040151j</v>
      </c>
      <c r="AU239" s="86" t="str">
        <f t="shared" si="137"/>
        <v>1.65454426634592-0.487150487204844j</v>
      </c>
      <c r="AW239" s="86" t="str">
        <f t="shared" si="151"/>
        <v>0.3837438737175-0.705852285639642j</v>
      </c>
      <c r="AX239" s="86">
        <f t="shared" si="138"/>
        <v>-1.901126279253103</v>
      </c>
      <c r="AY239" s="86">
        <f t="shared" si="139"/>
        <v>118.53117033373148</v>
      </c>
      <c r="AZ239" s="86" t="str">
        <f t="shared" si="140"/>
        <v>-0.0105642876425497+0.0127553970524303j</v>
      </c>
      <c r="BA239" s="86">
        <f t="shared" si="141"/>
        <v>-35.617673410152136</v>
      </c>
      <c r="BB239" s="86">
        <f t="shared" si="142"/>
        <v>-50.367732210651837</v>
      </c>
      <c r="BD239" s="86" t="str">
        <f t="shared" si="143"/>
        <v>-0.0120653773670834+0.0172775245831198j</v>
      </c>
      <c r="BE239" s="86">
        <f t="shared" si="144"/>
        <v>-33.525327353155078</v>
      </c>
      <c r="BF239" s="86">
        <f t="shared" si="145"/>
        <v>-55.072328698918113</v>
      </c>
      <c r="BH239" s="86">
        <f t="shared" si="152"/>
        <v>34.525327353155078</v>
      </c>
      <c r="BI239" s="159">
        <f t="shared" si="153"/>
        <v>55.072328698918113</v>
      </c>
      <c r="BJ239" s="88"/>
      <c r="BK239" s="88"/>
      <c r="BL239" s="88"/>
      <c r="BM239" s="88"/>
      <c r="BN239" s="42"/>
      <c r="BO239" s="42"/>
      <c r="BP239" s="42"/>
    </row>
    <row r="240" spans="1:68" s="86" customFormat="1">
      <c r="A240" s="86">
        <v>176</v>
      </c>
      <c r="B240" s="86">
        <f t="shared" si="103"/>
        <v>331131.12148259114</v>
      </c>
      <c r="C240" s="86" t="str">
        <f t="shared" si="104"/>
        <v>2080558.19724932j</v>
      </c>
      <c r="D240" s="86">
        <f t="shared" si="105"/>
        <v>-0.75436511382910432</v>
      </c>
      <c r="E240" s="86" t="str">
        <f t="shared" si="106"/>
        <v>-2.08055819724932j</v>
      </c>
      <c r="F240" s="86" t="str">
        <f t="shared" si="107"/>
        <v>-0.754365113829104-2.08055819724932j</v>
      </c>
      <c r="G240" s="86">
        <f t="shared" si="108"/>
        <v>6.9000008365444332</v>
      </c>
      <c r="H240" s="86">
        <f t="shared" si="109"/>
        <v>-109.92954234858883</v>
      </c>
      <c r="J240" s="86">
        <f t="shared" si="110"/>
        <v>17.283950617283953</v>
      </c>
      <c r="K240" s="86" t="str">
        <f t="shared" si="111"/>
        <v>1+25.1227402317855j</v>
      </c>
      <c r="L240" s="86">
        <f t="shared" si="112"/>
        <v>-128.06005710273251</v>
      </c>
      <c r="M240" s="86" t="str">
        <f t="shared" si="113"/>
        <v>5.6033798855548j</v>
      </c>
      <c r="N240" s="86" t="str">
        <f t="shared" si="114"/>
        <v>-128.060057102733+5.6033798855548j</v>
      </c>
      <c r="O240" s="86" t="str">
        <f t="shared" si="115"/>
        <v>0.000773682272306388-0.196145508321556j</v>
      </c>
      <c r="P240" s="86" t="str">
        <f t="shared" si="116"/>
        <v>0.0133722861880116-3.39016927963183j</v>
      </c>
      <c r="R240" s="86">
        <f t="shared" si="117"/>
        <v>6.9135802469135808</v>
      </c>
      <c r="S240" s="86" t="str">
        <f t="shared" si="118"/>
        <v>1+0.156041864793699j</v>
      </c>
      <c r="T240" s="86" t="str">
        <f t="shared" si="119"/>
        <v>-128.060057102733+5.6033798855548j</v>
      </c>
      <c r="U240" s="86" t="str">
        <f t="shared" si="120"/>
        <v>-0.00774069919458097-0.00155720641917852j</v>
      </c>
      <c r="V240" s="86" t="str">
        <f t="shared" si="121"/>
        <v>-0.0535159450489549-0.0107658715399996j</v>
      </c>
      <c r="X240" s="86" t="str">
        <f t="shared" si="122"/>
        <v>-0.216598109949833+0.0775684680694466j</v>
      </c>
      <c r="Y240" s="86">
        <f t="shared" si="123"/>
        <v>-12.762849085761065</v>
      </c>
      <c r="Z240" s="86">
        <f t="shared" si="124"/>
        <v>-19.703544315944043</v>
      </c>
      <c r="AB240" s="86" t="str">
        <f t="shared" si="125"/>
        <v>-0.0184385146943753-0.00370929973125675j</v>
      </c>
      <c r="AC240" s="86">
        <f t="shared" si="126"/>
        <v>-34.513186171362975</v>
      </c>
      <c r="AD240" s="86">
        <f t="shared" si="127"/>
        <v>11.374446570054971</v>
      </c>
      <c r="AF240" s="86" t="str">
        <f t="shared" si="128"/>
        <v>-0.0237722296171964-0.00238105667212042j</v>
      </c>
      <c r="AG240" s="86">
        <f t="shared" si="129"/>
        <v>-32.435249133877669</v>
      </c>
      <c r="AH240" s="86">
        <f t="shared" si="130"/>
        <v>5.719741507206777</v>
      </c>
      <c r="AJ240" s="86" t="str">
        <f t="shared" si="131"/>
        <v>5111.91311809619-4998.74738849624j</v>
      </c>
      <c r="AK240" s="86" t="str">
        <f t="shared" si="132"/>
        <v>20000-0.000832223278899727j</v>
      </c>
      <c r="AL240" s="86" t="str">
        <f t="shared" si="146"/>
        <v>10000-10680.8943155745j</v>
      </c>
      <c r="AM240" s="86" t="str">
        <f t="shared" si="147"/>
        <v>679.743182568705-3753.66400326998j</v>
      </c>
      <c r="AN240" s="86" t="str">
        <f t="shared" si="148"/>
        <v>10679.7431825687-3753.66400326998j</v>
      </c>
      <c r="AO240" s="86" t="str">
        <f t="shared" si="149"/>
        <v>7154.37379287215-1571.66138386868j</v>
      </c>
      <c r="AP240" s="86" t="str">
        <f t="shared" si="150"/>
        <v>0.766079298458665+0.152494821078266j</v>
      </c>
      <c r="AQ240" s="86" t="str">
        <f t="shared" si="133"/>
        <v>1+121.08848707991j</v>
      </c>
      <c r="AR240" s="86">
        <f t="shared" si="134"/>
        <v>-3.0230797326395121E-3</v>
      </c>
      <c r="AS240" s="86" t="str">
        <f t="shared" si="135"/>
        <v>0.0101277828037342j</v>
      </c>
      <c r="AT240" s="86" t="str">
        <f t="shared" si="136"/>
        <v>-0.00302307973263951+0.0101277828037342j</v>
      </c>
      <c r="AU240" s="86" t="str">
        <f t="shared" si="137"/>
        <v>1.64263349053932-0.505126552626906j</v>
      </c>
      <c r="AW240" s="86" t="str">
        <f t="shared" si="151"/>
        <v>0.350316573702154-0.700999700752598j</v>
      </c>
      <c r="AX240" s="86">
        <f t="shared" si="138"/>
        <v>-2.1174514477797466</v>
      </c>
      <c r="AY240" s="86">
        <f t="shared" si="139"/>
        <v>116.55306591881737</v>
      </c>
      <c r="AZ240" s="86" t="str">
        <f t="shared" si="140"/>
        <v>-0.00905953529350305+0.0116259641103913j</v>
      </c>
      <c r="BA240" s="86">
        <f t="shared" si="141"/>
        <v>-36.630637619142711</v>
      </c>
      <c r="BB240" s="86">
        <f t="shared" si="142"/>
        <v>-52.072487511127719</v>
      </c>
      <c r="BD240" s="86" t="str">
        <f t="shared" si="143"/>
        <v>-0.0099969260433885+0.0158302022327089j</v>
      </c>
      <c r="BE240" s="86">
        <f t="shared" si="144"/>
        <v>-34.55270058165739</v>
      </c>
      <c r="BF240" s="86">
        <f t="shared" si="145"/>
        <v>-57.727192573975984</v>
      </c>
      <c r="BH240" s="86">
        <f t="shared" si="152"/>
        <v>35.55270058165739</v>
      </c>
      <c r="BI240" s="159">
        <f t="shared" si="153"/>
        <v>57.727192573975984</v>
      </c>
      <c r="BJ240" s="88"/>
      <c r="BK240" s="88"/>
      <c r="BL240" s="88"/>
      <c r="BM240" s="88"/>
      <c r="BN240" s="42"/>
      <c r="BO240" s="42"/>
      <c r="BP240" s="42"/>
    </row>
    <row r="241" spans="1:68" s="86" customFormat="1">
      <c r="A241" s="86">
        <v>177</v>
      </c>
      <c r="B241" s="86">
        <f t="shared" si="103"/>
        <v>346736.85045253224</v>
      </c>
      <c r="C241" s="86" t="str">
        <f t="shared" si="104"/>
        <v>2178611.88422108j</v>
      </c>
      <c r="D241" s="86">
        <f t="shared" si="105"/>
        <v>-0.92362309538787657</v>
      </c>
      <c r="E241" s="86" t="str">
        <f t="shared" si="106"/>
        <v>-2.17861188422108j</v>
      </c>
      <c r="F241" s="86" t="str">
        <f t="shared" si="107"/>
        <v>-0.923623095387877-2.17861188422108j</v>
      </c>
      <c r="G241" s="86">
        <f t="shared" si="108"/>
        <v>7.4814377048508396</v>
      </c>
      <c r="H241" s="86">
        <f t="shared" si="109"/>
        <v>-112.97452929864215</v>
      </c>
      <c r="J241" s="86">
        <f t="shared" si="110"/>
        <v>17.283950617283953</v>
      </c>
      <c r="K241" s="86" t="str">
        <f t="shared" si="111"/>
        <v>1+26.3067385019695j</v>
      </c>
      <c r="L241" s="86">
        <f t="shared" si="112"/>
        <v>-140.5115386061411</v>
      </c>
      <c r="M241" s="86" t="str">
        <f t="shared" si="113"/>
        <v>5.86745904373863j</v>
      </c>
      <c r="N241" s="86" t="str">
        <f t="shared" si="114"/>
        <v>-140.511538606141+5.86745904373863j</v>
      </c>
      <c r="O241" s="86" t="str">
        <f t="shared" si="115"/>
        <v>0.00069988009044872-0.187191971884462j</v>
      </c>
      <c r="P241" s="86" t="str">
        <f t="shared" si="116"/>
        <v>0.0120966929213359-3.23541679800305j</v>
      </c>
      <c r="R241" s="86">
        <f t="shared" si="117"/>
        <v>6.9135802469135808</v>
      </c>
      <c r="S241" s="86" t="str">
        <f t="shared" si="118"/>
        <v>1+0.163395891316581j</v>
      </c>
      <c r="T241" s="86" t="str">
        <f t="shared" si="119"/>
        <v>-140.511538606141+5.86745904373863j</v>
      </c>
      <c r="U241" s="86" t="str">
        <f t="shared" si="120"/>
        <v>-0.00705599087422031-0.00145750755287162j</v>
      </c>
      <c r="V241" s="86" t="str">
        <f t="shared" si="121"/>
        <v>-0.048782159130412-0.0100765954272606j</v>
      </c>
      <c r="X241" s="86" t="str">
        <f t="shared" si="122"/>
        <v>-0.216486436798276+0.0908261092270587j</v>
      </c>
      <c r="Y241" s="86">
        <f t="shared" si="123"/>
        <v>-12.58724204105725</v>
      </c>
      <c r="Z241" s="86">
        <f t="shared" si="124"/>
        <v>-22.760310771566537</v>
      </c>
      <c r="AB241" s="86" t="str">
        <f t="shared" si="125"/>
        <v>-0.0168075245074463-0.00347181485228108j</v>
      </c>
      <c r="AC241" s="86">
        <f t="shared" si="126"/>
        <v>-35.308463127158923</v>
      </c>
      <c r="AD241" s="86">
        <f t="shared" si="127"/>
        <v>11.671048435840618</v>
      </c>
      <c r="AF241" s="86" t="str">
        <f t="shared" si="128"/>
        <v>-0.0216738873936457-0.00191861386846703j</v>
      </c>
      <c r="AG241" s="86">
        <f t="shared" si="129"/>
        <v>-33.247364520765842</v>
      </c>
      <c r="AH241" s="86">
        <f t="shared" si="130"/>
        <v>5.0587455690491652</v>
      </c>
      <c r="AJ241" s="86" t="str">
        <f t="shared" si="131"/>
        <v>4881.69538783695-4998.60020593175j</v>
      </c>
      <c r="AK241" s="86" t="str">
        <f t="shared" si="132"/>
        <v>20000-0.00087144475368843j</v>
      </c>
      <c r="AL241" s="86" t="str">
        <f t="shared" si="146"/>
        <v>10000-10200.1748834521j</v>
      </c>
      <c r="AM241" s="86" t="str">
        <f t="shared" si="147"/>
        <v>660.979345178739-3612.47348485341j</v>
      </c>
      <c r="AN241" s="86" t="str">
        <f t="shared" si="148"/>
        <v>10660.9793451787-3612.47348485341j</v>
      </c>
      <c r="AO241" s="86" t="str">
        <f t="shared" si="149"/>
        <v>7132.71976766427-1516.02175562875j</v>
      </c>
      <c r="AP241" s="86" t="str">
        <f t="shared" si="150"/>
        <v>0.772621755753562+0.155215591585348j</v>
      </c>
      <c r="AQ241" s="86" t="str">
        <f t="shared" si="133"/>
        <v>1+126.795211661667j</v>
      </c>
      <c r="AR241" s="86">
        <f t="shared" si="134"/>
        <v>-3.3147506598612199E-3</v>
      </c>
      <c r="AS241" s="86" t="str">
        <f t="shared" si="135"/>
        <v>0.0106050905022491j</v>
      </c>
      <c r="AT241" s="86" t="str">
        <f t="shared" si="136"/>
        <v>-0.00331475065986122+0.0106050905022491j</v>
      </c>
      <c r="AU241" s="86" t="str">
        <f t="shared" si="137"/>
        <v>1.62976914557676-0.523548417577813j</v>
      </c>
      <c r="AW241" s="86" t="str">
        <f t="shared" si="151"/>
        <v>0.317068838306099-0.69458390445406j</v>
      </c>
      <c r="AX241" s="86">
        <f t="shared" si="138"/>
        <v>-2.343467549117058</v>
      </c>
      <c r="AY241" s="86">
        <f t="shared" si="139"/>
        <v>114.53610286848297</v>
      </c>
      <c r="AZ241" s="86" t="str">
        <f t="shared" si="140"/>
        <v>-0.00774060898601626+0.0105734316945627j</v>
      </c>
      <c r="BA241" s="86">
        <f t="shared" si="141"/>
        <v>-37.651930676276002</v>
      </c>
      <c r="BB241" s="86">
        <f t="shared" si="142"/>
        <v>-53.792848695676369</v>
      </c>
      <c r="BD241" s="86" t="str">
        <f t="shared" si="143"/>
        <v>-0.00820475260937996+0.0144460006601432j</v>
      </c>
      <c r="BE241" s="86">
        <f t="shared" si="144"/>
        <v>-35.590832069882936</v>
      </c>
      <c r="BF241" s="86">
        <f t="shared" si="145"/>
        <v>-60.405151562467864</v>
      </c>
      <c r="BH241" s="86">
        <f t="shared" si="152"/>
        <v>36.590832069882936</v>
      </c>
      <c r="BI241" s="159">
        <f t="shared" si="153"/>
        <v>60.405151562467864</v>
      </c>
      <c r="BJ241" s="88"/>
      <c r="BK241" s="88"/>
      <c r="BL241" s="88"/>
      <c r="BM241" s="88"/>
      <c r="BN241" s="42"/>
      <c r="BO241" s="42"/>
      <c r="BP241" s="42"/>
    </row>
    <row r="242" spans="1:68" s="86" customFormat="1">
      <c r="A242" s="86">
        <v>178</v>
      </c>
      <c r="B242" s="86">
        <f t="shared" si="103"/>
        <v>363078.05477010191</v>
      </c>
      <c r="C242" s="86" t="str">
        <f t="shared" si="104"/>
        <v>2281286.69909085j</v>
      </c>
      <c r="D242" s="86">
        <f t="shared" si="105"/>
        <v>-1.1092107816902605</v>
      </c>
      <c r="E242" s="86" t="str">
        <f t="shared" si="106"/>
        <v>-2.28128669909085j</v>
      </c>
      <c r="F242" s="86" t="str">
        <f t="shared" si="107"/>
        <v>-1.10921078169026-2.28128669909085j</v>
      </c>
      <c r="G242" s="86">
        <f t="shared" si="108"/>
        <v>8.0852273992828909</v>
      </c>
      <c r="H242" s="86">
        <f t="shared" si="109"/>
        <v>-115.93002005608963</v>
      </c>
      <c r="J242" s="86">
        <f t="shared" si="110"/>
        <v>17.283950617283953</v>
      </c>
      <c r="K242" s="86" t="str">
        <f t="shared" si="111"/>
        <v>1+27.546536891522j</v>
      </c>
      <c r="L242" s="86">
        <f t="shared" si="112"/>
        <v>-154.16431658430767</v>
      </c>
      <c r="M242" s="86" t="str">
        <f t="shared" si="113"/>
        <v>6.14398386921814j</v>
      </c>
      <c r="N242" s="86" t="str">
        <f t="shared" si="114"/>
        <v>-154.164316584308+6.14398386921814j</v>
      </c>
      <c r="O242" s="86" t="str">
        <f t="shared" si="115"/>
        <v>0.000633545529576909-0.178657714108216j</v>
      </c>
      <c r="P242" s="86" t="str">
        <f t="shared" si="116"/>
        <v>0.0109501696470083-3.08791110804324j</v>
      </c>
      <c r="R242" s="86">
        <f t="shared" si="117"/>
        <v>6.9135802469135808</v>
      </c>
      <c r="S242" s="86" t="str">
        <f t="shared" si="118"/>
        <v>1+0.171096502431814j</v>
      </c>
      <c r="T242" s="86" t="str">
        <f t="shared" si="119"/>
        <v>-154.164316584308+6.14398386921814j</v>
      </c>
      <c r="U242" s="86" t="str">
        <f t="shared" si="120"/>
        <v>-0.00643213853831512-0.00136617514689671j</v>
      </c>
      <c r="V242" s="86" t="str">
        <f t="shared" si="121"/>
        <v>-0.044469105943907-0.00944516150940935j</v>
      </c>
      <c r="X242" s="86" t="str">
        <f t="shared" si="122"/>
        <v>-0.216384211708899+0.104263568000311j</v>
      </c>
      <c r="Y242" s="86">
        <f t="shared" si="123"/>
        <v>-12.388767367275417</v>
      </c>
      <c r="Z242" s="86">
        <f t="shared" si="124"/>
        <v>-25.726841967756457</v>
      </c>
      <c r="AB242" s="86" t="str">
        <f t="shared" si="125"/>
        <v>-0.0153214946058114-0.00325425906470829j</v>
      </c>
      <c r="AC242" s="86">
        <f t="shared" si="126"/>
        <v>-36.102344730912158</v>
      </c>
      <c r="AD242" s="86">
        <f t="shared" si="127"/>
        <v>11.991322740718886</v>
      </c>
      <c r="AF242" s="86" t="str">
        <f t="shared" si="128"/>
        <v>-0.0197551285835633-0.00152436805144781j</v>
      </c>
      <c r="AG242" s="86">
        <f t="shared" si="129"/>
        <v>-34.060620907021018</v>
      </c>
      <c r="AH242" s="86">
        <f t="shared" si="130"/>
        <v>4.4123796570130196</v>
      </c>
      <c r="AJ242" s="86" t="str">
        <f t="shared" si="131"/>
        <v>4651.97846024497-4987.87339533258j</v>
      </c>
      <c r="AK242" s="86" t="str">
        <f t="shared" si="132"/>
        <v>20000-0.000912514679636338j</v>
      </c>
      <c r="AL242" s="86" t="str">
        <f t="shared" si="146"/>
        <v>10000-9741.09138981891j</v>
      </c>
      <c r="AM242" s="86" t="str">
        <f t="shared" si="147"/>
        <v>641.560889813221-3477.3131527469j</v>
      </c>
      <c r="AN242" s="86" t="str">
        <f t="shared" si="148"/>
        <v>10641.5608898132-3477.3131527469j</v>
      </c>
      <c r="AO242" s="86" t="str">
        <f t="shared" si="149"/>
        <v>7111.8153792269-1462.59706804585j</v>
      </c>
      <c r="AP242" s="86" t="str">
        <f t="shared" si="150"/>
        <v>0.779387300114145+0.157694644421999j</v>
      </c>
      <c r="AQ242" s="86" t="str">
        <f t="shared" si="133"/>
        <v>1+132.770885887087j</v>
      </c>
      <c r="AR242" s="86">
        <f t="shared" si="134"/>
        <v>-3.6345614720086628E-3</v>
      </c>
      <c r="AS242" s="86" t="str">
        <f t="shared" si="135"/>
        <v>0.0111048930195684j</v>
      </c>
      <c r="AT242" s="86" t="str">
        <f t="shared" si="136"/>
        <v>-0.00363456147200866+0.0111048930195684j</v>
      </c>
      <c r="AU242" s="86" t="str">
        <f t="shared" si="137"/>
        <v>1.6158932947594-0.542379246823555j</v>
      </c>
      <c r="AW242" s="86" t="str">
        <f t="shared" si="151"/>
        <v>0.284125730967683-0.686601937092467j</v>
      </c>
      <c r="AX242" s="86">
        <f t="shared" si="138"/>
        <v>-2.5794319799084802</v>
      </c>
      <c r="AY242" s="86">
        <f t="shared" si="139"/>
        <v>112.48047352302278</v>
      </c>
      <c r="AZ242" s="86" t="str">
        <f t="shared" si="140"/>
        <v>-0.00658761143202301+0.00959514913998344j</v>
      </c>
      <c r="BA242" s="86">
        <f t="shared" si="141"/>
        <v>-38.681776710820635</v>
      </c>
      <c r="BB242" s="86">
        <f t="shared" si="142"/>
        <v>-55.528203736258305</v>
      </c>
      <c r="BD242" s="86" t="str">
        <f t="shared" si="143"/>
        <v>-0.00665957440613144+0.0131307973661039j</v>
      </c>
      <c r="BE242" s="86">
        <f t="shared" si="144"/>
        <v>-36.64005288692951</v>
      </c>
      <c r="BF242" s="86">
        <f t="shared" si="145"/>
        <v>-63.107146819964072</v>
      </c>
      <c r="BH242" s="86">
        <f t="shared" si="152"/>
        <v>37.64005288692951</v>
      </c>
      <c r="BI242" s="159">
        <f t="shared" si="153"/>
        <v>63.107146819964072</v>
      </c>
      <c r="BJ242" s="88"/>
      <c r="BK242" s="88"/>
      <c r="BL242" s="88"/>
      <c r="BM242" s="88"/>
      <c r="BN242" s="42"/>
      <c r="BO242" s="42"/>
      <c r="BP242" s="42"/>
    </row>
    <row r="243" spans="1:68" s="86" customFormat="1">
      <c r="A243" s="86">
        <v>179</v>
      </c>
      <c r="B243" s="86">
        <f t="shared" si="103"/>
        <v>380189.3963205617</v>
      </c>
      <c r="C243" s="86" t="str">
        <f t="shared" si="104"/>
        <v>2388800.42890683j</v>
      </c>
      <c r="D243" s="86">
        <f t="shared" si="105"/>
        <v>-1.3127036331934923</v>
      </c>
      <c r="E243" s="86" t="str">
        <f t="shared" si="106"/>
        <v>-2.38880042890683j</v>
      </c>
      <c r="F243" s="86" t="str">
        <f t="shared" si="107"/>
        <v>-1.31270363319349-2.38880042890683j</v>
      </c>
      <c r="G243" s="86">
        <f t="shared" si="108"/>
        <v>8.7096299601254739</v>
      </c>
      <c r="H243" s="86">
        <f t="shared" si="109"/>
        <v>-118.78985932150525</v>
      </c>
      <c r="J243" s="86">
        <f t="shared" si="110"/>
        <v>17.283950617283953</v>
      </c>
      <c r="K243" s="86" t="str">
        <f t="shared" si="111"/>
        <v>1+28.84476517905j</v>
      </c>
      <c r="L243" s="86">
        <f t="shared" si="112"/>
        <v>-169.13428995415163</v>
      </c>
      <c r="M243" s="86" t="str">
        <f t="shared" si="113"/>
        <v>6.43354090822253j</v>
      </c>
      <c r="N243" s="86" t="str">
        <f t="shared" si="114"/>
        <v>-169.134289954152+6.43354090822253j</v>
      </c>
      <c r="O243" s="86" t="str">
        <f t="shared" si="115"/>
        <v>0.000573855154030388-0.170521739064617j</v>
      </c>
      <c r="P243" s="86" t="str">
        <f t="shared" si="116"/>
        <v>0.0099184841437351-2.94728931716622j</v>
      </c>
      <c r="R243" s="86">
        <f t="shared" si="117"/>
        <v>6.9135802469135808</v>
      </c>
      <c r="S243" s="86" t="str">
        <f t="shared" si="118"/>
        <v>1+0.179160032168012j</v>
      </c>
      <c r="T243" s="86" t="str">
        <f t="shared" si="119"/>
        <v>-169.134289954152+6.43354090822253j</v>
      </c>
      <c r="U243" s="86" t="str">
        <f t="shared" si="120"/>
        <v>-0.00586368466096336-0.00128232002727554j</v>
      </c>
      <c r="V243" s="86" t="str">
        <f t="shared" si="121"/>
        <v>-0.0405390544461664-0.00886542241079386j</v>
      </c>
      <c r="X243" s="86" t="str">
        <f t="shared" si="122"/>
        <v>-0.216290668187227+0.11791102063225j</v>
      </c>
      <c r="Y243" s="86">
        <f t="shared" si="123"/>
        <v>-12.169210631305624</v>
      </c>
      <c r="Z243" s="86">
        <f t="shared" si="124"/>
        <v>-28.597043118498107</v>
      </c>
      <c r="AB243" s="86" t="str">
        <f t="shared" si="125"/>
        <v>-0.0139674250434697-0.00305451433668476j</v>
      </c>
      <c r="AC243" s="86">
        <f t="shared" si="126"/>
        <v>-36.894786977054899</v>
      </c>
      <c r="AD243" s="86">
        <f t="shared" si="127"/>
        <v>12.335720955264492</v>
      </c>
      <c r="AF243" s="86" t="str">
        <f t="shared" si="128"/>
        <v>-0.018001118272875-0.00118919613532288j</v>
      </c>
      <c r="AG243" s="86">
        <f t="shared" si="129"/>
        <v>-34.875097905319691</v>
      </c>
      <c r="AH243" s="86">
        <f t="shared" si="130"/>
        <v>3.7796017402560267</v>
      </c>
      <c r="AJ243" s="86" t="str">
        <f t="shared" si="131"/>
        <v>4423.72846153601-4966.68008975375j</v>
      </c>
      <c r="AK243" s="86" t="str">
        <f t="shared" si="132"/>
        <v>20000-0.00095552017156273j</v>
      </c>
      <c r="AL243" s="86" t="str">
        <f t="shared" si="146"/>
        <v>10000-9302.67005703431j</v>
      </c>
      <c r="AM243" s="86" t="str">
        <f t="shared" si="147"/>
        <v>621.539441699908-3347.81495439813j</v>
      </c>
      <c r="AN243" s="86" t="str">
        <f t="shared" si="148"/>
        <v>10621.5394416999-3347.81495439813j</v>
      </c>
      <c r="AO243" s="86" t="str">
        <f t="shared" si="149"/>
        <v>7091.59075375631-1411.2604941786j</v>
      </c>
      <c r="AP243" s="86" t="str">
        <f t="shared" si="150"/>
        <v>0.786357441769713+0.159909477026749j</v>
      </c>
      <c r="AQ243" s="86" t="str">
        <f t="shared" si="133"/>
        <v>1+139.028184962378j</v>
      </c>
      <c r="AR243" s="86">
        <f t="shared" si="134"/>
        <v>-3.9852270544191888E-3</v>
      </c>
      <c r="AS243" s="86" t="str">
        <f t="shared" si="135"/>
        <v>0.0116282505038412j</v>
      </c>
      <c r="AT243" s="86" t="str">
        <f t="shared" si="136"/>
        <v>-0.00398522705441919+0.0116282505038412j</v>
      </c>
      <c r="AU243" s="86" t="str">
        <f t="shared" si="137"/>
        <v>1.60094778790657-0.561575486778576j</v>
      </c>
      <c r="AW243" s="86" t="str">
        <f t="shared" si="151"/>
        <v>0.251614202142601-0.677061050651688j</v>
      </c>
      <c r="AX243" s="86">
        <f t="shared" si="138"/>
        <v>-2.8256137144590268</v>
      </c>
      <c r="AY243" s="86">
        <f t="shared" si="139"/>
        <v>110.38642797191915</v>
      </c>
      <c r="AZ243" s="86" t="str">
        <f t="shared" si="140"/>
        <v>-0.00558249519432564+0.00868824028707221j</v>
      </c>
      <c r="BA243" s="86">
        <f t="shared" si="141"/>
        <v>-39.72040069151393</v>
      </c>
      <c r="BB243" s="86">
        <f t="shared" si="142"/>
        <v>-57.277851072816333</v>
      </c>
      <c r="BD243" s="86" t="str">
        <f t="shared" si="143"/>
        <v>-0.00533449539671667+0.0118886374139577j</v>
      </c>
      <c r="BE243" s="86">
        <f t="shared" si="144"/>
        <v>-37.700711619778737</v>
      </c>
      <c r="BF243" s="86">
        <f t="shared" si="145"/>
        <v>-65.833970287824812</v>
      </c>
      <c r="BH243" s="86">
        <f t="shared" si="152"/>
        <v>38.700711619778737</v>
      </c>
      <c r="BI243" s="159">
        <f t="shared" si="153"/>
        <v>65.833970287824812</v>
      </c>
      <c r="BJ243" s="88"/>
      <c r="BK243" s="88"/>
      <c r="BL243" s="88"/>
      <c r="BM243" s="88"/>
      <c r="BN243" s="42"/>
      <c r="BO243" s="42"/>
      <c r="BP243" s="42"/>
    </row>
    <row r="244" spans="1:68" s="86" customFormat="1">
      <c r="A244" s="86">
        <v>180</v>
      </c>
      <c r="B244" s="86">
        <f t="shared" si="103"/>
        <v>398107.17055349768</v>
      </c>
      <c r="C244" s="86" t="str">
        <f t="shared" si="104"/>
        <v>2501381.12470457j</v>
      </c>
      <c r="D244" s="86">
        <f t="shared" si="105"/>
        <v>-1.5358291079377788</v>
      </c>
      <c r="E244" s="86" t="str">
        <f t="shared" si="106"/>
        <v>-2.50138112470457j</v>
      </c>
      <c r="F244" s="86" t="str">
        <f t="shared" si="107"/>
        <v>-1.53582910793778-2.50138112470457j</v>
      </c>
      <c r="G244" s="86">
        <f t="shared" si="108"/>
        <v>9.3528948861681389</v>
      </c>
      <c r="H244" s="86">
        <f t="shared" si="109"/>
        <v>-121.54961056013583</v>
      </c>
      <c r="J244" s="86">
        <f t="shared" si="110"/>
        <v>17.283950617283953</v>
      </c>
      <c r="K244" s="86" t="str">
        <f t="shared" si="111"/>
        <v>1+30.2041770808077j</v>
      </c>
      <c r="L244" s="86">
        <f t="shared" si="112"/>
        <v>-185.54853935102889</v>
      </c>
      <c r="M244" s="86" t="str">
        <f t="shared" si="113"/>
        <v>6.73674435005311j</v>
      </c>
      <c r="N244" s="86" t="str">
        <f t="shared" si="114"/>
        <v>-185.548539351029+6.73674435005311j</v>
      </c>
      <c r="O244" s="86" t="str">
        <f t="shared" si="115"/>
        <v>0.000520086587093213-0.162764274491515j</v>
      </c>
      <c r="P244" s="86" t="str">
        <f t="shared" si="116"/>
        <v>0.00898915088803084-2.8132096825694j</v>
      </c>
      <c r="R244" s="86">
        <f t="shared" si="117"/>
        <v>6.9135802469135808</v>
      </c>
      <c r="S244" s="86" t="str">
        <f t="shared" si="118"/>
        <v>1+0.187603584352843j</v>
      </c>
      <c r="T244" s="86" t="str">
        <f t="shared" si="119"/>
        <v>-185.548539351029+6.73674435005311j</v>
      </c>
      <c r="U244" s="86" t="str">
        <f t="shared" si="120"/>
        <v>-0.00534566931779154-0.00120516169358618j</v>
      </c>
      <c r="V244" s="86" t="str">
        <f t="shared" si="121"/>
        <v>-0.0369577138020156-0.00833198207911433j</v>
      </c>
      <c r="X244" s="86" t="str">
        <f t="shared" si="122"/>
        <v>-0.216205095971272+0.13179886928504j</v>
      </c>
      <c r="Y244" s="86">
        <f t="shared" si="123"/>
        <v>-11.930363876366352</v>
      </c>
      <c r="Z244" s="86">
        <f t="shared" si="124"/>
        <v>-31.366531901759117</v>
      </c>
      <c r="AB244" s="86" t="str">
        <f t="shared" si="125"/>
        <v>-0.0127335011721388-0.00287072149914358j</v>
      </c>
      <c r="AC244" s="86">
        <f t="shared" si="126"/>
        <v>-37.685734995648886</v>
      </c>
      <c r="AD244" s="86">
        <f t="shared" si="127"/>
        <v>12.704723425044619</v>
      </c>
      <c r="AF244" s="86" t="str">
        <f t="shared" si="128"/>
        <v>-0.0163981680114556-0.000905162170921201j</v>
      </c>
      <c r="AG244" s="86">
        <f t="shared" si="129"/>
        <v>-35.690880844989508</v>
      </c>
      <c r="AH244" s="86">
        <f t="shared" si="130"/>
        <v>3.1594623859466822</v>
      </c>
      <c r="AJ244" s="86" t="str">
        <f t="shared" si="131"/>
        <v>4197.88692261551-4935.24210258106j</v>
      </c>
      <c r="AK244" s="86" t="str">
        <f t="shared" si="132"/>
        <v>20000-0.00100055244988183j</v>
      </c>
      <c r="AL244" s="86" t="str">
        <f t="shared" si="146"/>
        <v>10000-8883.98093467134j</v>
      </c>
      <c r="AM244" s="86" t="str">
        <f t="shared" si="147"/>
        <v>600.975133342112-3223.62893471279j</v>
      </c>
      <c r="AN244" s="86" t="str">
        <f t="shared" si="148"/>
        <v>10600.9751333421-3223.62893471279j</v>
      </c>
      <c r="AO244" s="86" t="str">
        <f t="shared" si="149"/>
        <v>7071.98784319344-1361.88854787601j</v>
      </c>
      <c r="AP244" s="86" t="str">
        <f t="shared" si="150"/>
        <v>0.793510775471011+0.161839238024247j</v>
      </c>
      <c r="AQ244" s="86" t="str">
        <f t="shared" si="133"/>
        <v>1+145.580381457806j</v>
      </c>
      <c r="AR244" s="86">
        <f t="shared" si="134"/>
        <v>-4.3697242196701642E-3</v>
      </c>
      <c r="AS244" s="86" t="str">
        <f t="shared" si="135"/>
        <v>0.0121762730664594j</v>
      </c>
      <c r="AT244" s="86" t="str">
        <f t="shared" si="136"/>
        <v>-0.00436972421967016+0.0121762730664594j</v>
      </c>
      <c r="AU244" s="86" t="str">
        <f t="shared" si="137"/>
        <v>1.58487493669291-0.581086376545317j</v>
      </c>
      <c r="AW244" s="86" t="str">
        <f t="shared" si="151"/>
        <v>0.219662339682184-0.66597920017146j</v>
      </c>
      <c r="AX244" s="86">
        <f t="shared" si="138"/>
        <v>-3.0822927997344749</v>
      </c>
      <c r="AY244" s="86">
        <f t="shared" si="139"/>
        <v>108.25429354187834</v>
      </c>
      <c r="AZ244" s="86" t="str">
        <f t="shared" si="140"/>
        <v>-0.00470891146773249+0.00784965752492551j</v>
      </c>
      <c r="BA244" s="86">
        <f t="shared" si="141"/>
        <v>-40.768027795383368</v>
      </c>
      <c r="BB244" s="86">
        <f t="shared" si="142"/>
        <v>-59.04098303307704</v>
      </c>
      <c r="BD244" s="86" t="str">
        <f t="shared" si="143"/>
        <v>-0.00420487913051344+0.0107220087762901j</v>
      </c>
      <c r="BE244" s="86">
        <f t="shared" si="144"/>
        <v>-38.773173644723961</v>
      </c>
      <c r="BF244" s="86">
        <f t="shared" si="145"/>
        <v>-68.586244072175063</v>
      </c>
      <c r="BH244" s="86">
        <f t="shared" si="152"/>
        <v>39.773173644723961</v>
      </c>
      <c r="BI244" s="159">
        <f t="shared" si="153"/>
        <v>68.586244072175063</v>
      </c>
      <c r="BJ244" s="88"/>
      <c r="BK244" s="88"/>
      <c r="BL244" s="88"/>
      <c r="BM244" s="88"/>
      <c r="BN244" s="42"/>
      <c r="BO244" s="42"/>
      <c r="BP244" s="42"/>
    </row>
    <row r="245" spans="1:68" s="86" customFormat="1">
      <c r="A245" s="86">
        <v>181</v>
      </c>
      <c r="B245" s="86">
        <f t="shared" si="103"/>
        <v>416869.38347033586</v>
      </c>
      <c r="C245" s="86" t="str">
        <f t="shared" si="104"/>
        <v>2619267.58523383j</v>
      </c>
      <c r="D245" s="86">
        <f t="shared" si="105"/>
        <v>-1.780481325999014</v>
      </c>
      <c r="E245" s="86" t="str">
        <f t="shared" si="106"/>
        <v>-2.61926758523383j</v>
      </c>
      <c r="F245" s="86" t="str">
        <f t="shared" si="107"/>
        <v>-1.78048132599901-2.61926758523383j</v>
      </c>
      <c r="G245" s="86">
        <f t="shared" si="108"/>
        <v>10.013302213760664</v>
      </c>
      <c r="H245" s="86">
        <f t="shared" si="109"/>
        <v>-124.20641763136693</v>
      </c>
      <c r="J245" s="86">
        <f t="shared" si="110"/>
        <v>17.283950617283953</v>
      </c>
      <c r="K245" s="86" t="str">
        <f t="shared" si="111"/>
        <v>1+31.6276560916985j</v>
      </c>
      <c r="L245" s="86">
        <f t="shared" si="112"/>
        <v>-203.54640592076333</v>
      </c>
      <c r="M245" s="86" t="str">
        <f t="shared" si="113"/>
        <v>7.05423732986123j</v>
      </c>
      <c r="N245" s="86" t="str">
        <f t="shared" si="114"/>
        <v>-203.546405920763+7.05423732986123j</v>
      </c>
      <c r="O245" s="86" t="str">
        <f t="shared" si="115"/>
        <v>0.000471604655871541-0.155366679836346j</v>
      </c>
      <c r="P245" s="86" t="str">
        <f t="shared" si="116"/>
        <v>0.00815119158296491-2.68535002186277j</v>
      </c>
      <c r="R245" s="86">
        <f t="shared" si="117"/>
        <v>6.9135802469135808</v>
      </c>
      <c r="S245" s="86" t="str">
        <f t="shared" si="118"/>
        <v>1+0.196445068892537j</v>
      </c>
      <c r="T245" s="86" t="str">
        <f t="shared" si="119"/>
        <v>-203.546405920763+7.05423732986123j</v>
      </c>
      <c r="U245" s="86" t="str">
        <f t="shared" si="120"/>
        <v>-0.00487358345287675-0.00113401404545492j</v>
      </c>
      <c r="V245" s="86" t="str">
        <f t="shared" si="121"/>
        <v>-0.0336939102914936-0.00784009710437969j</v>
      </c>
      <c r="X245" s="86" t="str">
        <f t="shared" si="122"/>
        <v>-0.216126838043912+0.145957835586585j</v>
      </c>
      <c r="Y245" s="86">
        <f t="shared" si="123"/>
        <v>-11.673984909440518</v>
      </c>
      <c r="Z245" s="86">
        <f t="shared" si="124"/>
        <v>-34.032500846762957</v>
      </c>
      <c r="AB245" s="86" t="str">
        <f t="shared" si="125"/>
        <v>-0.0116089823220416-0.00270124624599631j</v>
      </c>
      <c r="AC245" s="86">
        <f t="shared" si="126"/>
        <v>-38.475122873208079</v>
      </c>
      <c r="AD245" s="86">
        <f t="shared" si="127"/>
        <v>13.098836232062212</v>
      </c>
      <c r="AF245" s="86" t="str">
        <f t="shared" si="128"/>
        <v>-0.014933662754671-0.00066536421739841j</v>
      </c>
      <c r="AG245" s="86">
        <f t="shared" si="129"/>
        <v>-36.508060500787451</v>
      </c>
      <c r="AH245" s="86">
        <f t="shared" si="130"/>
        <v>2.5511065975332485</v>
      </c>
      <c r="AJ245" s="86" t="str">
        <f t="shared" si="131"/>
        <v>3975.35550438237-4893.88431183252j</v>
      </c>
      <c r="AK245" s="86" t="str">
        <f t="shared" si="132"/>
        <v>19999.9999999999-0.00104770703409353j</v>
      </c>
      <c r="AL245" s="86" t="str">
        <f t="shared" si="146"/>
        <v>10000-8484.13592696694j</v>
      </c>
      <c r="AM245" s="86" t="str">
        <f t="shared" si="147"/>
        <v>579.936110479223-3104.42393254709j</v>
      </c>
      <c r="AN245" s="86" t="str">
        <f t="shared" si="148"/>
        <v>10579.9361104792-3104.42393254709j</v>
      </c>
      <c r="AO245" s="86" t="str">
        <f t="shared" si="149"/>
        <v>7052.95970367645-1314.36198236604j</v>
      </c>
      <c r="AP245" s="86" t="str">
        <f t="shared" si="150"/>
        <v>0.800823168593727+0.163465177062235j</v>
      </c>
      <c r="AQ245" s="86" t="str">
        <f t="shared" si="133"/>
        <v>1+152.441373460609j</v>
      </c>
      <c r="AR245" s="86">
        <f t="shared" si="134"/>
        <v>-4.7913169778467709E-3</v>
      </c>
      <c r="AS245" s="86" t="str">
        <f t="shared" si="135"/>
        <v>0.0127501231367529j</v>
      </c>
      <c r="AT245" s="86" t="str">
        <f t="shared" si="136"/>
        <v>-0.00479131697784677+0.0127501231367529j</v>
      </c>
      <c r="AU245" s="86" t="str">
        <f t="shared" si="137"/>
        <v>1.5676183043353-0.600853506603558j</v>
      </c>
      <c r="AW245" s="86" t="str">
        <f t="shared" si="151"/>
        <v>0.188398498976872-0.653385536874439j</v>
      </c>
      <c r="AX245" s="86">
        <f t="shared" si="138"/>
        <v>-3.3497592487432692</v>
      </c>
      <c r="AY245" s="86">
        <f t="shared" si="139"/>
        <v>106.08449375522424</v>
      </c>
      <c r="AZ245" s="86" t="str">
        <f t="shared" si="140"/>
        <v>-0.00395207007279205+0.00707623040894042j</v>
      </c>
      <c r="BA245" s="86">
        <f t="shared" si="141"/>
        <v>-41.824882121951333</v>
      </c>
      <c r="BB245" s="86">
        <f t="shared" si="142"/>
        <v>-60.816670012713516</v>
      </c>
      <c r="BD245" s="86" t="str">
        <f t="shared" si="143"/>
        <v>-0.00324821900360875+0.00963208563663177j</v>
      </c>
      <c r="BE245" s="86">
        <f t="shared" si="144"/>
        <v>-39.857819749530698</v>
      </c>
      <c r="BF245" s="86">
        <f t="shared" si="145"/>
        <v>-71.364399647242479</v>
      </c>
      <c r="BH245" s="86">
        <f t="shared" si="152"/>
        <v>40.857819749530698</v>
      </c>
      <c r="BI245" s="159">
        <f t="shared" si="153"/>
        <v>71.364399647242479</v>
      </c>
      <c r="BJ245" s="88"/>
      <c r="BK245" s="88"/>
      <c r="BL245" s="88"/>
      <c r="BM245" s="88"/>
      <c r="BN245" s="42"/>
      <c r="BO245" s="42"/>
      <c r="BP245" s="42"/>
    </row>
    <row r="246" spans="1:68" s="86" customFormat="1">
      <c r="A246" s="86">
        <v>182</v>
      </c>
      <c r="B246" s="86">
        <f t="shared" si="103"/>
        <v>436515.83224016632</v>
      </c>
      <c r="C246" s="86" t="str">
        <f t="shared" si="104"/>
        <v>2742709.86348268j</v>
      </c>
      <c r="D246" s="86">
        <f t="shared" si="105"/>
        <v>-2.0487371487411954</v>
      </c>
      <c r="E246" s="86" t="str">
        <f t="shared" si="106"/>
        <v>-2.74270986348268j</v>
      </c>
      <c r="F246" s="86" t="str">
        <f t="shared" si="107"/>
        <v>-2.0487371487412-2.74270986348268j</v>
      </c>
      <c r="G246" s="86">
        <f t="shared" si="108"/>
        <v>10.689195074890145</v>
      </c>
      <c r="H246" s="86">
        <f t="shared" si="109"/>
        <v>-126.75883128102217</v>
      </c>
      <c r="J246" s="86">
        <f t="shared" si="110"/>
        <v>17.283950617283953</v>
      </c>
      <c r="K246" s="86" t="str">
        <f t="shared" si="111"/>
        <v>1+33.1182216015534j</v>
      </c>
      <c r="L246" s="86">
        <f t="shared" si="112"/>
        <v>-223.2806741915692</v>
      </c>
      <c r="M246" s="86" t="str">
        <f t="shared" si="113"/>
        <v>7.38669329282403j</v>
      </c>
      <c r="N246" s="86" t="str">
        <f t="shared" si="114"/>
        <v>-223.280674191569+7.38669329282403j</v>
      </c>
      <c r="O246" s="86" t="str">
        <f t="shared" si="115"/>
        <v>0.000427849627088916-0.148311363388176j</v>
      </c>
      <c r="P246" s="86" t="str">
        <f t="shared" si="116"/>
        <v>0.00739493182622818-2.56340628078329j</v>
      </c>
      <c r="R246" s="86">
        <f t="shared" si="117"/>
        <v>6.9135802469135808</v>
      </c>
      <c r="S246" s="86" t="str">
        <f t="shared" si="118"/>
        <v>1+0.205703239761201j</v>
      </c>
      <c r="T246" s="86" t="str">
        <f t="shared" si="119"/>
        <v>-223.280674191569+7.38669329282403j</v>
      </c>
      <c r="U246" s="86" t="str">
        <f t="shared" si="120"/>
        <v>-0.00444332675927482-0.00106827307197717j</v>
      </c>
      <c r="V246" s="86" t="str">
        <f t="shared" si="121"/>
        <v>-0.0307192961135049-0.00738559160873105j</v>
      </c>
      <c r="X246" s="86" t="str">
        <f t="shared" si="122"/>
        <v>-0.216055287560181+0.160419050952485j</v>
      </c>
      <c r="Y246" s="86">
        <f t="shared" si="123"/>
        <v>-11.401765075958579</v>
      </c>
      <c r="Z246" s="86">
        <f t="shared" si="124"/>
        <v>-36.593544486159828</v>
      </c>
      <c r="AB246" s="86" t="str">
        <f t="shared" si="125"/>
        <v>-0.0105841014724038-0.00254464981006445j</v>
      </c>
      <c r="AC246" s="86">
        <f t="shared" si="126"/>
        <v>-39.262873426724695</v>
      </c>
      <c r="AD246" s="86">
        <f t="shared" si="127"/>
        <v>13.518587767695436</v>
      </c>
      <c r="AF246" s="86" t="str">
        <f t="shared" si="128"/>
        <v>-0.0135959893233882-0.000463800699560569j</v>
      </c>
      <c r="AG246" s="86">
        <f t="shared" si="129"/>
        <v>-37.326732754474961</v>
      </c>
      <c r="AH246" s="86">
        <f t="shared" si="130"/>
        <v>1.9537763078865851</v>
      </c>
      <c r="AJ246" s="86" t="str">
        <f t="shared" si="131"/>
        <v>3756.98210900455-4843.02658702853j</v>
      </c>
      <c r="AK246" s="86" t="str">
        <f t="shared" si="132"/>
        <v>19999.9999999999-0.00109708394539307j</v>
      </c>
      <c r="AL246" s="86" t="str">
        <f t="shared" si="146"/>
        <v>10000-8102.2869090515j</v>
      </c>
      <c r="AM246" s="86" t="str">
        <f t="shared" si="147"/>
        <v>558.497801259798-2989.8882426104j</v>
      </c>
      <c r="AN246" s="86" t="str">
        <f t="shared" si="148"/>
        <v>10558.4978012598-2989.8882426104j</v>
      </c>
      <c r="AO246" s="86" t="str">
        <f t="shared" si="149"/>
        <v>7034.46969086208-1268.56662748182j</v>
      </c>
      <c r="AP246" s="86" t="str">
        <f t="shared" si="150"/>
        <v>0.808268030858711+0.164771069599123j</v>
      </c>
      <c r="AQ246" s="86" t="str">
        <f t="shared" si="133"/>
        <v>1+159.625714054692j</v>
      </c>
      <c r="AR246" s="86">
        <f t="shared" si="134"/>
        <v>-5.2535842448392326E-3</v>
      </c>
      <c r="AS246" s="86" t="str">
        <f t="shared" si="135"/>
        <v>0.0133510179276583j</v>
      </c>
      <c r="AT246" s="86" t="str">
        <f t="shared" si="136"/>
        <v>-0.00525358424483923+0.0133510179276583j</v>
      </c>
      <c r="AU246" s="86" t="str">
        <f t="shared" si="137"/>
        <v>1.54912361273332-0.620810446819466j</v>
      </c>
      <c r="AW246" s="86" t="str">
        <f t="shared" si="151"/>
        <v>0.157950289829369-0.639320870642766j</v>
      </c>
      <c r="AX246" s="86">
        <f t="shared" si="138"/>
        <v>-3.6283113678256851</v>
      </c>
      <c r="AY246" s="86">
        <f t="shared" si="139"/>
        <v>103.87756592606422</v>
      </c>
      <c r="AZ246" s="86" t="str">
        <f t="shared" si="140"/>
        <v>-0.00329860962720099+0.00636470879329468j</v>
      </c>
      <c r="BA246" s="86">
        <f t="shared" si="141"/>
        <v>-42.891184794550348</v>
      </c>
      <c r="BB246" s="86">
        <f t="shared" si="142"/>
        <v>-62.603846306240413</v>
      </c>
      <c r="BD246" s="86" t="str">
        <f t="shared" si="143"/>
        <v>-0.00244400792119396+0.00861894227655967j</v>
      </c>
      <c r="BE246" s="86">
        <f t="shared" si="144"/>
        <v>-40.95504412230062</v>
      </c>
      <c r="BF246" s="86">
        <f t="shared" si="145"/>
        <v>-74.168657766049265</v>
      </c>
      <c r="BH246" s="86">
        <f t="shared" si="152"/>
        <v>41.95504412230062</v>
      </c>
      <c r="BI246" s="159">
        <f t="shared" si="153"/>
        <v>74.168657766049265</v>
      </c>
      <c r="BJ246" s="88"/>
      <c r="BK246" s="88"/>
      <c r="BL246" s="88"/>
      <c r="BM246" s="88"/>
      <c r="BN246" s="42"/>
      <c r="BO246" s="42"/>
      <c r="BP246" s="42"/>
    </row>
    <row r="247" spans="1:68" s="86" customFormat="1">
      <c r="A247" s="86">
        <v>183</v>
      </c>
      <c r="B247" s="86">
        <f t="shared" si="103"/>
        <v>457088.1896148753</v>
      </c>
      <c r="C247" s="86" t="str">
        <f t="shared" si="104"/>
        <v>2871969.7970735j</v>
      </c>
      <c r="D247" s="86">
        <f t="shared" si="105"/>
        <v>-2.3428738093664645</v>
      </c>
      <c r="E247" s="86" t="str">
        <f t="shared" si="106"/>
        <v>-2.8719697970735j</v>
      </c>
      <c r="F247" s="86" t="str">
        <f t="shared" si="107"/>
        <v>-2.34287380936646-2.8719697970735j</v>
      </c>
      <c r="G247" s="86">
        <f t="shared" si="108"/>
        <v>11.379003773531212</v>
      </c>
      <c r="H247" s="86">
        <f t="shared" si="109"/>
        <v>-129.20661752415549</v>
      </c>
      <c r="J247" s="86">
        <f t="shared" si="110"/>
        <v>17.283950617283953</v>
      </c>
      <c r="K247" s="86" t="str">
        <f t="shared" si="111"/>
        <v>1+34.6790352996625j</v>
      </c>
      <c r="L247" s="86">
        <f t="shared" si="112"/>
        <v>-244.91886906734928</v>
      </c>
      <c r="M247" s="86" t="str">
        <f t="shared" si="113"/>
        <v>7.73481742261215j</v>
      </c>
      <c r="N247" s="86" t="str">
        <f t="shared" si="114"/>
        <v>-244.918869067349+7.73481742261215j</v>
      </c>
      <c r="O247" s="86" t="str">
        <f t="shared" si="115"/>
        <v>0.000388327194093381-0.141581707410957j</v>
      </c>
      <c r="P247" s="86" t="str">
        <f t="shared" si="116"/>
        <v>0.00671182804605844-2.44709123920173j</v>
      </c>
      <c r="R247" s="86">
        <f t="shared" si="117"/>
        <v>6.9135802469135808</v>
      </c>
      <c r="S247" s="86" t="str">
        <f t="shared" si="118"/>
        <v>1+0.215397734780512j</v>
      </c>
      <c r="T247" s="86" t="str">
        <f t="shared" si="119"/>
        <v>-244.918869067349+7.73481742261215j</v>
      </c>
      <c r="U247" s="86" t="str">
        <f t="shared" si="120"/>
        <v>-0.00405116968153478-0.00100740622212884j</v>
      </c>
      <c r="V247" s="86" t="str">
        <f t="shared" si="121"/>
        <v>-0.028008086687154-0.00696478375792778j</v>
      </c>
      <c r="X247" s="86" t="str">
        <f t="shared" si="122"/>
        <v>-0.215989884759965+0.175214144410203j</v>
      </c>
      <c r="Y247" s="86">
        <f t="shared" si="123"/>
        <v>-11.115305485696474</v>
      </c>
      <c r="Z247" s="86">
        <f t="shared" si="124"/>
        <v>-39.049468313952275</v>
      </c>
      <c r="AB247" s="86" t="str">
        <f t="shared" si="125"/>
        <v>-0.0096499747406126-0.00239966364316696j</v>
      </c>
      <c r="AC247" s="86">
        <f t="shared" si="126"/>
        <v>-40.048897937719843</v>
      </c>
      <c r="AD247" s="86">
        <f t="shared" si="127"/>
        <v>13.96452495912871</v>
      </c>
      <c r="AF247" s="86" t="str">
        <f t="shared" si="128"/>
        <v>-0.0123744671098741-0.000295253813029324j</v>
      </c>
      <c r="AG247" s="86">
        <f t="shared" si="129"/>
        <v>-38.146998169266503</v>
      </c>
      <c r="AH247" s="86">
        <f t="shared" si="130"/>
        <v>1.366813463302293</v>
      </c>
      <c r="AJ247" s="86" t="str">
        <f t="shared" si="131"/>
        <v>3543.54881168357-4783.17362595711j</v>
      </c>
      <c r="AK247" s="86" t="str">
        <f t="shared" si="132"/>
        <v>19999.9999999999-0.0011487879188294j</v>
      </c>
      <c r="AL247" s="86" t="str">
        <f t="shared" si="146"/>
        <v>9999.99999999992-7737.62392796272j</v>
      </c>
      <c r="AM247" s="86" t="str">
        <f t="shared" si="147"/>
        <v>536.741957802302-2879.73019228749j</v>
      </c>
      <c r="AN247" s="86" t="str">
        <f t="shared" si="148"/>
        <v>10536.7419578023-2879.73019228749j</v>
      </c>
      <c r="AO247" s="86" t="str">
        <f t="shared" si="149"/>
        <v>7016.49057208271-1224.39414778143j</v>
      </c>
      <c r="AP247" s="86" t="str">
        <f t="shared" si="150"/>
        <v>0.815816661660158+0.165743599628667j</v>
      </c>
      <c r="AQ247" s="86" t="str">
        <f t="shared" si="133"/>
        <v>1+167.148642189678j</v>
      </c>
      <c r="AR247" s="86">
        <f t="shared" si="134"/>
        <v>-5.7604502238871955E-3</v>
      </c>
      <c r="AS247" s="86" t="str">
        <f t="shared" si="135"/>
        <v>0.0139802320175903j</v>
      </c>
      <c r="AT247" s="86" t="str">
        <f t="shared" si="136"/>
        <v>-0.0057604502238872+0.0139802320175903j</v>
      </c>
      <c r="AU247" s="86" t="str">
        <f t="shared" si="137"/>
        <v>1.52933976662734-0.640882468173258j</v>
      </c>
      <c r="AW247" s="86" t="str">
        <f t="shared" si="151"/>
        <v>0.128443406760894-0.623838060541738j</v>
      </c>
      <c r="AX247" s="86">
        <f t="shared" si="138"/>
        <v>-3.9182535808753691</v>
      </c>
      <c r="AY247" s="86">
        <f t="shared" si="139"/>
        <v>101.63417666301501</v>
      </c>
      <c r="AZ247" s="86" t="str">
        <f t="shared" si="140"/>
        <v>-0.00273647714394665+0.0057118005530519j</v>
      </c>
      <c r="BA247" s="86">
        <f t="shared" si="141"/>
        <v>-43.967151518595209</v>
      </c>
      <c r="BB247" s="86">
        <f t="shared" si="142"/>
        <v>-64.401298377856321</v>
      </c>
      <c r="BD247" s="86" t="str">
        <f t="shared" si="143"/>
        <v>-0.00177360927853062+0.00768174015645672j</v>
      </c>
      <c r="BE247" s="86">
        <f t="shared" si="144"/>
        <v>-42.065251750141918</v>
      </c>
      <c r="BF247" s="86">
        <f t="shared" si="145"/>
        <v>-76.999009873682709</v>
      </c>
      <c r="BH247" s="86">
        <f t="shared" si="152"/>
        <v>43.065251750141918</v>
      </c>
      <c r="BI247" s="159">
        <f t="shared" si="153"/>
        <v>76.999009873682709</v>
      </c>
      <c r="BJ247" s="88"/>
      <c r="BK247" s="88"/>
      <c r="BL247" s="88"/>
      <c r="BM247" s="88"/>
      <c r="BN247" s="42"/>
      <c r="BO247" s="42"/>
      <c r="BP247" s="42"/>
    </row>
    <row r="248" spans="1:68" s="86" customFormat="1">
      <c r="A248" s="86">
        <v>184</v>
      </c>
      <c r="B248" s="86">
        <f t="shared" si="103"/>
        <v>478630.09232263849</v>
      </c>
      <c r="C248" s="86" t="str">
        <f t="shared" si="104"/>
        <v>3007321.56365561j</v>
      </c>
      <c r="D248" s="86">
        <f t="shared" si="105"/>
        <v>-2.6653882444284354</v>
      </c>
      <c r="E248" s="86" t="str">
        <f t="shared" si="106"/>
        <v>-3.00732156365561j</v>
      </c>
      <c r="F248" s="86" t="str">
        <f t="shared" si="107"/>
        <v>-2.66538824442844-3.00732156365561j</v>
      </c>
      <c r="G248" s="86">
        <f t="shared" si="108"/>
        <v>12.081262034166176</v>
      </c>
      <c r="H248" s="86">
        <f t="shared" si="109"/>
        <v>-131.55056203689583</v>
      </c>
      <c r="J248" s="86">
        <f t="shared" si="110"/>
        <v>17.283950617283953</v>
      </c>
      <c r="K248" s="86" t="str">
        <f t="shared" si="111"/>
        <v>1+36.3134078811415j</v>
      </c>
      <c r="L248" s="86">
        <f t="shared" si="112"/>
        <v>-268.64467795253904</v>
      </c>
      <c r="M248" s="86" t="str">
        <f t="shared" si="113"/>
        <v>8.09934813717866j</v>
      </c>
      <c r="N248" s="86" t="str">
        <f t="shared" si="114"/>
        <v>-268.644677952539+8.09934813717866j</v>
      </c>
      <c r="O248" s="86" t="str">
        <f t="shared" si="115"/>
        <v>0.000352599933696151-0.135162000335403j</v>
      </c>
      <c r="P248" s="86" t="str">
        <f t="shared" si="116"/>
        <v>0.00609431984166187-2.33613333913042j</v>
      </c>
      <c r="R248" s="86">
        <f t="shared" si="117"/>
        <v>6.9135802469135808</v>
      </c>
      <c r="S248" s="86" t="str">
        <f t="shared" si="118"/>
        <v>1+0.225549117274171j</v>
      </c>
      <c r="T248" s="86" t="str">
        <f t="shared" si="119"/>
        <v>-268.644677952539+8.09934813717866j</v>
      </c>
      <c r="U248" s="86" t="str">
        <f t="shared" si="120"/>
        <v>-0.00369371910655692-0.000950943216839966j</v>
      </c>
      <c r="V248" s="86" t="str">
        <f t="shared" si="121"/>
        <v>-0.0255368234527392-0.00657442223988125j</v>
      </c>
      <c r="X248" s="86" t="str">
        <f t="shared" si="122"/>
        <v>-0.215930113918717+0.190375328571298j</v>
      </c>
      <c r="Y248" s="86">
        <f t="shared" si="123"/>
        <v>-10.816101038882781</v>
      </c>
      <c r="Z248" s="86">
        <f t="shared" si="124"/>
        <v>-41.4010936790838</v>
      </c>
      <c r="AB248" s="86" t="str">
        <f t="shared" si="125"/>
        <v>-0.00879851965709041-0.00226516753027882j</v>
      </c>
      <c r="AC248" s="86">
        <f t="shared" si="126"/>
        <v>-40.833095853947214</v>
      </c>
      <c r="AD248" s="86">
        <f t="shared" si="127"/>
        <v>14.437209091241385</v>
      </c>
      <c r="AF248" s="86" t="str">
        <f t="shared" si="128"/>
        <v>-0.0112592815371409-0.000155187835075524j</v>
      </c>
      <c r="AG248" s="86">
        <f t="shared" si="129"/>
        <v>-38.96896145697319</v>
      </c>
      <c r="AH248" s="86">
        <f t="shared" si="130"/>
        <v>0.78966361739495028</v>
      </c>
      <c r="AJ248" s="86" t="str">
        <f t="shared" si="131"/>
        <v>3335.76194384681-4714.90314772758j</v>
      </c>
      <c r="AK248" s="86" t="str">
        <f t="shared" si="132"/>
        <v>19999.9999999999-0.00120292862546224j</v>
      </c>
      <c r="AL248" s="86" t="str">
        <f t="shared" si="146"/>
        <v>10000-7389.37348462651j</v>
      </c>
      <c r="AM248" s="86" t="str">
        <f t="shared" si="147"/>
        <v>514.755490943386-2773.67858458469j</v>
      </c>
      <c r="AN248" s="86" t="str">
        <f t="shared" si="148"/>
        <v>10514.7554909434-2773.67858458469j</v>
      </c>
      <c r="AO248" s="86" t="str">
        <f t="shared" si="149"/>
        <v>6999.00356057998-1181.74270287639j</v>
      </c>
      <c r="AP248" s="86" t="str">
        <f t="shared" si="150"/>
        <v>0.823438666972688+0.166372684115557j</v>
      </c>
      <c r="AQ248" s="86" t="str">
        <f t="shared" si="133"/>
        <v>1+175.026115004757j</v>
      </c>
      <c r="AR248" s="86">
        <f t="shared" si="134"/>
        <v>-6.316217718280049E-3</v>
      </c>
      <c r="AS248" s="86" t="str">
        <f t="shared" si="135"/>
        <v>0.0146391000539941j</v>
      </c>
      <c r="AT248" s="86" t="str">
        <f t="shared" si="136"/>
        <v>-0.00631621771828005+0.0146391000539941j</v>
      </c>
      <c r="AU248" s="86" t="str">
        <f t="shared" si="137"/>
        <v>1.50821998984917-0.660986384904816j</v>
      </c>
      <c r="AW248" s="86" t="str">
        <f t="shared" si="151"/>
        <v>0.100000301906206-0.607002286347872j</v>
      </c>
      <c r="AX248" s="86">
        <f t="shared" si="138"/>
        <v>-4.2198938349497848</v>
      </c>
      <c r="AY248" s="86">
        <f t="shared" si="139"/>
        <v>99.355134688977586</v>
      </c>
      <c r="AZ248" s="86" t="str">
        <f t="shared" si="140"/>
        <v>-0.00225481649187694+0.00511420411143456j</v>
      </c>
      <c r="BA248" s="86">
        <f t="shared" si="141"/>
        <v>-45.052989688896979</v>
      </c>
      <c r="BB248" s="86">
        <f t="shared" si="142"/>
        <v>-66.207656219781015</v>
      </c>
      <c r="BD248" s="86" t="str">
        <f t="shared" si="143"/>
        <v>-0.00122013092366529+0.00681889080531921j</v>
      </c>
      <c r="BE248" s="86">
        <f t="shared" si="144"/>
        <v>-43.188855291922941</v>
      </c>
      <c r="BF248" s="86">
        <f t="shared" si="145"/>
        <v>-79.855201693627436</v>
      </c>
      <c r="BH248" s="86">
        <f t="shared" si="152"/>
        <v>44.188855291922941</v>
      </c>
      <c r="BI248" s="159">
        <f t="shared" si="153"/>
        <v>79.855201693627436</v>
      </c>
      <c r="BJ248" s="88"/>
      <c r="BK248" s="88"/>
      <c r="BL248" s="88"/>
      <c r="BM248" s="88"/>
      <c r="BN248" s="42"/>
      <c r="BO248" s="42"/>
      <c r="BP248" s="42"/>
    </row>
    <row r="249" spans="1:68" s="86" customFormat="1">
      <c r="A249" s="86">
        <v>185</v>
      </c>
      <c r="B249" s="86">
        <f t="shared" si="103"/>
        <v>501187.23362727324</v>
      </c>
      <c r="C249" s="86" t="str">
        <f t="shared" si="104"/>
        <v>3149052.26247287j</v>
      </c>
      <c r="D249" s="86">
        <f t="shared" si="105"/>
        <v>-3.019018290415354</v>
      </c>
      <c r="E249" s="86" t="str">
        <f t="shared" si="106"/>
        <v>-3.14905226247287j</v>
      </c>
      <c r="F249" s="86" t="str">
        <f t="shared" si="107"/>
        <v>-3.01901829041535-3.14905226247287j</v>
      </c>
      <c r="G249" s="86">
        <f t="shared" si="108"/>
        <v>12.794616455340268</v>
      </c>
      <c r="H249" s="86">
        <f t="shared" si="109"/>
        <v>-133.79228127073526</v>
      </c>
      <c r="J249" s="86">
        <f t="shared" si="110"/>
        <v>17.283950617283953</v>
      </c>
      <c r="K249" s="86" t="str">
        <f t="shared" si="111"/>
        <v>1+38.0248060693599j</v>
      </c>
      <c r="L249" s="86">
        <f t="shared" si="112"/>
        <v>-294.65951008101206</v>
      </c>
      <c r="M249" s="86" t="str">
        <f t="shared" si="113"/>
        <v>8.48105865504268j</v>
      </c>
      <c r="N249" s="86" t="str">
        <f t="shared" si="114"/>
        <v>-294.659510081012+8.48105865504268j</v>
      </c>
      <c r="O249" s="86" t="str">
        <f t="shared" si="115"/>
        <v>0.000320279999315462-0.129037375190932j</v>
      </c>
      <c r="P249" s="86" t="str">
        <f t="shared" si="116"/>
        <v>0.00553570369187218-2.23027562058401j</v>
      </c>
      <c r="R249" s="86">
        <f t="shared" si="117"/>
        <v>6.9135802469135808</v>
      </c>
      <c r="S249" s="86" t="str">
        <f t="shared" si="118"/>
        <v>1+0.236178919685465j</v>
      </c>
      <c r="T249" s="86" t="str">
        <f t="shared" si="119"/>
        <v>-294.659510081012+8.48105865504268j</v>
      </c>
      <c r="U249" s="86" t="str">
        <f t="shared" si="120"/>
        <v>-0.00336788735947609-0.000898468099169688j</v>
      </c>
      <c r="V249" s="86" t="str">
        <f t="shared" si="121"/>
        <v>-0.0232841595223038-0.00621163130290155j</v>
      </c>
      <c r="X249" s="86" t="str">
        <f t="shared" si="122"/>
        <v>-0.215875500374672+0.205935484329108j</v>
      </c>
      <c r="Y249" s="86">
        <f t="shared" si="123"/>
        <v>-10.505531222254827</v>
      </c>
      <c r="Z249" s="86">
        <f t="shared" si="124"/>
        <v>-43.650069337859492</v>
      </c>
      <c r="AB249" s="86" t="str">
        <f t="shared" si="125"/>
        <v>-0.0080223813128114-0.00214017065287402j</v>
      </c>
      <c r="AC249" s="86">
        <f t="shared" si="126"/>
        <v>-41.61535446739105</v>
      </c>
      <c r="AD249" s="86">
        <f t="shared" si="127"/>
        <v>14.937211166339239</v>
      </c>
      <c r="AF249" s="86" t="str">
        <f t="shared" si="128"/>
        <v>-0.0102414206074227-0.0000396604619307095j</v>
      </c>
      <c r="AG249" s="86">
        <f t="shared" si="129"/>
        <v>-39.792730817678347</v>
      </c>
      <c r="AH249" s="86">
        <f t="shared" si="130"/>
        <v>0.22187993345897894</v>
      </c>
      <c r="AJ249" s="86" t="str">
        <f t="shared" si="131"/>
        <v>3134.24454190844-4638.85293694482j</v>
      </c>
      <c r="AK249" s="86" t="str">
        <f t="shared" si="132"/>
        <v>19999.9999999999-0.00125962090498914j</v>
      </c>
      <c r="AL249" s="86" t="str">
        <f t="shared" si="146"/>
        <v>10000-7056.79689316166j</v>
      </c>
      <c r="AM249" s="86" t="str">
        <f t="shared" si="147"/>
        <v>492.629130209991-2671.48296316846j</v>
      </c>
      <c r="AN249" s="86" t="str">
        <f t="shared" si="148"/>
        <v>10492.62913021-2671.48296316846j</v>
      </c>
      <c r="AO249" s="86" t="str">
        <f t="shared" si="149"/>
        <v>6981.99728253593-1140.51749187465j</v>
      </c>
      <c r="AP249" s="86" t="str">
        <f t="shared" si="150"/>
        <v>0.831102433986008+0.166651724765293j</v>
      </c>
      <c r="AQ249" s="86" t="str">
        <f t="shared" si="133"/>
        <v>1+183.274841675921j</v>
      </c>
      <c r="AR249" s="86">
        <f t="shared" si="134"/>
        <v>-6.9256046580069928E-3</v>
      </c>
      <c r="AS249" s="86" t="str">
        <f t="shared" si="135"/>
        <v>0.0153290195843107j</v>
      </c>
      <c r="AT249" s="86" t="str">
        <f t="shared" si="136"/>
        <v>-0.00692560465800699+0.0153290195843107j</v>
      </c>
      <c r="AU249" s="86" t="str">
        <f t="shared" si="137"/>
        <v>1.4857230632917-0.681030545379841j</v>
      </c>
      <c r="AW249" s="86" t="str">
        <f t="shared" si="151"/>
        <v>0.0727387137010006-0.588891152232134j</v>
      </c>
      <c r="AX249" s="86">
        <f t="shared" si="138"/>
        <v>-4.5335406857814622</v>
      </c>
      <c r="AY249" s="86">
        <f t="shared" si="139"/>
        <v>97.041400555358877</v>
      </c>
      <c r="AZ249" s="86" t="str">
        <f t="shared" si="140"/>
        <v>-0.00184386525925722+0.00456863611455636j</v>
      </c>
      <c r="BA249" s="86">
        <f t="shared" si="141"/>
        <v>-46.148895153172518</v>
      </c>
      <c r="BB249" s="86">
        <f t="shared" si="142"/>
        <v>-68.021388278301941</v>
      </c>
      <c r="BD249" s="86" t="str">
        <f t="shared" si="143"/>
        <v>-0.000768303456579271+0.00602819713101342j</v>
      </c>
      <c r="BE249" s="86">
        <f t="shared" si="144"/>
        <v>-44.326271503459857</v>
      </c>
      <c r="BF249" s="86">
        <f t="shared" si="145"/>
        <v>-82.736719511182201</v>
      </c>
      <c r="BH249" s="86">
        <f t="shared" si="152"/>
        <v>45.326271503459857</v>
      </c>
      <c r="BI249" s="159">
        <f t="shared" si="153"/>
        <v>82.736719511182201</v>
      </c>
      <c r="BJ249" s="88"/>
      <c r="BK249" s="88"/>
      <c r="BL249" s="88"/>
      <c r="BM249" s="88"/>
      <c r="BN249" s="42"/>
      <c r="BO249" s="42"/>
      <c r="BP249" s="42"/>
    </row>
    <row r="250" spans="1:68" s="86" customFormat="1">
      <c r="A250" s="86">
        <v>186</v>
      </c>
      <c r="B250" s="86">
        <f t="shared" si="103"/>
        <v>524807.46024977358</v>
      </c>
      <c r="C250" s="86" t="str">
        <f t="shared" si="104"/>
        <v>3297462.52333961j</v>
      </c>
      <c r="D250" s="86">
        <f t="shared" si="105"/>
        <v>-3.406765925341066</v>
      </c>
      <c r="E250" s="86" t="str">
        <f t="shared" si="106"/>
        <v>-3.29746252333961j</v>
      </c>
      <c r="F250" s="86" t="str">
        <f t="shared" si="107"/>
        <v>-3.40676592534107-3.29746252333961j</v>
      </c>
      <c r="G250" s="86">
        <f t="shared" si="108"/>
        <v>13.517830375855485</v>
      </c>
      <c r="H250" s="86">
        <f t="shared" si="109"/>
        <v>-135.9340476492101</v>
      </c>
      <c r="J250" s="86">
        <f t="shared" si="110"/>
        <v>17.283950617283953</v>
      </c>
      <c r="K250" s="86" t="str">
        <f t="shared" si="111"/>
        <v>1+39.8168599693258j</v>
      </c>
      <c r="L250" s="86">
        <f t="shared" si="112"/>
        <v>-323.18420628620385</v>
      </c>
      <c r="M250" s="86" t="str">
        <f t="shared" si="113"/>
        <v>8.88075863538933j</v>
      </c>
      <c r="N250" s="86" t="str">
        <f t="shared" si="114"/>
        <v>-323.184206286204+8.88075863538933j</v>
      </c>
      <c r="O250" s="86" t="str">
        <f t="shared" si="115"/>
        <v>0.000291022856241418-0.123193753565803j</v>
      </c>
      <c r="P250" s="86" t="str">
        <f t="shared" si="116"/>
        <v>0.0050300246757776-2.12927475298919j</v>
      </c>
      <c r="R250" s="86">
        <f t="shared" si="117"/>
        <v>6.9135802469135808</v>
      </c>
      <c r="S250" s="86" t="str">
        <f t="shared" si="118"/>
        <v>1+0.247309689250471j</v>
      </c>
      <c r="T250" s="86" t="str">
        <f t="shared" si="119"/>
        <v>-323.184206286204+8.88075863538933j</v>
      </c>
      <c r="U250" s="86" t="str">
        <f t="shared" si="120"/>
        <v>-0.00307086416504802-0.00084961234912317j</v>
      </c>
      <c r="V250" s="86" t="str">
        <f t="shared" si="121"/>
        <v>-0.0212306658324308-0.00587386315443179j</v>
      </c>
      <c r="X250" s="86" t="str">
        <f t="shared" si="122"/>
        <v>-0.215825607660015+0.221928244801486j</v>
      </c>
      <c r="Y250" s="86">
        <f t="shared" si="123"/>
        <v>-10.184856469804002</v>
      </c>
      <c r="Z250" s="86">
        <f t="shared" si="124"/>
        <v>-45.798697033577724</v>
      </c>
      <c r="AB250" s="86" t="str">
        <f t="shared" si="125"/>
        <v>-0.00731486557071072-0.00202379518826895j</v>
      </c>
      <c r="AC250" s="86">
        <f t="shared" si="126"/>
        <v>-42.395548578410128</v>
      </c>
      <c r="AD250" s="86">
        <f t="shared" si="127"/>
        <v>15.465106745280707</v>
      </c>
      <c r="AF250" s="86" t="str">
        <f t="shared" si="128"/>
        <v>-0.00931261474214348+0.0000547544734778589j</v>
      </c>
      <c r="AG250" s="86">
        <f t="shared" si="129"/>
        <v>-40.618417132227037</v>
      </c>
      <c r="AH250" s="86">
        <f t="shared" si="130"/>
        <v>-0.33687253007229856</v>
      </c>
      <c r="AJ250" s="86" t="str">
        <f t="shared" si="131"/>
        <v>2939.53125505556-4555.70725037365j</v>
      </c>
      <c r="AK250" s="86" t="str">
        <f t="shared" si="132"/>
        <v>19999.9999999999-0.00131898500933584j</v>
      </c>
      <c r="AL250" s="86" t="str">
        <f t="shared" si="146"/>
        <v>10000-6739.18871402852j</v>
      </c>
      <c r="AM250" s="86" t="str">
        <f t="shared" si="147"/>
        <v>470.455951001801-2572.91366317418j</v>
      </c>
      <c r="AN250" s="86" t="str">
        <f t="shared" si="148"/>
        <v>10470.4559510018-2572.91366317418j</v>
      </c>
      <c r="AO250" s="86" t="str">
        <f t="shared" si="149"/>
        <v>6965.46669286934-1100.63116600462j</v>
      </c>
      <c r="AP250" s="86" t="str">
        <f t="shared" si="150"/>
        <v>0.838775648303472+0.166577775599418j</v>
      </c>
      <c r="AQ250" s="86" t="str">
        <f t="shared" si="133"/>
        <v>1+191.912318858365j</v>
      </c>
      <c r="AR250" s="86">
        <f t="shared" si="134"/>
        <v>-7.593784150431911E-3</v>
      </c>
      <c r="AS250" s="86" t="str">
        <f t="shared" si="135"/>
        <v>0.016051454020363j</v>
      </c>
      <c r="AT250" s="86" t="str">
        <f t="shared" si="136"/>
        <v>-0.00759378415043191+0.016051454020363j</v>
      </c>
      <c r="AU250" s="86" t="str">
        <f t="shared" si="137"/>
        <v>1.46181464787166-0.700915000572799j</v>
      </c>
      <c r="AW250" s="86" t="str">
        <f t="shared" si="151"/>
        <v>0.0467700789257451-0.569594576204036j</v>
      </c>
      <c r="AX250" s="86">
        <f t="shared" si="138"/>
        <v>-4.8595001678905216</v>
      </c>
      <c r="AY250" s="86">
        <f t="shared" si="139"/>
        <v>94.694093003821763</v>
      </c>
      <c r="AZ250" s="86" t="str">
        <f t="shared" si="140"/>
        <v>-0.00149485960265917+0.00407185469405359j</v>
      </c>
      <c r="BA250" s="86">
        <f t="shared" si="141"/>
        <v>-47.255048746300631</v>
      </c>
      <c r="BB250" s="86">
        <f t="shared" si="142"/>
        <v>-69.840800250897658</v>
      </c>
      <c r="BD250" s="86" t="str">
        <f t="shared" si="143"/>
        <v>-0.000404363875379203+0.00530697571844878j</v>
      </c>
      <c r="BE250" s="86">
        <f t="shared" si="144"/>
        <v>-45.477917300117532</v>
      </c>
      <c r="BF250" s="86">
        <f t="shared" si="145"/>
        <v>-85.642779526250621</v>
      </c>
      <c r="BH250" s="86">
        <f t="shared" si="152"/>
        <v>46.477917300117532</v>
      </c>
      <c r="BI250" s="159">
        <f t="shared" si="153"/>
        <v>85.642779526250621</v>
      </c>
      <c r="BJ250" s="88"/>
      <c r="BK250" s="88"/>
      <c r="BL250" s="88"/>
      <c r="BM250" s="88"/>
      <c r="BN250" s="42"/>
      <c r="BO250" s="42"/>
      <c r="BP250" s="42"/>
    </row>
    <row r="251" spans="1:68" s="86" customFormat="1">
      <c r="A251" s="86">
        <v>187</v>
      </c>
      <c r="B251" s="86">
        <f t="shared" si="103"/>
        <v>549540.87385762541</v>
      </c>
      <c r="C251" s="86" t="str">
        <f t="shared" si="104"/>
        <v>3452867.14431686j</v>
      </c>
      <c r="D251" s="86">
        <f t="shared" si="105"/>
        <v>-3.8319227526432478</v>
      </c>
      <c r="E251" s="86" t="str">
        <f t="shared" si="106"/>
        <v>-3.45286714431686j</v>
      </c>
      <c r="F251" s="86" t="str">
        <f t="shared" si="107"/>
        <v>-3.83192275264325-3.45286714431686j</v>
      </c>
      <c r="G251" s="86">
        <f t="shared" si="108"/>
        <v>14.249783379968434</v>
      </c>
      <c r="H251" s="86">
        <f t="shared" si="109"/>
        <v>-137.97863325387357</v>
      </c>
      <c r="J251" s="86">
        <f t="shared" si="110"/>
        <v>17.283950617283953</v>
      </c>
      <c r="K251" s="86" t="str">
        <f t="shared" si="111"/>
        <v>1+41.6933707676261j</v>
      </c>
      <c r="L251" s="86">
        <f t="shared" si="112"/>
        <v>-354.4609137268086</v>
      </c>
      <c r="M251" s="86" t="str">
        <f t="shared" si="113"/>
        <v>9.29929589546572j</v>
      </c>
      <c r="N251" s="86" t="str">
        <f t="shared" si="114"/>
        <v>-354.460913726809+9.29929589546572j</v>
      </c>
      <c r="O251" s="86" t="str">
        <f t="shared" si="115"/>
        <v>0.000264521897243046-0.11761779447526j</v>
      </c>
      <c r="P251" s="86" t="str">
        <f t="shared" si="116"/>
        <v>0.00457198340913907-2.03290015142425j</v>
      </c>
      <c r="R251" s="86">
        <f t="shared" si="117"/>
        <v>6.9135802469135808</v>
      </c>
      <c r="S251" s="86" t="str">
        <f t="shared" si="118"/>
        <v>1+0.258965035823765j</v>
      </c>
      <c r="T251" s="86" t="str">
        <f t="shared" si="119"/>
        <v>-354.460913726809+9.29929589546572j</v>
      </c>
      <c r="U251" s="86" t="str">
        <f t="shared" si="120"/>
        <v>-0.00280009127322154-0.000804048915044615j</v>
      </c>
      <c r="V251" s="86" t="str">
        <f t="shared" si="121"/>
        <v>-0.0193586557160995-0.00555885669660475j</v>
      </c>
      <c r="X251" s="86" t="str">
        <f t="shared" si="122"/>
        <v>-0.215780034754823+0.238388078989425j</v>
      </c>
      <c r="Y251" s="86">
        <f t="shared" si="123"/>
        <v>-9.8552188639598945</v>
      </c>
      <c r="Z251" s="86">
        <f t="shared" si="124"/>
        <v>-47.849775517545339</v>
      </c>
      <c r="AB251" s="86" t="str">
        <f t="shared" si="125"/>
        <v>-0.00666987862324266-0.0019152620922701j</v>
      </c>
      <c r="AC251" s="86">
        <f t="shared" si="126"/>
        <v>-43.173540157290226</v>
      </c>
      <c r="AD251" s="86">
        <f t="shared" si="127"/>
        <v>16.021470215784262</v>
      </c>
      <c r="AF251" s="86" t="str">
        <f t="shared" si="128"/>
        <v>-0.00846528001332668+0.000131034343383867j</v>
      </c>
      <c r="AG251" s="86">
        <f t="shared" si="129"/>
        <v>-41.446132988865742</v>
      </c>
      <c r="AH251" s="86">
        <f t="shared" si="130"/>
        <v>-0.88681240363735014</v>
      </c>
      <c r="AJ251" s="86" t="str">
        <f t="shared" si="131"/>
        <v>2752.06568981058-4466.18308369386j</v>
      </c>
      <c r="AK251" s="86" t="str">
        <f t="shared" si="132"/>
        <v>19999.9999999999-0.00138114685772674j</v>
      </c>
      <c r="AL251" s="86" t="str">
        <f t="shared" si="146"/>
        <v>10000-6435.87525769654j</v>
      </c>
      <c r="AM251" s="86" t="str">
        <f t="shared" si="147"/>
        <v>448.329818788504-2477.76162169931j</v>
      </c>
      <c r="AN251" s="86" t="str">
        <f t="shared" si="148"/>
        <v>10448.3298187885-2477.76162169931j</v>
      </c>
      <c r="AO251" s="86" t="str">
        <f t="shared" si="149"/>
        <v>6949.41196031547-1062.00409711485j</v>
      </c>
      <c r="AP251" s="86" t="str">
        <f t="shared" si="150"/>
        <v>0.846425836020731+0.166151618488942j</v>
      </c>
      <c r="AQ251" s="86" t="str">
        <f t="shared" si="133"/>
        <v>1+200.956867799241j</v>
      </c>
      <c r="AR251" s="86">
        <f t="shared" si="134"/>
        <v>-8.326428394985947E-3</v>
      </c>
      <c r="AS251" s="86" t="str">
        <f t="shared" si="135"/>
        <v>0.0168079357424485j</v>
      </c>
      <c r="AT251" s="86" t="str">
        <f t="shared" si="136"/>
        <v>-0.00832642839498595+0.0168079357424485j</v>
      </c>
      <c r="AU251" s="86" t="str">
        <f t="shared" si="137"/>
        <v>1.43646866865271-0.720531878319363j</v>
      </c>
      <c r="AW251" s="86" t="str">
        <f t="shared" si="151"/>
        <v>0.0221978690351248-0.549214425537955j</v>
      </c>
      <c r="AX251" s="86">
        <f t="shared" si="138"/>
        <v>-5.1980725526979157</v>
      </c>
      <c r="AY251" s="86">
        <f t="shared" si="139"/>
        <v>92.314491896854506</v>
      </c>
      <c r="AZ251" s="86" t="str">
        <f t="shared" si="140"/>
        <v>-0.00119994666191967+0.00362067881937995j</v>
      </c>
      <c r="BA251" s="86">
        <f t="shared" si="141"/>
        <v>-48.371612709988135</v>
      </c>
      <c r="BB251" s="86">
        <f t="shared" si="142"/>
        <v>-71.664037887361147</v>
      </c>
      <c r="BD251" s="86" t="str">
        <f t="shared" si="143"/>
        <v>-0.00011594522545418+0.00465216258273068j</v>
      </c>
      <c r="BE251" s="86">
        <f t="shared" si="144"/>
        <v>-46.64420554156365</v>
      </c>
      <c r="BF251" s="86">
        <f t="shared" si="145"/>
        <v>-88.572320506782745</v>
      </c>
      <c r="BH251" s="86">
        <f t="shared" si="152"/>
        <v>47.64420554156365</v>
      </c>
      <c r="BI251" s="159">
        <f t="shared" si="153"/>
        <v>88.572320506782745</v>
      </c>
      <c r="BJ251" s="88"/>
      <c r="BK251" s="88"/>
      <c r="BL251" s="88"/>
      <c r="BM251" s="88"/>
      <c r="BN251" s="42"/>
      <c r="BO251" s="42"/>
      <c r="BP251" s="42"/>
    </row>
    <row r="252" spans="1:68" s="86" customFormat="1">
      <c r="A252" s="86">
        <v>188</v>
      </c>
      <c r="B252" s="86">
        <f t="shared" si="103"/>
        <v>575439.93733715767</v>
      </c>
      <c r="C252" s="86" t="str">
        <f t="shared" si="104"/>
        <v>3615595.75944117j</v>
      </c>
      <c r="D252" s="86">
        <f t="shared" si="105"/>
        <v>-4.2980979437214808</v>
      </c>
      <c r="E252" s="86" t="str">
        <f t="shared" si="106"/>
        <v>-3.61559575944117j</v>
      </c>
      <c r="F252" s="86" t="str">
        <f t="shared" si="107"/>
        <v>-4.29809794372148-3.61559575944117j</v>
      </c>
      <c r="G252" s="86">
        <f t="shared" si="108"/>
        <v>14.989467581718884</v>
      </c>
      <c r="H252" s="86">
        <f t="shared" si="109"/>
        <v>-139.92917402431732</v>
      </c>
      <c r="J252" s="86">
        <f t="shared" si="110"/>
        <v>17.283950617283953</v>
      </c>
      <c r="K252" s="86" t="str">
        <f t="shared" si="111"/>
        <v>1+43.6583187952521j</v>
      </c>
      <c r="L252" s="86">
        <f t="shared" si="112"/>
        <v>-388.75514148257935</v>
      </c>
      <c r="M252" s="86" t="str">
        <f t="shared" si="113"/>
        <v>9.73755820891471j</v>
      </c>
      <c r="N252" s="86" t="str">
        <f t="shared" si="114"/>
        <v>-388.755141482579+9.73755820891471j</v>
      </c>
      <c r="O252" s="86" t="str">
        <f t="shared" si="115"/>
        <v>0.00024050380348157-0.112296847596606j</v>
      </c>
      <c r="P252" s="86" t="str">
        <f t="shared" si="116"/>
        <v>0.00415685586264442-1.9409331683364j</v>
      </c>
      <c r="R252" s="86">
        <f t="shared" si="117"/>
        <v>6.9135802469135808</v>
      </c>
      <c r="S252" s="86" t="str">
        <f t="shared" si="118"/>
        <v>1+0.271169681958088j</v>
      </c>
      <c r="T252" s="86" t="str">
        <f t="shared" si="119"/>
        <v>-388.755141482579+9.73755820891471j</v>
      </c>
      <c r="U252" s="86" t="str">
        <f t="shared" si="120"/>
        <v>-0.00255323948099066-0.000761487034992178j</v>
      </c>
      <c r="V252" s="86" t="str">
        <f t="shared" si="121"/>
        <v>-0.0176520260414169-0.00526460172340271j</v>
      </c>
      <c r="X252" s="86" t="str">
        <f t="shared" si="122"/>
        <v>-0.21573841347588+0.25535037558142j</v>
      </c>
      <c r="Y252" s="86">
        <f t="shared" si="123"/>
        <v>-9.5176460389938047</v>
      </c>
      <c r="Z252" s="86">
        <f t="shared" si="124"/>
        <v>-49.806465042516862</v>
      </c>
      <c r="AB252" s="86" t="str">
        <f t="shared" si="125"/>
        <v>-0.0060818722579303-0.00181387876357591j</v>
      </c>
      <c r="AC252" s="86">
        <f t="shared" si="126"/>
        <v>-43.949178016062916</v>
      </c>
      <c r="AD252" s="86">
        <f t="shared" si="127"/>
        <v>16.606868437376647</v>
      </c>
      <c r="AF252" s="86" t="str">
        <f t="shared" si="128"/>
        <v>-0.00769246478872565+0.000191766385038174j</v>
      </c>
      <c r="AG252" s="86">
        <f t="shared" si="129"/>
        <v>-42.275991527236492</v>
      </c>
      <c r="AH252" s="86">
        <f t="shared" si="130"/>
        <v>-1.4280376425248846</v>
      </c>
      <c r="AJ252" s="86" t="str">
        <f t="shared" si="131"/>
        <v>2572.20006592365-4371.0167558703j</v>
      </c>
      <c r="AK252" s="86" t="str">
        <f t="shared" si="132"/>
        <v>19999.9999999999-0.00144623830377646j</v>
      </c>
      <c r="AL252" s="86" t="str">
        <f t="shared" si="146"/>
        <v>10000-6146.21315565899j</v>
      </c>
      <c r="AM252" s="86" t="str">
        <f t="shared" si="147"/>
        <v>426.343805119576-2385.8379339869j</v>
      </c>
      <c r="AN252" s="86" t="str">
        <f t="shared" si="148"/>
        <v>10426.3438051196-2385.8379339869j</v>
      </c>
      <c r="AO252" s="86" t="str">
        <f t="shared" si="149"/>
        <v>6933.83734575412-1024.56449459741j</v>
      </c>
      <c r="AP252" s="86" t="str">
        <f t="shared" si="150"/>
        <v>0.854020911499128+0.165377743064631j</v>
      </c>
      <c r="AQ252" s="86" t="str">
        <f t="shared" si="133"/>
        <v>1+210.427673199476j</v>
      </c>
      <c r="AR252" s="86">
        <f t="shared" si="134"/>
        <v>-9.1297568346691976E-3</v>
      </c>
      <c r="AS252" s="86" t="str">
        <f t="shared" si="135"/>
        <v>0.0176000693497229j</v>
      </c>
      <c r="AT252" s="86" t="str">
        <f t="shared" si="136"/>
        <v>-0.0091297568346692+0.0176000693497229j</v>
      </c>
      <c r="AU252" s="86" t="str">
        <f t="shared" si="137"/>
        <v>1.40966872868917-0.739765989079716j</v>
      </c>
      <c r="AW252" s="86" t="str">
        <f t="shared" si="151"/>
        <v>-0.000884097112713521-0.527863868680717j</v>
      </c>
      <c r="AX252" s="86">
        <f t="shared" si="138"/>
        <v>-5.5495490903478428</v>
      </c>
      <c r="AY252" s="86">
        <f t="shared" si="139"/>
        <v>89.904037785348194</v>
      </c>
      <c r="AZ252" s="86" t="str">
        <f t="shared" si="140"/>
        <v>-0.000952104095755845+0.00321200426387071j</v>
      </c>
      <c r="BA252" s="86">
        <f t="shared" si="141"/>
        <v>-49.498727106410747</v>
      </c>
      <c r="BB252" s="86">
        <f t="shared" si="142"/>
        <v>-73.48909377727523</v>
      </c>
      <c r="BD252" s="86" t="str">
        <f t="shared" si="143"/>
        <v>0.000108027431798534+0.00406040468295959j</v>
      </c>
      <c r="BE252" s="86">
        <f t="shared" si="144"/>
        <v>-47.825540617584338</v>
      </c>
      <c r="BF252" s="86">
        <f t="shared" si="145"/>
        <v>-91.523999857176761</v>
      </c>
      <c r="BH252" s="86">
        <f t="shared" si="152"/>
        <v>48.825540617584338</v>
      </c>
      <c r="BI252" s="159">
        <f t="shared" si="153"/>
        <v>91.523999857176761</v>
      </c>
      <c r="BJ252" s="88"/>
      <c r="BK252" s="88"/>
      <c r="BL252" s="88"/>
      <c r="BM252" s="88"/>
      <c r="BN252" s="42"/>
      <c r="BO252" s="42"/>
      <c r="BP252" s="42"/>
    </row>
    <row r="253" spans="1:68" s="86" customFormat="1">
      <c r="A253" s="86">
        <v>189</v>
      </c>
      <c r="B253" s="86">
        <f t="shared" si="103"/>
        <v>602559.58607435855</v>
      </c>
      <c r="C253" s="86" t="str">
        <f t="shared" si="104"/>
        <v>3785993.53792262j</v>
      </c>
      <c r="D253" s="86">
        <f t="shared" si="105"/>
        <v>-4.8092488763216137</v>
      </c>
      <c r="E253" s="86" t="str">
        <f t="shared" si="106"/>
        <v>-3.78599353792262j</v>
      </c>
      <c r="F253" s="86" t="str">
        <f t="shared" si="107"/>
        <v>-4.80924887632161-3.78599353792262j</v>
      </c>
      <c r="G253" s="86">
        <f t="shared" si="108"/>
        <v>15.735981682253852</v>
      </c>
      <c r="H253" s="86">
        <f t="shared" si="109"/>
        <v>-141.78905472256625</v>
      </c>
      <c r="J253" s="86">
        <f t="shared" si="110"/>
        <v>17.283950617283953</v>
      </c>
      <c r="K253" s="86" t="str">
        <f t="shared" si="111"/>
        <v>1+45.7158719704156j</v>
      </c>
      <c r="L253" s="86">
        <f t="shared" si="112"/>
        <v>-426.35801447034805</v>
      </c>
      <c r="M253" s="86" t="str">
        <f t="shared" si="113"/>
        <v>10.196475188862j</v>
      </c>
      <c r="N253" s="86" t="str">
        <f t="shared" si="114"/>
        <v>-426.358014470348+10.196475188862j</v>
      </c>
      <c r="O253" s="86" t="str">
        <f t="shared" si="115"/>
        <v>0.00021872453780168-0.107218910398299j</v>
      </c>
      <c r="P253" s="86" t="str">
        <f t="shared" si="116"/>
        <v>0.00378042411015249-1.85316635256319j</v>
      </c>
      <c r="R253" s="86">
        <f t="shared" si="117"/>
        <v>6.9135802469135808</v>
      </c>
      <c r="S253" s="86" t="str">
        <f t="shared" si="118"/>
        <v>1+0.283949515344196j</v>
      </c>
      <c r="T253" s="86" t="str">
        <f t="shared" si="119"/>
        <v>-426.358014470348+10.196475188862j</v>
      </c>
      <c r="U253" s="86" t="str">
        <f t="shared" si="120"/>
        <v>-0.00232818781190436-0.000721667739694122j</v>
      </c>
      <c r="V253" s="86" t="str">
        <f t="shared" si="121"/>
        <v>-0.0160961132674869-0.00498930782998405j</v>
      </c>
      <c r="X253" s="86" t="str">
        <f t="shared" si="122"/>
        <v>-0.215700406007244+0.272851527299146j</v>
      </c>
      <c r="Y253" s="86">
        <f t="shared" si="123"/>
        <v>-9.1730572945021471</v>
      </c>
      <c r="Z253" s="86">
        <f t="shared" si="124"/>
        <v>-51.672172584318247</v>
      </c>
      <c r="AB253" s="86" t="str">
        <f t="shared" si="125"/>
        <v>-0.00554579426250238-0.00171902833171997j</v>
      </c>
      <c r="AC253" s="86">
        <f t="shared" si="126"/>
        <v>-44.72229750522078</v>
      </c>
      <c r="AD253" s="86">
        <f t="shared" si="127"/>
        <v>17.221853717954218</v>
      </c>
      <c r="AF253" s="86" t="str">
        <f t="shared" si="128"/>
        <v>-0.00698779975505505+0.000239198777283992j</v>
      </c>
      <c r="AG253" s="86">
        <f t="shared" si="129"/>
        <v>-43.108105085807011</v>
      </c>
      <c r="AH253" s="86">
        <f t="shared" si="130"/>
        <v>-1.9605214291155448</v>
      </c>
      <c r="AJ253" s="86" t="str">
        <f t="shared" si="131"/>
        <v>2400.19697307601-4270.95120800939j</v>
      </c>
      <c r="AK253" s="86" t="str">
        <f t="shared" si="132"/>
        <v>19999.9999999999-0.00151439741516904j</v>
      </c>
      <c r="AL253" s="86" t="str">
        <f t="shared" si="146"/>
        <v>10000-5869.58799576176j</v>
      </c>
      <c r="AM253" s="86" t="str">
        <f t="shared" si="147"/>
        <v>404.58863195863-2296.97315437472j</v>
      </c>
      <c r="AN253" s="86" t="str">
        <f t="shared" si="148"/>
        <v>10404.5886319586-2296.97315437472j</v>
      </c>
      <c r="AO253" s="86" t="str">
        <f t="shared" si="149"/>
        <v>6918.75009976493-988.24836899351j</v>
      </c>
      <c r="AP253" s="86" t="str">
        <f t="shared" si="150"/>
        <v>0.861529711301858+0.164264231959401j</v>
      </c>
      <c r="AQ253" s="86" t="str">
        <f t="shared" si="133"/>
        <v>1+220.344823907096j</v>
      </c>
      <c r="AR253" s="86">
        <f t="shared" si="134"/>
        <v>-1.0010588953123553E-2</v>
      </c>
      <c r="AS253" s="86" t="str">
        <f t="shared" si="135"/>
        <v>0.0184295350637705j</v>
      </c>
      <c r="AT253" s="86" t="str">
        <f t="shared" si="136"/>
        <v>-0.0100105889531236+0.0184295350637705j</v>
      </c>
      <c r="AU253" s="86" t="str">
        <f t="shared" si="137"/>
        <v>1.38140951341847-0.758495684584399j</v>
      </c>
      <c r="AW253" s="86" t="str">
        <f t="shared" si="151"/>
        <v>-0.022393303954553-0.505666427254707j</v>
      </c>
      <c r="AX253" s="86">
        <f t="shared" si="138"/>
        <v>-5.9142088185577926</v>
      </c>
      <c r="AY253" s="86">
        <f t="shared" si="139"/>
        <v>87.464328296680264</v>
      </c>
      <c r="AZ253" s="86" t="str">
        <f t="shared" si="140"/>
        <v>-0.000745066258260827+0.00284281669494792j</v>
      </c>
      <c r="BA253" s="86">
        <f t="shared" si="141"/>
        <v>-50.636506323778583</v>
      </c>
      <c r="BB253" s="86">
        <f t="shared" si="142"/>
        <v>-75.313817985365461</v>
      </c>
      <c r="BD253" s="86" t="str">
        <f t="shared" si="143"/>
        <v>0.000277434715001385+0.00352813928558472j</v>
      </c>
      <c r="BE253" s="86">
        <f t="shared" si="144"/>
        <v>-49.022313904364829</v>
      </c>
      <c r="BF253" s="86">
        <f t="shared" si="145"/>
        <v>-94.496193132435209</v>
      </c>
      <c r="BH253" s="86">
        <f t="shared" si="152"/>
        <v>50.022313904364829</v>
      </c>
      <c r="BI253" s="159">
        <f t="shared" si="153"/>
        <v>94.496193132435209</v>
      </c>
      <c r="BJ253" s="88"/>
      <c r="BK253" s="88"/>
      <c r="BL253" s="88"/>
      <c r="BM253" s="88"/>
      <c r="BN253" s="42"/>
      <c r="BO253" s="42"/>
      <c r="BP253" s="42"/>
    </row>
    <row r="254" spans="1:68" s="86" customFormat="1">
      <c r="A254" s="86">
        <v>190</v>
      </c>
      <c r="B254" s="86">
        <f t="shared" si="103"/>
        <v>630957.3444801938</v>
      </c>
      <c r="C254" s="86" t="str">
        <f t="shared" si="104"/>
        <v>3964421.916295j</v>
      </c>
      <c r="D254" s="86">
        <f t="shared" si="105"/>
        <v>-5.3697147288559508</v>
      </c>
      <c r="E254" s="86" t="str">
        <f t="shared" si="106"/>
        <v>-3.964421916295j</v>
      </c>
      <c r="F254" s="86" t="str">
        <f t="shared" si="107"/>
        <v>-5.36971472885595-3.964421916295j</v>
      </c>
      <c r="G254" s="86">
        <f t="shared" si="108"/>
        <v>16.488523622660765</v>
      </c>
      <c r="H254" s="86">
        <f t="shared" si="109"/>
        <v>-143.56181369708614</v>
      </c>
      <c r="J254" s="86">
        <f t="shared" si="110"/>
        <v>17.283950617283953</v>
      </c>
      <c r="K254" s="86" t="str">
        <f t="shared" si="111"/>
        <v>1+47.8703946392621j</v>
      </c>
      <c r="L254" s="86">
        <f t="shared" si="112"/>
        <v>-467.58874481378064</v>
      </c>
      <c r="M254" s="86" t="str">
        <f t="shared" si="113"/>
        <v>10.6770202597501j</v>
      </c>
      <c r="N254" s="86" t="str">
        <f t="shared" si="114"/>
        <v>-467.588744813781+10.6770202597501j</v>
      </c>
      <c r="O254" s="86" t="str">
        <f t="shared" si="115"/>
        <v>0.000198965875783247-0.102372588749199j</v>
      </c>
      <c r="P254" s="86" t="str">
        <f t="shared" si="116"/>
        <v>0.00343891637156229-1.76940276850467j</v>
      </c>
      <c r="R254" s="86">
        <f t="shared" si="117"/>
        <v>6.9135802469135808</v>
      </c>
      <c r="S254" s="86" t="str">
        <f t="shared" si="118"/>
        <v>1+0.297331643722125j</v>
      </c>
      <c r="T254" s="86" t="str">
        <f t="shared" si="119"/>
        <v>-467.588744813781+10.6770202597501j</v>
      </c>
      <c r="U254" s="86" t="str">
        <f t="shared" si="120"/>
        <v>-0.00212300464034236-0.000684359944134337j</v>
      </c>
      <c r="V254" s="86" t="str">
        <f t="shared" si="121"/>
        <v>-0.0146775629455768-0.00473137739154603j</v>
      </c>
      <c r="X254" s="86" t="str">
        <f t="shared" si="122"/>
        <v>-0.215665702575563+0.29092901615142j</v>
      </c>
      <c r="Y254" s="86">
        <f t="shared" si="123"/>
        <v>-8.8222710980122212</v>
      </c>
      <c r="Z254" s="86">
        <f t="shared" si="124"/>
        <v>-53.450456831591907</v>
      </c>
      <c r="AB254" s="86" t="str">
        <f t="shared" si="125"/>
        <v>-0.00505704346250579-0.00163016034714238j</v>
      </c>
      <c r="AC254" s="86">
        <f t="shared" si="126"/>
        <v>-45.492720251855388</v>
      </c>
      <c r="AD254" s="86">
        <f t="shared" si="127"/>
        <v>17.8669560847122</v>
      </c>
      <c r="AF254" s="86" t="str">
        <f t="shared" si="128"/>
        <v>-0.00634545124155948+0.000275285092479496j</v>
      </c>
      <c r="AG254" s="86">
        <f t="shared" si="129"/>
        <v>-43.942583642891591</v>
      </c>
      <c r="AH254" s="86">
        <f t="shared" si="130"/>
        <v>-2.4841085880695744</v>
      </c>
      <c r="AJ254" s="86" t="str">
        <f t="shared" si="131"/>
        <v>2236.23295431796-4166.72433899844j</v>
      </c>
      <c r="AK254" s="86" t="str">
        <f t="shared" si="132"/>
        <v>19999.9999999999-0.00158576876651799j</v>
      </c>
      <c r="AL254" s="86" t="str">
        <f t="shared" si="146"/>
        <v>10000-5605.41301895291j</v>
      </c>
      <c r="AM254" s="86" t="str">
        <f t="shared" si="147"/>
        <v>383.151199131686-2211.01635415198j</v>
      </c>
      <c r="AN254" s="86" t="str">
        <f t="shared" si="148"/>
        <v>10383.1511991317-2211.01635415198j</v>
      </c>
      <c r="AO254" s="86" t="str">
        <f t="shared" si="149"/>
        <v>6904.15940577792-952.999346654215j</v>
      </c>
      <c r="AP254" s="86" t="str">
        <f t="shared" si="150"/>
        <v>0.868922495601231+0.162822556801972j</v>
      </c>
      <c r="AQ254" s="86" t="str">
        <f t="shared" si="133"/>
        <v>1+230.729355528369j</v>
      </c>
      <c r="AR254" s="86">
        <f t="shared" si="134"/>
        <v>-1.097640216547143E-2</v>
      </c>
      <c r="AS254" s="86" t="str">
        <f t="shared" si="135"/>
        <v>0.0192980922925791j</v>
      </c>
      <c r="AT254" s="86" t="str">
        <f t="shared" si="136"/>
        <v>-0.0109764021654714+0.0192980922925791j</v>
      </c>
      <c r="AU254" s="86" t="str">
        <f t="shared" si="137"/>
        <v>1.35169813907097-0.776593984190102j</v>
      </c>
      <c r="AW254" s="86" t="str">
        <f t="shared" si="151"/>
        <v>-0.0422600888685295-0.482754726682557j</v>
      </c>
      <c r="AX254" s="86">
        <f t="shared" si="138"/>
        <v>-6.292315506747479</v>
      </c>
      <c r="AY254" s="86">
        <f t="shared" si="139"/>
        <v>84.99711160495896</v>
      </c>
      <c r="AZ254" s="86" t="str">
        <f t="shared" si="140"/>
        <v>-0.000573256506695949+0.00251020235570398j</v>
      </c>
      <c r="BA254" s="86">
        <f t="shared" si="141"/>
        <v>-51.785035758602888</v>
      </c>
      <c r="BB254" s="86">
        <f t="shared" si="142"/>
        <v>-77.135932310328897</v>
      </c>
      <c r="BD254" s="86" t="str">
        <f t="shared" si="143"/>
        <v>0.000401054512958946+0.00305166300732417j</v>
      </c>
      <c r="BE254" s="86">
        <f t="shared" si="144"/>
        <v>-50.234899149639091</v>
      </c>
      <c r="BF254" s="86">
        <f t="shared" si="145"/>
        <v>-97.486996983110629</v>
      </c>
      <c r="BH254" s="86">
        <f t="shared" si="152"/>
        <v>51.234899149639091</v>
      </c>
      <c r="BI254" s="159">
        <f t="shared" si="153"/>
        <v>97.486996983110629</v>
      </c>
      <c r="BJ254" s="88"/>
      <c r="BK254" s="88"/>
      <c r="BL254" s="88"/>
      <c r="BM254" s="88"/>
      <c r="BN254" s="42"/>
      <c r="BO254" s="42"/>
      <c r="BP254" s="42"/>
    </row>
    <row r="255" spans="1:68" s="86" customFormat="1">
      <c r="A255" s="86">
        <v>191</v>
      </c>
      <c r="B255" s="86">
        <f t="shared" si="103"/>
        <v>660693.44800759654</v>
      </c>
      <c r="C255" s="86" t="str">
        <f t="shared" si="104"/>
        <v>4151259.36507115j</v>
      </c>
      <c r="D255" s="86">
        <f t="shared" si="105"/>
        <v>-5.984253315842655</v>
      </c>
      <c r="E255" s="86" t="str">
        <f t="shared" si="106"/>
        <v>-4.15125936507115j</v>
      </c>
      <c r="F255" s="86" t="str">
        <f t="shared" si="107"/>
        <v>-5.98425331584265-4.15125936507115j</v>
      </c>
      <c r="G255" s="86">
        <f t="shared" si="108"/>
        <v>17.2463824826688</v>
      </c>
      <c r="H255" s="86">
        <f t="shared" si="109"/>
        <v>-145.25106573393219</v>
      </c>
      <c r="J255" s="86">
        <f t="shared" si="110"/>
        <v>17.283950617283953</v>
      </c>
      <c r="K255" s="86" t="str">
        <f t="shared" si="111"/>
        <v>1+50.1264568332341j</v>
      </c>
      <c r="L255" s="86">
        <f t="shared" si="112"/>
        <v>-512.79734164641377</v>
      </c>
      <c r="M255" s="86" t="str">
        <f t="shared" si="113"/>
        <v>11.1802127221021j</v>
      </c>
      <c r="N255" s="86" t="str">
        <f t="shared" si="114"/>
        <v>-512.797341646414+11.1802127221021j</v>
      </c>
      <c r="O255" s="86" t="str">
        <f t="shared" si="115"/>
        <v>0.000181032395125405-0.0977470606450784j</v>
      </c>
      <c r="P255" s="86" t="str">
        <f t="shared" si="116"/>
        <v>0.00312895497747614-1.68945536917419j</v>
      </c>
      <c r="R255" s="86">
        <f t="shared" si="117"/>
        <v>6.9135802469135808</v>
      </c>
      <c r="S255" s="86" t="str">
        <f t="shared" si="118"/>
        <v>1+0.311344452380336j</v>
      </c>
      <c r="T255" s="86" t="str">
        <f t="shared" si="119"/>
        <v>-512.797341646414+11.1802127221021j</v>
      </c>
      <c r="U255" s="86" t="str">
        <f t="shared" si="120"/>
        <v>-0.00193593057031829-0.000649357047957004j</v>
      </c>
      <c r="V255" s="86" t="str">
        <f t="shared" si="121"/>
        <v>-0.0133842113503487-0.00448938205994966j</v>
      </c>
      <c r="X255" s="86" t="str">
        <f t="shared" si="122"/>
        <v>-0.215634019270064+0.309621499939814j</v>
      </c>
      <c r="Y255" s="86">
        <f t="shared" si="123"/>
        <v>-8.4660133277607326</v>
      </c>
      <c r="Z255" s="86">
        <f t="shared" si="124"/>
        <v>-55.144951235265921</v>
      </c>
      <c r="AB255" s="86" t="str">
        <f t="shared" si="125"/>
        <v>-0.00461142893824032-0.00154678268327924j</v>
      </c>
      <c r="AC255" s="86">
        <f t="shared" si="126"/>
        <v>-46.260253957742435</v>
      </c>
      <c r="AD255" s="86">
        <f t="shared" si="127"/>
        <v>18.542674822700747</v>
      </c>
      <c r="AF255" s="86" t="str">
        <f t="shared" si="128"/>
        <v>-0.00576007773649208+0.000301722959788653j</v>
      </c>
      <c r="AG255" s="86">
        <f t="shared" si="129"/>
        <v>-44.779533046875308</v>
      </c>
      <c r="AH255" s="86">
        <f t="shared" si="130"/>
        <v>-2.9985127923752088</v>
      </c>
      <c r="AJ255" s="86" t="str">
        <f t="shared" si="131"/>
        <v>2080.40360131047-4059.05861854188j</v>
      </c>
      <c r="AK255" s="86" t="str">
        <f t="shared" si="132"/>
        <v>19999.9999999999-0.00166050374602845j</v>
      </c>
      <c r="AL255" s="86" t="str">
        <f t="shared" si="146"/>
        <v>10000-5353.12787468805j</v>
      </c>
      <c r="AM255" s="86" t="str">
        <f t="shared" si="147"/>
        <v>362.11324467801-2127.83396054709j</v>
      </c>
      <c r="AN255" s="86" t="str">
        <f t="shared" si="148"/>
        <v>10362.113244678-2127.83396054709j</v>
      </c>
      <c r="AO255" s="86" t="str">
        <f t="shared" si="149"/>
        <v>6890.07539390399-918.768345852358j</v>
      </c>
      <c r="AP255" s="86" t="str">
        <f t="shared" si="150"/>
        <v>0.876171400315652+0.1610672944376j</v>
      </c>
      <c r="AQ255" s="86" t="str">
        <f t="shared" si="133"/>
        <v>1+241.603295047141j</v>
      </c>
      <c r="AR255" s="86">
        <f t="shared" si="134"/>
        <v>-1.2035395294357886E-2</v>
      </c>
      <c r="AS255" s="86" t="str">
        <f t="shared" si="135"/>
        <v>0.0202075833624806j</v>
      </c>
      <c r="AT255" s="86" t="str">
        <f t="shared" si="136"/>
        <v>-0.0120353952943579+0.0202075833624806j</v>
      </c>
      <c r="AU255" s="86" t="str">
        <f t="shared" si="137"/>
        <v>1.32055539218489-0.793929974963198j</v>
      </c>
      <c r="AW255" s="86" t="str">
        <f t="shared" si="151"/>
        <v>-0.0604290260033902-0.459268959534814j</v>
      </c>
      <c r="AX255" s="86">
        <f t="shared" si="138"/>
        <v>-6.6841147880303398</v>
      </c>
      <c r="AY255" s="86">
        <f t="shared" si="139"/>
        <v>82.504277285422688</v>
      </c>
      <c r="AZ255" s="86" t="str">
        <f t="shared" si="140"/>
        <v>-0.000431725114354413+0.00221135674142384j</v>
      </c>
      <c r="BA255" s="86">
        <f t="shared" si="141"/>
        <v>-52.944368745772778</v>
      </c>
      <c r="BB255" s="86">
        <f t="shared" si="142"/>
        <v>-78.953047891876608</v>
      </c>
      <c r="BD255" s="86" t="str">
        <f t="shared" si="143"/>
        <v>0.000486647877129929+0.00262719208429548j</v>
      </c>
      <c r="BE255" s="86">
        <f t="shared" si="144"/>
        <v>-51.463647834905622</v>
      </c>
      <c r="BF255" s="86">
        <f t="shared" si="145"/>
        <v>-100.49423550695253</v>
      </c>
      <c r="BH255" s="86">
        <f t="shared" si="152"/>
        <v>52.463647834905622</v>
      </c>
      <c r="BI255" s="159">
        <f t="shared" si="153"/>
        <v>100.49423550695253</v>
      </c>
      <c r="BJ255" s="88"/>
      <c r="BK255" s="88"/>
      <c r="BL255" s="88"/>
      <c r="BM255" s="88"/>
      <c r="BN255" s="42"/>
      <c r="BO255" s="42"/>
      <c r="BP255" s="42"/>
    </row>
    <row r="256" spans="1:68" s="86" customFormat="1">
      <c r="A256" s="86">
        <v>192</v>
      </c>
      <c r="B256" s="86">
        <f t="shared" ref="B256:B264" si="154">Fstart*10^(Step*A256)</f>
        <v>691830.97091893689</v>
      </c>
      <c r="C256" s="86" t="str">
        <f t="shared" ref="C256:C264" si="155">COMPLEX(0,2*PI()*B256,"j")</f>
        <v>4346902.19152965j</v>
      </c>
      <c r="D256" s="86">
        <f t="shared" ref="D256:D264" si="156">(IMPRODUCT(C256,C256))/wn^2 + 1</f>
        <v>-6.6580814771622272</v>
      </c>
      <c r="E256" s="86" t="str">
        <f t="shared" ref="E256:E264" si="157">IMDIV(C256,wn*Qn)</f>
        <v>-4.34690219152965j</v>
      </c>
      <c r="F256" s="86" t="str">
        <f t="shared" ref="F256:F264" si="158">IMSUM(D256,E256)</f>
        <v>-6.65808147716223-4.34690219152965j</v>
      </c>
      <c r="G256" s="86">
        <f t="shared" ref="G256:G264" si="159">20*LOG(IMABS(F256),10)</f>
        <v>18.008930117518631</v>
      </c>
      <c r="H256" s="86">
        <f t="shared" ref="H256:H264" si="160">(IMARGUMENT(F256)*(180/PI()))</f>
        <v>-146.86044089657858</v>
      </c>
      <c r="J256" s="86">
        <f t="shared" ref="J256:J264" si="161">Vin/(Rout+DCR/1000)</f>
        <v>17.283950617283953</v>
      </c>
      <c r="K256" s="86" t="str">
        <f t="shared" ref="K256:K264" si="162">IMSUM(1,IMPRODUCT(C256,ncap*(Cap*10^-6)*(Rout+(ESR/(ncap*1000)))))</f>
        <v>1+52.4888439627205j</v>
      </c>
      <c r="L256" s="86">
        <f t="shared" ref="L256:L264" si="163">(IMPRODUCT(C256,C256))/Gdo^2 + 1</f>
        <v>-562.36758235162461</v>
      </c>
      <c r="M256" s="86" t="str">
        <f t="shared" ref="M256:M264" si="164">IMDIV(C256,Q*Gdo)</f>
        <v>11.707119914595j</v>
      </c>
      <c r="N256" s="86" t="str">
        <f t="shared" ref="N256:N264" si="165">IMSUM(L256,M256)</f>
        <v>-562.367582351625+11.707119914595j</v>
      </c>
      <c r="O256" s="86" t="str">
        <f t="shared" ref="O256:O264" si="166">IMDIV(K256,N256)</f>
        <v>0.000164748856558097-0.0933320427337206j</v>
      </c>
      <c r="P256" s="86" t="str">
        <f t="shared" ref="P256:P264" si="167">IMPRODUCT(J256,O256)</f>
        <v>0.00284751110100415-1.61314641761986j</v>
      </c>
      <c r="R256" s="86">
        <f t="shared" ref="R256:R264" si="168">Vin/(1+((DCR*10^-3)/Rout))</f>
        <v>6.9135802469135808</v>
      </c>
      <c r="S256" s="86" t="str">
        <f t="shared" ref="S256:S264" si="169">IMSUM(1,IMPRODUCT(C256,ncap*(Cap*10^-6)*(ESR/(ncap*1000))))</f>
        <v>1+0.326017664364724j</v>
      </c>
      <c r="T256" s="86" t="str">
        <f t="shared" ref="T256:T264" si="170">IMSUM(L256,M256)</f>
        <v>-562.367582351625+11.707119914595j</v>
      </c>
      <c r="U256" s="86" t="str">
        <f t="shared" ref="U256:U264" si="171">IMDIV(S256,T256)</f>
        <v>-0.00176536289856241-0.000616473976080299j</v>
      </c>
      <c r="V256" s="86" t="str">
        <f t="shared" ref="V256:V264" si="172">IMPRODUCT(R256,U256)</f>
        <v>-0.0122049780641352-0.00426204230376503j</v>
      </c>
      <c r="X256" s="86" t="str">
        <f t="shared" ref="X256:X264" si="173">IMPRODUCT(Fm,Dmax,P256,F256)</f>
        <v>-0.215605096004877+0.328968900339906j</v>
      </c>
      <c r="Y256" s="86">
        <f t="shared" ref="Y256:Y264" si="174">20*LOG(IMABS(X256),10)</f>
        <v>-8.1049257646223616</v>
      </c>
      <c r="Z256" s="86">
        <f t="shared" ref="Z256:Z264" si="175">IF((IMARGUMENT(X256)*(180/PI()))&lt;0,(IMARGUMENT(X256)*(180/PI()))+180,(IMARGUMENT(X256)*(180/PI()))-180)</f>
        <v>-56.759303022812674</v>
      </c>
      <c r="AB256" s="86" t="str">
        <f t="shared" ref="AB256:AB264" si="176">IMPRODUCT(Fm,V256)</f>
        <v>-0.00420513301548208-0.00146845448723988j</v>
      </c>
      <c r="AC256" s="86">
        <f t="shared" ref="AC256:AC264" si="177">20*LOG(IMABS(AB256),10)</f>
        <v>-47.024692277909452</v>
      </c>
      <c r="AD256" s="86">
        <f t="shared" ref="AD256:AD264" si="178">IF((IMARGUMENT(AB256)*(180/PI()))&lt;0,(IMARGUMENT(AB256)*(180/PI()))+180,(IMARGUMENT(AB256)*(180/PI()))-180)</f>
        <v>19.249469267946949</v>
      </c>
      <c r="AF256" s="86" t="str">
        <f t="shared" ref="AF256:AF264" si="179">IMDIV(AB256,IMSUM(1,X256))</f>
        <v>-0.00522678946926232+0.00031998766883002j</v>
      </c>
      <c r="AG256" s="86">
        <f t="shared" ref="AG256:AG264" si="180">20*LOG(IMABS(AF256),10)</f>
        <v>-45.61905303820302</v>
      </c>
      <c r="AH256" s="86">
        <f t="shared" ref="AH256:AH264" si="181">IF((IMARGUMENT(AF256)*(180/PI()))&lt;0,(IMARGUMENT(AF256)*(180/PI()))+180,(IMARGUMENT(AF256)*(180/PI()))-180)</f>
        <v>-3.5033148660341737</v>
      </c>
      <c r="AJ256" s="86" t="str">
        <f t="shared" ref="AJ256:AJ264" si="182">IMDIV(_Rfb1,IMSUM(1,IMPRODUCT(C256,_Cfb1*_Rfb1)))</f>
        <v>1932.72982750179-3948.65213571705j</v>
      </c>
      <c r="AK256" s="86" t="str">
        <f t="shared" ref="AK256:AK264" si="183">IMDIV(_Rfb2,IMSUM(1,IMPRODUCT(C256,_Cfb2*_Rfb2)))</f>
        <v>19999.9999999998-0.00173876087661185j</v>
      </c>
      <c r="AL256" s="86" t="str">
        <f t="shared" si="146"/>
        <v>10000-5112.19743235179j</v>
      </c>
      <c r="AM256" s="86" t="str">
        <f t="shared" si="147"/>
        <v>341.55018006797-2047.3084112917j</v>
      </c>
      <c r="AN256" s="86" t="str">
        <f t="shared" si="148"/>
        <v>10341.550180068-2047.3084112917j</v>
      </c>
      <c r="AO256" s="86" t="str">
        <f t="shared" si="149"/>
        <v>6876.50824769307-885.51313019413j</v>
      </c>
      <c r="AP256" s="86" t="str">
        <f t="shared" si="150"/>
        <v>0.88325082611805+0.159015776210073j</v>
      </c>
      <c r="AQ256" s="86" t="str">
        <f t="shared" ref="AQ256:AQ264" si="184">IMSUM(1,IMPRODUCT(C256,_res1*_Cap1))</f>
        <v>1+252.989707547026j</v>
      </c>
      <c r="AR256" s="86">
        <f t="shared" ref="AR256:AR264" si="185">(IMPRODUCT(C256,C256))*_res1*_Cap1*_cap2 + (1/Roerr)</f>
        <v>-1.319655817004735E-2</v>
      </c>
      <c r="AS256" s="86" t="str">
        <f t="shared" ref="AS256:AS264" si="186">IMPRODUCT(C256,(_Cap1+_cap2+(_Cap1*_res1/Roerr)))</f>
        <v>0.0211599374259719j</v>
      </c>
      <c r="AT256" s="86" t="str">
        <f t="shared" ref="AT256:AT264" si="187">IMSUM(AR256,AS256)</f>
        <v>-0.0131965581700474+0.0211599374259719j</v>
      </c>
      <c r="AU256" s="86" t="str">
        <f t="shared" ref="AU256:AU264" si="188">IMPRODUCT(EA_BW,IMDIV(AQ256,AT256))</f>
        <v>1.288016802602-0.810370480514223j</v>
      </c>
      <c r="AW256" s="86" t="str">
        <f t="shared" si="151"/>
        <v>-0.0768600831887121-0.435355090833374j</v>
      </c>
      <c r="AX256" s="86">
        <f t="shared" ref="AX256:AX264" si="189">20*LOG(IMABS(AW256),10)</f>
        <v>-7.0898315172827298</v>
      </c>
      <c r="AY256" s="86">
        <f t="shared" ref="AY256:AY264" si="190">IF((IMARGUMENT(AW256)*(180/PI()))&lt;0,(IMARGUMENT(AW256)*(180/PI()))+180,(IMARGUMENT(AW256)*(180/PI()))-180)</f>
        <v>79.987844861473036</v>
      </c>
      <c r="AZ256" s="86" t="str">
        <f t="shared" ref="AZ256:AZ264" si="191">IMPRODUCT(AW256,Fm,V256)</f>
        <v>-0.000316092263287441+0.00194359159996972j</v>
      </c>
      <c r="BA256" s="86">
        <f t="shared" ref="BA256:BA264" si="192">20*LOG(IMABS(AZ256),10)</f>
        <v>-54.114523795192156</v>
      </c>
      <c r="BB256" s="86">
        <f t="shared" ref="BB256:BB264" si="193">IF((IMARGUMENT(AZ256)*(180/PI()))&lt;0,(IMARGUMENT(AZ256)*(180/PI()))+180,(IMARGUMENT(AZ256)*(180/PI()))-180)</f>
        <v>-80.762685870580043</v>
      </c>
      <c r="BD256" s="86" t="str">
        <f t="shared" ref="BD256:BD264" si="194">IMDIV(AZ256,IMSUM(1,X256))</f>
        <v>0.000541039734046441+0.00225091512531199j</v>
      </c>
      <c r="BE256" s="86">
        <f t="shared" ref="BE256:BE264" si="195">20*LOG(IMABS(BD256),10)</f>
        <v>-52.708884555485717</v>
      </c>
      <c r="BF256" s="86">
        <f t="shared" ref="BF256:BF264" si="196">IF((IMARGUMENT(BD256)*(180/PI()))&lt;0,(IMARGUMENT(BD256)*(180/PI()))+180,(IMARGUMENT(BD256)*(180/PI()))-180)</f>
        <v>-103.51547000456114</v>
      </c>
      <c r="BH256" s="86">
        <f t="shared" si="152"/>
        <v>53.708884555485717</v>
      </c>
      <c r="BI256" s="159">
        <f t="shared" si="153"/>
        <v>103.51547000456114</v>
      </c>
      <c r="BJ256" s="88"/>
      <c r="BK256" s="88"/>
      <c r="BL256" s="88"/>
      <c r="BM256" s="88"/>
      <c r="BN256" s="42"/>
      <c r="BO256" s="42"/>
      <c r="BP256" s="42"/>
    </row>
    <row r="257" spans="1:68" s="86" customFormat="1">
      <c r="A257" s="86">
        <v>193</v>
      </c>
      <c r="B257" s="86">
        <f t="shared" si="154"/>
        <v>724435.96007499041</v>
      </c>
      <c r="C257" s="86" t="str">
        <f t="shared" si="155"/>
        <v>4551765.38033572j</v>
      </c>
      <c r="D257" s="86">
        <f t="shared" si="156"/>
        <v>-7.3969193639963891</v>
      </c>
      <c r="E257" s="86" t="str">
        <f t="shared" si="157"/>
        <v>-4.55176538033572j</v>
      </c>
      <c r="F257" s="86" t="str">
        <f t="shared" si="158"/>
        <v>-7.39691936399639-4.55176538033572j</v>
      </c>
      <c r="G257" s="86">
        <f t="shared" si="159"/>
        <v>18.775612888965373</v>
      </c>
      <c r="H257" s="86">
        <f t="shared" si="160"/>
        <v>-148.39353713112524</v>
      </c>
      <c r="J257" s="86">
        <f t="shared" si="161"/>
        <v>17.283950617283953</v>
      </c>
      <c r="K257" s="86" t="str">
        <f t="shared" si="162"/>
        <v>1+54.9625669675538j</v>
      </c>
      <c r="L257" s="86">
        <f t="shared" si="163"/>
        <v>-616.72027046245739</v>
      </c>
      <c r="M257" s="86" t="str">
        <f t="shared" si="164"/>
        <v>12.2588594780276j</v>
      </c>
      <c r="N257" s="86" t="str">
        <f t="shared" si="165"/>
        <v>-616.720270462457+12.2588594780276j</v>
      </c>
      <c r="O257" s="86" t="str">
        <f t="shared" si="166"/>
        <v>0.000149957919984128-0.0891177593583424j</v>
      </c>
      <c r="P257" s="86" t="str">
        <f t="shared" si="167"/>
        <v>0.00259186528367629-1.54030695187258j</v>
      </c>
      <c r="R257" s="86">
        <f t="shared" si="168"/>
        <v>6.9135802469135808</v>
      </c>
      <c r="S257" s="86" t="str">
        <f t="shared" si="169"/>
        <v>1+0.341382403525179j</v>
      </c>
      <c r="T257" s="86" t="str">
        <f t="shared" si="170"/>
        <v>-616.720270462457+12.2588594780276j</v>
      </c>
      <c r="U257" s="86" t="str">
        <f t="shared" si="171"/>
        <v>-0.00160984150931222-0.000585544600470071j</v>
      </c>
      <c r="V257" s="86" t="str">
        <f t="shared" si="172"/>
        <v>-0.0111297684594425-0.00404820958349679j</v>
      </c>
      <c r="X257" s="86" t="str">
        <f t="shared" si="173"/>
        <v>-0.215578694619814+0.349012492866623j</v>
      </c>
      <c r="Y257" s="86">
        <f t="shared" si="174"/>
        <v>-7.7395744783764719</v>
      </c>
      <c r="Z257" s="86">
        <f t="shared" si="175"/>
        <v>-58.29712595705314</v>
      </c>
      <c r="AB257" s="86" t="str">
        <f t="shared" si="176"/>
        <v>-0.00383467766656646-0.00139478003841538j</v>
      </c>
      <c r="AC257" s="86">
        <f t="shared" si="177"/>
        <v>-47.785814802170961</v>
      </c>
      <c r="AD257" s="86">
        <f t="shared" si="178"/>
        <v>19.987748859347278</v>
      </c>
      <c r="AF257" s="86" t="str">
        <f t="shared" si="179"/>
        <v>-0.00474111091887152+0.000331361349512501j</v>
      </c>
      <c r="AG257" s="86">
        <f t="shared" si="180"/>
        <v>-46.461235074201923</v>
      </c>
      <c r="AH257" s="86">
        <f t="shared" si="181"/>
        <v>-3.997962510992096</v>
      </c>
      <c r="AJ257" s="86" t="str">
        <f t="shared" si="182"/>
        <v>1793.16498602505-3836.17116317094j</v>
      </c>
      <c r="AK257" s="86" t="str">
        <f t="shared" si="183"/>
        <v>19999.9999999998-0.00182070615213427j</v>
      </c>
      <c r="AL257" s="86" t="str">
        <f t="shared" ref="AL257:AL264" si="197">IMDIV(IMSUM(1,IMPRODUCT(C257,10000,0.000000000045)),IMPRODUCT(C257,0.000000000045))</f>
        <v>10000-4882.11064617378j</v>
      </c>
      <c r="AM257" s="86" t="str">
        <f t="shared" ref="AM257:AM264" si="198">IMDIV(AL257,IMSUM(1,IMPRODUCT(C257,AL257,0.0000000001)))</f>
        <v>321.530132298201-1969.33666689418j</v>
      </c>
      <c r="AN257" s="86" t="str">
        <f t="shared" ref="AN257:AN264" si="199">IMSUM(10000,AM257)</f>
        <v>10321.5301322982-1969.33666689418j</v>
      </c>
      <c r="AO257" s="86" t="str">
        <f t="shared" ref="AO257:AO264" si="200">IMDIV(IMPRODUCT(AN257,AK257),IMSUM(AN257,AK257))</f>
        <v>6863.46742192642-853.197759647667j</v>
      </c>
      <c r="AP257" s="86" t="str">
        <f t="shared" ref="AP257:AP264" si="201">IMDIV(AK257,IMSUM(AJ257,AK257))</f>
        <v>0.890137754020514+0.156687685583352j</v>
      </c>
      <c r="AQ257" s="86" t="str">
        <f t="shared" si="184"/>
        <v>1+264.912745135539j</v>
      </c>
      <c r="AR257" s="86">
        <f t="shared" si="185"/>
        <v>-1.4469747945411764E-2</v>
      </c>
      <c r="AS257" s="86" t="str">
        <f t="shared" si="186"/>
        <v>0.0221571745537058j</v>
      </c>
      <c r="AT257" s="86" t="str">
        <f t="shared" si="187"/>
        <v>-0.0144697479454118+0.0221571745537058j</v>
      </c>
      <c r="AU257" s="86" t="str">
        <f t="shared" si="188"/>
        <v>1.25413348999424-0.825781980719925j</v>
      </c>
      <c r="AW257" s="86" t="str">
        <f t="shared" ref="AW257:AW264" si="202">IMDIV(IMPRODUCT(AP257,AU257),IMPRODUCT(IMSUM(1,IMPRODUCT(C257,1/1500000)),IMSUM(1,IMPRODUCT(C257,1/35000000))))</f>
        <v>-0.0915294980717515-0.411162848248632j</v>
      </c>
      <c r="AX257" s="86">
        <f t="shared" si="189"/>
        <v>-7.5096673819199271</v>
      </c>
      <c r="AY257" s="86">
        <f t="shared" si="190"/>
        <v>77.449950333147115</v>
      </c>
      <c r="AZ257" s="86" t="str">
        <f t="shared" si="191"/>
        <v>-0.000222495611187419+0.00170434050833754j</v>
      </c>
      <c r="BA257" s="86">
        <f t="shared" si="192"/>
        <v>-55.295482184090901</v>
      </c>
      <c r="BB257" s="86">
        <f t="shared" si="193"/>
        <v>-82.562300807505679</v>
      </c>
      <c r="BD257" s="86" t="str">
        <f t="shared" si="194"/>
        <v>0.000570194978971883+0.00191903933126464j</v>
      </c>
      <c r="BE257" s="86">
        <f t="shared" si="195"/>
        <v>-53.97090245612187</v>
      </c>
      <c r="BF257" s="86">
        <f t="shared" si="196"/>
        <v>-106.5480121778451</v>
      </c>
      <c r="BH257" s="86">
        <f t="shared" ref="BH257:BH264" si="203">1-BE257</f>
        <v>54.97090245612187</v>
      </c>
      <c r="BI257" s="159">
        <f t="shared" ref="BI257:BI264" si="204">+-1*BF257</f>
        <v>106.5480121778451</v>
      </c>
      <c r="BJ257" s="88"/>
      <c r="BK257" s="88"/>
      <c r="BL257" s="88"/>
      <c r="BM257" s="88"/>
      <c r="BN257" s="42"/>
      <c r="BO257" s="42"/>
      <c r="BP257" s="42"/>
    </row>
    <row r="258" spans="1:68" s="86" customFormat="1">
      <c r="A258" s="86">
        <v>194</v>
      </c>
      <c r="B258" s="86">
        <f t="shared" si="154"/>
        <v>758577.57502918388</v>
      </c>
      <c r="C258" s="86" t="str">
        <f t="shared" si="155"/>
        <v>4766283.47377929j</v>
      </c>
      <c r="D258" s="86">
        <f t="shared" si="156"/>
        <v>-8.2070389973945304</v>
      </c>
      <c r="E258" s="86" t="str">
        <f t="shared" si="157"/>
        <v>-4.76628347377929j</v>
      </c>
      <c r="F258" s="86" t="str">
        <f t="shared" si="158"/>
        <v>-8.20703899739453-4.76628347377929j</v>
      </c>
      <c r="G258" s="86">
        <f t="shared" si="159"/>
        <v>19.545943734308583</v>
      </c>
      <c r="H258" s="86">
        <f t="shared" si="160"/>
        <v>-149.85388446403476</v>
      </c>
      <c r="J258" s="86">
        <f t="shared" si="161"/>
        <v>17.283950617283953</v>
      </c>
      <c r="K258" s="86" t="str">
        <f t="shared" si="162"/>
        <v>1+57.5528729458849j</v>
      </c>
      <c r="L258" s="86">
        <f t="shared" si="163"/>
        <v>-676.31680787775497</v>
      </c>
      <c r="M258" s="86" t="str">
        <f t="shared" si="164"/>
        <v>12.8366017259871j</v>
      </c>
      <c r="N258" s="86" t="str">
        <f t="shared" si="165"/>
        <v>-676.316807877755+12.8366017259871j</v>
      </c>
      <c r="O258" s="86" t="str">
        <f t="shared" si="166"/>
        <v>0.000136518148316285-0.0850949138723594j</v>
      </c>
      <c r="P258" s="86" t="str">
        <f t="shared" si="167"/>
        <v>0.00235957293386172-1.47077628915189j</v>
      </c>
      <c r="R258" s="86">
        <f t="shared" si="168"/>
        <v>6.9135802469135808</v>
      </c>
      <c r="S258" s="86" t="str">
        <f t="shared" si="169"/>
        <v>1+0.357471260533447j</v>
      </c>
      <c r="T258" s="86" t="str">
        <f t="shared" si="170"/>
        <v>-676.316807877755+12.8366017259871j</v>
      </c>
      <c r="U258" s="86" t="str">
        <f t="shared" si="171"/>
        <v>-0.00146803606389969-0.000556419492199183j</v>
      </c>
      <c r="V258" s="86" t="str">
        <f t="shared" si="172"/>
        <v>-0.0101493851331337-0.00384685081026596j</v>
      </c>
      <c r="X258" s="86" t="str">
        <f t="shared" si="173"/>
        <v>-0.215554597114453+0.369794999019753j</v>
      </c>
      <c r="Y258" s="86">
        <f t="shared" si="174"/>
        <v>-7.3704578654669382</v>
      </c>
      <c r="Z258" s="86">
        <f t="shared" si="175"/>
        <v>-59.76196466931529</v>
      </c>
      <c r="AB258" s="86" t="str">
        <f t="shared" si="176"/>
        <v>-0.00349689399570483-0.00132540339383474j</v>
      </c>
      <c r="AC258" s="86">
        <f t="shared" si="177"/>
        <v>-48.543387163888944</v>
      </c>
      <c r="AD258" s="86">
        <f t="shared" si="178"/>
        <v>20.757862474776459</v>
      </c>
      <c r="AF258" s="86" t="str">
        <f t="shared" si="179"/>
        <v>-0.00429894610300012+0.000336958283059408j</v>
      </c>
      <c r="AG258" s="86">
        <f t="shared" si="180"/>
        <v>-47.306159977831172</v>
      </c>
      <c r="AH258" s="86">
        <f t="shared" si="181"/>
        <v>-4.4817717985978618</v>
      </c>
      <c r="AJ258" s="86" t="str">
        <f t="shared" si="182"/>
        <v>1661.60251597302-3722.24424757999j</v>
      </c>
      <c r="AK258" s="86" t="str">
        <f t="shared" si="183"/>
        <v>19999.9999999998-0.0019065133895117j</v>
      </c>
      <c r="AL258" s="86" t="str">
        <f t="shared" si="197"/>
        <v>10000-4662.37947123228j</v>
      </c>
      <c r="AM258" s="86" t="str">
        <f t="shared" si="198"/>
        <v>302.113213635439-1893.82862749445j</v>
      </c>
      <c r="AN258" s="86" t="str">
        <f t="shared" si="199"/>
        <v>10302.1132136354-1893.82862749445j</v>
      </c>
      <c r="AO258" s="86" t="str">
        <f t="shared" si="200"/>
        <v>6850.96098447074-821.791962684405j</v>
      </c>
      <c r="AP258" s="86" t="str">
        <f t="shared" si="201"/>
        <v>0.896811981182752+0.154104620788212j</v>
      </c>
      <c r="AQ258" s="86" t="str">
        <f t="shared" si="184"/>
        <v>1+277.397698173955j</v>
      </c>
      <c r="AR258" s="86">
        <f t="shared" si="185"/>
        <v>-1.5865772773651247E-2</v>
      </c>
      <c r="AS258" s="86" t="str">
        <f t="shared" si="186"/>
        <v>0.0232014100193323j</v>
      </c>
      <c r="AT258" s="86" t="str">
        <f t="shared" si="187"/>
        <v>-0.0158657727736512+0.0232014100193323j</v>
      </c>
      <c r="AU258" s="86" t="str">
        <f t="shared" si="188"/>
        <v>1.21897272471864-0.840032750226154j</v>
      </c>
      <c r="AW258" s="86" t="str">
        <f t="shared" si="202"/>
        <v>-0.104430329876594-0.386843551616115j</v>
      </c>
      <c r="AX258" s="86">
        <f t="shared" si="189"/>
        <v>-7.9437987841231648</v>
      </c>
      <c r="AY258" s="86">
        <f t="shared" si="190"/>
        <v>74.89283094017955</v>
      </c>
      <c r="AZ258" s="86" t="str">
        <f t="shared" si="191"/>
        <v>-0.000147541962680148+0.00149116320656124j</v>
      </c>
      <c r="BA258" s="86">
        <f t="shared" si="192"/>
        <v>-56.487185948012126</v>
      </c>
      <c r="BB258" s="86">
        <f t="shared" si="193"/>
        <v>-84.349306585043948</v>
      </c>
      <c r="BD258" s="86" t="str">
        <f t="shared" si="194"/>
        <v>0.000579290498623167+0.00162783091403627j</v>
      </c>
      <c r="BE258" s="86">
        <f t="shared" si="195"/>
        <v>-55.249958761954375</v>
      </c>
      <c r="BF258" s="86">
        <f t="shared" si="196"/>
        <v>-109.5889408584183</v>
      </c>
      <c r="BH258" s="86">
        <f t="shared" si="203"/>
        <v>56.249958761954375</v>
      </c>
      <c r="BI258" s="159">
        <f t="shared" si="204"/>
        <v>109.5889408584183</v>
      </c>
      <c r="BJ258" s="88"/>
      <c r="BK258" s="88"/>
      <c r="BL258" s="88"/>
      <c r="BM258" s="88"/>
      <c r="BN258" s="42"/>
      <c r="BO258" s="42"/>
      <c r="BP258" s="42"/>
    </row>
    <row r="259" spans="1:68" s="86" customFormat="1">
      <c r="A259" s="86">
        <v>195</v>
      </c>
      <c r="B259" s="86">
        <f t="shared" si="154"/>
        <v>794328.23472428159</v>
      </c>
      <c r="C259" s="86" t="str">
        <f t="shared" si="155"/>
        <v>4990911.4934975j</v>
      </c>
      <c r="D259" s="86">
        <f t="shared" si="156"/>
        <v>-9.09531751168306</v>
      </c>
      <c r="E259" s="86" t="str">
        <f t="shared" si="157"/>
        <v>-4.9909114934975j</v>
      </c>
      <c r="F259" s="86" t="str">
        <f t="shared" si="158"/>
        <v>-9.09531751168306-4.9909114934975j</v>
      </c>
      <c r="G259" s="86">
        <f t="shared" si="159"/>
        <v>20.319494728851556</v>
      </c>
      <c r="H259" s="86">
        <f t="shared" si="160"/>
        <v>-151.24491877741042</v>
      </c>
      <c r="J259" s="86">
        <f t="shared" si="161"/>
        <v>17.283950617283953</v>
      </c>
      <c r="K259" s="86" t="str">
        <f t="shared" si="162"/>
        <v>1+60.2652562839823j</v>
      </c>
      <c r="L259" s="86">
        <f t="shared" si="163"/>
        <v>-741.66311171925713</v>
      </c>
      <c r="M259" s="86" t="str">
        <f t="shared" si="164"/>
        <v>13.4415721272405j</v>
      </c>
      <c r="N259" s="86" t="str">
        <f t="shared" si="165"/>
        <v>-741.663111719257+13.4415721272405j</v>
      </c>
      <c r="O259" s="86" t="str">
        <f t="shared" si="166"/>
        <v>0.000124302258791229-0.0812546620075354j</v>
      </c>
      <c r="P259" s="86" t="str">
        <f t="shared" si="167"/>
        <v>0.00214843410256445-1.40440156556234j</v>
      </c>
      <c r="R259" s="86">
        <f t="shared" si="168"/>
        <v>6.9135802469135808</v>
      </c>
      <c r="S259" s="86" t="str">
        <f t="shared" si="169"/>
        <v>1+0.374318362012312j</v>
      </c>
      <c r="T259" s="86" t="str">
        <f t="shared" si="170"/>
        <v>-741.663111719257+13.4415721272405j</v>
      </c>
      <c r="U259" s="86" t="str">
        <f t="shared" si="171"/>
        <v>-0.00133873436212625-0.000528963959917896j</v>
      </c>
      <c r="V259" s="86" t="str">
        <f t="shared" si="172"/>
        <v>-0.00925544744186049-0.00365703478461755j</v>
      </c>
      <c r="X259" s="86" t="str">
        <f t="shared" si="173"/>
        <v>-0.21553260400966+0.39136068089624j</v>
      </c>
      <c r="Y259" s="86">
        <f t="shared" si="174"/>
        <v>-6.9980141838015992</v>
      </c>
      <c r="Z259" s="86">
        <f t="shared" si="175"/>
        <v>-61.157268554260298</v>
      </c>
      <c r="AB259" s="86" t="str">
        <f t="shared" si="176"/>
        <v>-0.00318889451552525-0.00126000371575853j</v>
      </c>
      <c r="AC259" s="86">
        <f t="shared" si="177"/>
        <v>-49.297161301668659</v>
      </c>
      <c r="AD259" s="86">
        <f t="shared" si="178"/>
        <v>21.560087102301424</v>
      </c>
      <c r="AF259" s="86" t="str">
        <f t="shared" si="179"/>
        <v>-0.0038965465002647+0.000337746829356038j</v>
      </c>
      <c r="AG259" s="86">
        <f t="shared" si="180"/>
        <v>-48.153895442817152</v>
      </c>
      <c r="AH259" s="86">
        <f t="shared" si="181"/>
        <v>-4.9539307660985799</v>
      </c>
      <c r="AJ259" s="86" t="str">
        <f t="shared" si="182"/>
        <v>1537.88382987259-3607.45777862227j</v>
      </c>
      <c r="AK259" s="86" t="str">
        <f t="shared" si="183"/>
        <v>19999.9999999998-0.00199636459739898j</v>
      </c>
      <c r="AL259" s="86" t="str">
        <f t="shared" si="197"/>
        <v>9999.99999999996-4452.53782824536j</v>
      </c>
      <c r="AM259" s="86" t="str">
        <f t="shared" si="198"/>
        <v>283.351028156291-1820.70550283739j</v>
      </c>
      <c r="AN259" s="86" t="str">
        <f t="shared" si="199"/>
        <v>10283.3510281563-1820.70550283739j</v>
      </c>
      <c r="AO259" s="86" t="str">
        <f t="shared" si="200"/>
        <v>6838.99508963293-791.270454748751j</v>
      </c>
      <c r="AP259" s="86" t="str">
        <f t="shared" si="201"/>
        <v>0.9032562746046+0.15128963952608j</v>
      </c>
      <c r="AQ259" s="86" t="str">
        <f t="shared" si="184"/>
        <v>1+290.471048921554j</v>
      </c>
      <c r="AR259" s="86">
        <f t="shared" si="185"/>
        <v>-1.7396483559090296E-2</v>
      </c>
      <c r="AS259" s="86" t="str">
        <f t="shared" si="186"/>
        <v>0.024294858786277j</v>
      </c>
      <c r="AT259" s="86" t="str">
        <f t="shared" si="187"/>
        <v>-0.0173964835590903+0.024294858786277j</v>
      </c>
      <c r="AU259" s="86" t="str">
        <f t="shared" si="188"/>
        <v>1.1826181481803-0.852995168805265j</v>
      </c>
      <c r="AW259" s="86" t="str">
        <f t="shared" si="202"/>
        <v>-0.115572655718051-0.362547844898764j</v>
      </c>
      <c r="AX259" s="86">
        <f t="shared" si="189"/>
        <v>-8.3923750093677238</v>
      </c>
      <c r="AY259" s="86">
        <f t="shared" si="190"/>
        <v>72.318808372265778</v>
      </c>
      <c r="AZ259" s="86" t="str">
        <f t="shared" si="191"/>
        <v>-0.000088262623748708+0.00130174880985799j</v>
      </c>
      <c r="BA259" s="86">
        <f t="shared" si="192"/>
        <v>-57.689536311036392</v>
      </c>
      <c r="BB259" s="86">
        <f t="shared" si="193"/>
        <v>-86.121104525432855</v>
      </c>
      <c r="BD259" s="86" t="str">
        <f t="shared" si="194"/>
        <v>0.000572783612268891+0.00137365023818976j</v>
      </c>
      <c r="BE259" s="86">
        <f t="shared" si="195"/>
        <v>-56.546270452184871</v>
      </c>
      <c r="BF259" s="86">
        <f t="shared" si="196"/>
        <v>-112.63512239383282</v>
      </c>
      <c r="BH259" s="86">
        <f t="shared" si="203"/>
        <v>57.546270452184871</v>
      </c>
      <c r="BI259" s="159">
        <f t="shared" si="204"/>
        <v>112.63512239383282</v>
      </c>
      <c r="BJ259" s="88"/>
      <c r="BK259" s="88"/>
      <c r="BL259" s="88"/>
      <c r="BM259" s="88"/>
      <c r="BN259" s="42"/>
      <c r="BO259" s="42"/>
      <c r="BP259" s="42"/>
    </row>
    <row r="260" spans="1:68" s="86" customFormat="1">
      <c r="A260" s="86">
        <v>196</v>
      </c>
      <c r="B260" s="86">
        <f t="shared" si="154"/>
        <v>831763.77110267093</v>
      </c>
      <c r="C260" s="86" t="str">
        <f t="shared" si="155"/>
        <v>5226125.90563659j</v>
      </c>
      <c r="D260" s="86">
        <f t="shared" si="156"/>
        <v>-10.069295534703009</v>
      </c>
      <c r="E260" s="86" t="str">
        <f t="shared" si="157"/>
        <v>-5.22612590563659j</v>
      </c>
      <c r="F260" s="86" t="str">
        <f t="shared" si="158"/>
        <v>-10.069295534703-5.22612590563659j</v>
      </c>
      <c r="G260" s="86">
        <f t="shared" si="159"/>
        <v>21.09589022982577</v>
      </c>
      <c r="H260" s="86">
        <f t="shared" si="160"/>
        <v>-152.56996336180123</v>
      </c>
      <c r="J260" s="86">
        <f t="shared" si="161"/>
        <v>17.283950617283953</v>
      </c>
      <c r="K260" s="86" t="str">
        <f t="shared" si="162"/>
        <v>1+63.1054703105618j</v>
      </c>
      <c r="L260" s="86">
        <f t="shared" si="163"/>
        <v>-813.31390908002015</v>
      </c>
      <c r="M260" s="86" t="str">
        <f t="shared" si="164"/>
        <v>14.0750539051188j</v>
      </c>
      <c r="N260" s="86" t="str">
        <f t="shared" si="165"/>
        <v>-813.31390908002+14.0750539051188j</v>
      </c>
      <c r="O260" s="86" t="str">
        <f t="shared" si="166"/>
        <v>0.000113195587664147-0.0775885871027873j</v>
      </c>
      <c r="P260" s="86" t="str">
        <f t="shared" si="167"/>
        <v>0.00195646694728155-1.34103730794941j</v>
      </c>
      <c r="R260" s="86">
        <f t="shared" si="168"/>
        <v>6.9135802469135808</v>
      </c>
      <c r="S260" s="86" t="str">
        <f t="shared" si="169"/>
        <v>1+0.391959442922744j</v>
      </c>
      <c r="T260" s="86" t="str">
        <f t="shared" si="170"/>
        <v>-813.31390908002+14.0750539051188j</v>
      </c>
      <c r="U260" s="86" t="str">
        <f t="shared" si="171"/>
        <v>-0.00122083176477885-0.000503056336862466j</v>
      </c>
      <c r="V260" s="86" t="str">
        <f t="shared" si="172"/>
        <v>-0.0084403183737797-0.00347792035361705j</v>
      </c>
      <c r="X260" s="86" t="str">
        <f t="shared" si="173"/>
        <v>-0.215512532830144+0.413755438548976j</v>
      </c>
      <c r="Y260" s="86">
        <f t="shared" si="174"/>
        <v>-6.6226284974168514</v>
      </c>
      <c r="Z260" s="86">
        <f t="shared" si="175"/>
        <v>-62.486373428366434</v>
      </c>
      <c r="AB260" s="86" t="str">
        <f t="shared" si="176"/>
        <v>-0.0029080479512747-0.00119829119129584j</v>
      </c>
      <c r="AC260" s="86">
        <f t="shared" si="177"/>
        <v>-50.046875900679559</v>
      </c>
      <c r="AD260" s="86">
        <f t="shared" si="178"/>
        <v>22.394615927147811</v>
      </c>
      <c r="AF260" s="86" t="str">
        <f t="shared" si="179"/>
        <v>-0.00353048145947049+0.00033456839559627j</v>
      </c>
      <c r="AG260" s="86">
        <f t="shared" si="180"/>
        <v>-49.004493440030082</v>
      </c>
      <c r="AH260" s="86">
        <f t="shared" si="181"/>
        <v>-5.4135054430234959</v>
      </c>
      <c r="AJ260" s="86" t="str">
        <f t="shared" si="182"/>
        <v>1421.80619263516-3492.35294277883j</v>
      </c>
      <c r="AK260" s="86" t="str">
        <f t="shared" si="183"/>
        <v>19999.9999999998-0.00209045036225462j</v>
      </c>
      <c r="AL260" s="86" t="str">
        <f t="shared" si="197"/>
        <v>10000-4252.1406149543j</v>
      </c>
      <c r="AM260" s="86" t="str">
        <f t="shared" si="198"/>
        <v>265.286413074869-1749.89818264292j</v>
      </c>
      <c r="AN260" s="86" t="str">
        <f t="shared" si="199"/>
        <v>10265.2864130749-1749.89818264292j</v>
      </c>
      <c r="AO260" s="86" t="str">
        <f t="shared" si="200"/>
        <v>6827.57358479187-761.612228502823j</v>
      </c>
      <c r="AP260" s="86" t="str">
        <f t="shared" si="201"/>
        <v>0.909456444156227+0.148266802119298j</v>
      </c>
      <c r="AQ260" s="86" t="str">
        <f t="shared" si="184"/>
        <v>1+304.16052770805j</v>
      </c>
      <c r="AR260" s="86">
        <f t="shared" si="185"/>
        <v>-1.9074874559925622E-2</v>
      </c>
      <c r="AS260" s="86" t="str">
        <f t="shared" si="186"/>
        <v>0.0254398402059759j</v>
      </c>
      <c r="AT260" s="86" t="str">
        <f t="shared" si="187"/>
        <v>-0.0190748745599256+0.0254398402059759j</v>
      </c>
      <c r="AU260" s="86" t="str">
        <f t="shared" si="188"/>
        <v>1.14516960625372-0.864548142246693j</v>
      </c>
      <c r="AW260" s="86" t="str">
        <f t="shared" si="202"/>
        <v>-0.124983394452016-0.33842339928423j</v>
      </c>
      <c r="AX260" s="86">
        <f t="shared" si="189"/>
        <v>-8.8555166958675233</v>
      </c>
      <c r="AY260" s="86">
        <f t="shared" si="190"/>
        <v>69.730270604300358</v>
      </c>
      <c r="AZ260" s="86" t="str">
        <f t="shared" si="191"/>
        <v>-0.0000420720741111448+0.00113391797358203j</v>
      </c>
      <c r="BA260" s="86">
        <f t="shared" si="192"/>
        <v>-58.902392596547074</v>
      </c>
      <c r="BB260" s="86">
        <f t="shared" si="193"/>
        <v>-87.875113468551845</v>
      </c>
      <c r="BD260" s="86" t="str">
        <f t="shared" si="194"/>
        <v>0.00055447733058529+0.00115298204286597j</v>
      </c>
      <c r="BE260" s="86">
        <f t="shared" si="195"/>
        <v>-57.860010135897582</v>
      </c>
      <c r="BF260" s="86">
        <f t="shared" si="196"/>
        <v>-115.68323483872305</v>
      </c>
      <c r="BH260" s="86">
        <f t="shared" si="203"/>
        <v>58.860010135897582</v>
      </c>
      <c r="BI260" s="159">
        <f t="shared" si="204"/>
        <v>115.68323483872305</v>
      </c>
      <c r="BJ260" s="88"/>
      <c r="BK260" s="88"/>
      <c r="BL260" s="88"/>
      <c r="BM260" s="88"/>
      <c r="BN260" s="42"/>
      <c r="BO260" s="42"/>
      <c r="BP260" s="42"/>
    </row>
    <row r="261" spans="1:68" s="86" customFormat="1">
      <c r="A261" s="86">
        <v>197</v>
      </c>
      <c r="B261" s="86">
        <f t="shared" si="154"/>
        <v>870963.58995608194</v>
      </c>
      <c r="C261" s="86" t="str">
        <f t="shared" si="155"/>
        <v>5472425.63150044j</v>
      </c>
      <c r="D261" s="86">
        <f t="shared" si="156"/>
        <v>-11.137241200466981</v>
      </c>
      <c r="E261" s="86" t="str">
        <f t="shared" si="157"/>
        <v>-5.47242563150044j</v>
      </c>
      <c r="F261" s="86" t="str">
        <f t="shared" si="158"/>
        <v>-11.137241200467-5.47242563150044j</v>
      </c>
      <c r="G261" s="86">
        <f t="shared" si="159"/>
        <v>21.874800640338982</v>
      </c>
      <c r="H261" s="86">
        <f t="shared" si="160"/>
        <v>-153.83221668345351</v>
      </c>
      <c r="J261" s="86">
        <f t="shared" si="161"/>
        <v>17.283950617283953</v>
      </c>
      <c r="K261" s="86" t="str">
        <f t="shared" si="162"/>
        <v>1+66.0795395003678j</v>
      </c>
      <c r="L261" s="86">
        <f t="shared" si="163"/>
        <v>-891.87744612236702</v>
      </c>
      <c r="M261" s="86" t="str">
        <f t="shared" si="164"/>
        <v>14.7383907594052j</v>
      </c>
      <c r="N261" s="86" t="str">
        <f t="shared" si="165"/>
        <v>-891.877446122367+14.7383907594052j</v>
      </c>
      <c r="O261" s="86" t="str">
        <f t="shared" si="166"/>
        <v>0.000103094739318033-0.0740886770229511j</v>
      </c>
      <c r="P261" s="86" t="str">
        <f t="shared" si="167"/>
        <v>0.00178188438327464-1.28054503496459j</v>
      </c>
      <c r="R261" s="86">
        <f t="shared" si="168"/>
        <v>6.9135802469135808</v>
      </c>
      <c r="S261" s="86" t="str">
        <f t="shared" si="169"/>
        <v>1+0.410431922362533j</v>
      </c>
      <c r="T261" s="86" t="str">
        <f t="shared" si="170"/>
        <v>-891.877446122367+14.7383907594052j</v>
      </c>
      <c r="U261" s="86" t="str">
        <f t="shared" si="171"/>
        <v>-0.0011133215776544-0.000478586483681882j</v>
      </c>
      <c r="V261" s="86" t="str">
        <f t="shared" si="172"/>
        <v>-0.00769703806773412-0.00330874606002289j</v>
      </c>
      <c r="X261" s="86" t="str">
        <f t="shared" si="173"/>
        <v>-0.21549421670138+0.437026910367069j</v>
      </c>
      <c r="Y261" s="86">
        <f t="shared" si="174"/>
        <v>-6.2446389932303594</v>
      </c>
      <c r="Z261" s="86">
        <f t="shared" si="175"/>
        <v>-63.752489390730759</v>
      </c>
      <c r="AB261" s="86" t="str">
        <f t="shared" si="176"/>
        <v>-0.00265195633535492-0.00114000346610491j</v>
      </c>
      <c r="AC261" s="86">
        <f t="shared" si="177"/>
        <v>-50.792257040598543</v>
      </c>
      <c r="AD261" s="86">
        <f t="shared" si="178"/>
        <v>23.261545949015158</v>
      </c>
      <c r="AF261" s="86" t="str">
        <f t="shared" si="179"/>
        <v>-0.00319761095310578+0.00032815381959882j</v>
      </c>
      <c r="AG261" s="86">
        <f t="shared" si="180"/>
        <v>-49.8579875828854</v>
      </c>
      <c r="AH261" s="86">
        <f t="shared" si="181"/>
        <v>-5.8594485976007888</v>
      </c>
      <c r="AJ261" s="86" t="str">
        <f t="shared" si="182"/>
        <v>1313.13038424667-3377.42393495914j</v>
      </c>
      <c r="AK261" s="86" t="str">
        <f t="shared" si="183"/>
        <v>19999.9999999998-0.00218897025260015j</v>
      </c>
      <c r="AL261" s="86" t="str">
        <f t="shared" si="197"/>
        <v>10000-4060.76276200199j</v>
      </c>
      <c r="AM261" s="86" t="str">
        <f t="shared" si="198"/>
        <v>247.953402892145-1681.34565085036j</v>
      </c>
      <c r="AN261" s="86" t="str">
        <f t="shared" si="199"/>
        <v>10247.9534028921-1681.34565085036j</v>
      </c>
      <c r="AO261" s="86" t="str">
        <f t="shared" si="200"/>
        <v>6816.69774676238-732.799840141379j</v>
      </c>
      <c r="AP261" s="86" t="str">
        <f t="shared" si="201"/>
        <v>0.915401339733786+0.145060728010739j</v>
      </c>
      <c r="AQ261" s="86" t="str">
        <f t="shared" si="184"/>
        <v>1+318.495171753326j</v>
      </c>
      <c r="AR261" s="86">
        <f t="shared" si="185"/>
        <v>-2.0915193696944414E-2</v>
      </c>
      <c r="AS261" s="86" t="str">
        <f t="shared" si="186"/>
        <v>0.0266387829375305j</v>
      </c>
      <c r="AT261" s="86" t="str">
        <f t="shared" si="187"/>
        <v>-0.0209151936969444+0.0266387829375305j</v>
      </c>
      <c r="AU261" s="86" t="str">
        <f t="shared" si="188"/>
        <v>1.10674256172504-0.874579559650533j</v>
      </c>
      <c r="AW261" s="86" t="str">
        <f t="shared" si="202"/>
        <v>-0.132705755832109-0.314612658379627j</v>
      </c>
      <c r="AX261" s="86">
        <f t="shared" si="189"/>
        <v>-9.3333146221138357</v>
      </c>
      <c r="AY261" s="86">
        <f t="shared" si="190"/>
        <v>67.129652513821284</v>
      </c>
      <c r="AZ261" s="86" t="str">
        <f t="shared" si="191"/>
        <v>-6.72965111623002E-06+0.000985624054193381j</v>
      </c>
      <c r="BA261" s="86">
        <f t="shared" si="192"/>
        <v>-60.125571662712389</v>
      </c>
      <c r="BB261" s="86">
        <f t="shared" si="193"/>
        <v>-89.608801537163572</v>
      </c>
      <c r="BD261" s="86" t="str">
        <f t="shared" si="194"/>
        <v>0.000527582723930346+0.000962460981761366j</v>
      </c>
      <c r="BE261" s="86">
        <f t="shared" si="195"/>
        <v>-59.191302204999246</v>
      </c>
      <c r="BF261" s="86">
        <f t="shared" si="196"/>
        <v>-118.7297960837795</v>
      </c>
      <c r="BH261" s="86">
        <f t="shared" si="203"/>
        <v>60.191302204999246</v>
      </c>
      <c r="BI261" s="159">
        <f t="shared" si="204"/>
        <v>118.7297960837795</v>
      </c>
      <c r="BJ261" s="88"/>
      <c r="BK261" s="88"/>
      <c r="BL261" s="88"/>
      <c r="BM261" s="88"/>
      <c r="BN261" s="42"/>
      <c r="BO261" s="42"/>
      <c r="BP261" s="42"/>
    </row>
    <row r="262" spans="1:68" s="86" customFormat="1">
      <c r="A262" s="86">
        <v>198</v>
      </c>
      <c r="B262" s="86">
        <f t="shared" si="154"/>
        <v>912010.8393559109</v>
      </c>
      <c r="C262" s="86" t="str">
        <f t="shared" si="155"/>
        <v>5730333.10582958j</v>
      </c>
      <c r="D262" s="86">
        <f t="shared" si="156"/>
        <v>-12.308220337642773</v>
      </c>
      <c r="E262" s="86" t="str">
        <f t="shared" si="157"/>
        <v>-5.73033310582958j</v>
      </c>
      <c r="F262" s="86" t="str">
        <f t="shared" si="158"/>
        <v>-12.3082203376428-5.73033310582958j</v>
      </c>
      <c r="G262" s="86">
        <f t="shared" si="159"/>
        <v>22.655936796951814</v>
      </c>
      <c r="H262" s="86">
        <f t="shared" si="160"/>
        <v>-155.03474503882154</v>
      </c>
      <c r="J262" s="86">
        <f t="shared" si="161"/>
        <v>17.283950617283953</v>
      </c>
      <c r="K262" s="86" t="str">
        <f t="shared" si="162"/>
        <v>1+69.1937722528922j</v>
      </c>
      <c r="L262" s="86">
        <f t="shared" si="163"/>
        <v>-978.02065150118619</v>
      </c>
      <c r="M262" s="86" t="str">
        <f t="shared" si="164"/>
        <v>15.4329897165028j</v>
      </c>
      <c r="N262" s="86" t="str">
        <f t="shared" si="165"/>
        <v>-978.020651501186+15.4329897165028j</v>
      </c>
      <c r="O262" s="86" t="str">
        <f t="shared" si="166"/>
        <v>0.0000939063951279826-0.0707473026160102j</v>
      </c>
      <c r="P262" s="86" t="str">
        <f t="shared" si="167"/>
        <v>0.00162307349603921-1.22279288472116j</v>
      </c>
      <c r="R262" s="86">
        <f t="shared" si="168"/>
        <v>6.9135802469135808</v>
      </c>
      <c r="S262" s="86" t="str">
        <f t="shared" si="169"/>
        <v>1+0.429774982937218j</v>
      </c>
      <c r="T262" s="86" t="str">
        <f t="shared" si="170"/>
        <v>-978.020651501186+15.4329897165028j</v>
      </c>
      <c r="U262" s="86" t="str">
        <f t="shared" si="171"/>
        <v>-0.0010152863072864-0.000455454478791581j</v>
      </c>
      <c r="V262" s="86" t="str">
        <f t="shared" si="172"/>
        <v>-0.00701926335901709-0.00314882108794179j</v>
      </c>
      <c r="X262" s="86" t="str">
        <f t="shared" si="173"/>
        <v>-0.215477503054111+0.461224576749913j</v>
      </c>
      <c r="Y262" s="86">
        <f t="shared" si="174"/>
        <v>-5.8643426669877901</v>
      </c>
      <c r="Z262" s="86">
        <f t="shared" si="175"/>
        <v>-64.958693560513254</v>
      </c>
      <c r="AB262" s="86" t="str">
        <f t="shared" si="176"/>
        <v>-0.00241843417827215-0.001084902524787j</v>
      </c>
      <c r="AC262" s="86">
        <f t="shared" si="177"/>
        <v>-51.533019076612888</v>
      </c>
      <c r="AD262" s="86">
        <f t="shared" si="178"/>
        <v>24.16086528202581</v>
      </c>
      <c r="AF262" s="86" t="str">
        <f t="shared" si="179"/>
        <v>-0.00289506053697407+0.000319137497036633j</v>
      </c>
      <c r="AG262" s="86">
        <f t="shared" si="180"/>
        <v>-50.714390522347799</v>
      </c>
      <c r="AH262" s="86">
        <f t="shared" si="181"/>
        <v>-6.290611437050444</v>
      </c>
      <c r="AJ262" s="86" t="str">
        <f t="shared" si="182"/>
        <v>1211.58798173798-3263.11727951783j</v>
      </c>
      <c r="AK262" s="86" t="str">
        <f t="shared" si="183"/>
        <v>19999.9999999997-0.00229213324233181j</v>
      </c>
      <c r="AL262" s="86" t="str">
        <f t="shared" si="197"/>
        <v>10000-3877.99833130383j</v>
      </c>
      <c r="AM262" s="86" t="str">
        <f t="shared" si="198"/>
        <v>231.377396182263-1614.99348142377j</v>
      </c>
      <c r="AN262" s="86" t="str">
        <f t="shared" si="199"/>
        <v>10231.3773961823-1614.99348142377j</v>
      </c>
      <c r="AO262" s="86" t="str">
        <f t="shared" si="200"/>
        <v>6806.36613969431-704.818713749984j</v>
      </c>
      <c r="AP262" s="86" t="str">
        <f t="shared" si="201"/>
        <v>0.921082780030596+0.14169617838528j</v>
      </c>
      <c r="AQ262" s="86" t="str">
        <f t="shared" si="184"/>
        <v>1+333.505386759282j</v>
      </c>
      <c r="AR262" s="86">
        <f t="shared" si="185"/>
        <v>-2.2933063504630525E-2</v>
      </c>
      <c r="AS262" s="86" t="str">
        <f t="shared" si="186"/>
        <v>0.0278942300992193j</v>
      </c>
      <c r="AT262" s="86" t="str">
        <f t="shared" si="187"/>
        <v>-0.0229330635046305+0.0278942300992193j</v>
      </c>
      <c r="AU262" s="86" t="str">
        <f t="shared" si="188"/>
        <v>1.06746706786056-0.882988702994793j</v>
      </c>
      <c r="AW262" s="86" t="str">
        <f t="shared" si="202"/>
        <v>-0.138798327531965-0.291250695460627j</v>
      </c>
      <c r="AX262" s="86">
        <f t="shared" si="189"/>
        <v>-9.8258288337970239</v>
      </c>
      <c r="AY262" s="86">
        <f t="shared" si="190"/>
        <v>64.519415437394642</v>
      </c>
      <c r="AZ262" s="86" t="str">
        <f t="shared" si="191"/>
        <v>0.0000196960043391126+0.000854953292323156j</v>
      </c>
      <c r="BA262" s="86">
        <f t="shared" si="192"/>
        <v>-61.358847910409921</v>
      </c>
      <c r="BB262" s="86">
        <f t="shared" si="193"/>
        <v>-91.319719280579548</v>
      </c>
      <c r="BD262" s="86" t="str">
        <f t="shared" si="194"/>
        <v>0.000494778578595276+0.000798892643952892j</v>
      </c>
      <c r="BE262" s="86">
        <f t="shared" si="195"/>
        <v>-60.540219356144824</v>
      </c>
      <c r="BF262" s="86">
        <f t="shared" si="196"/>
        <v>-121.77119599965576</v>
      </c>
      <c r="BH262" s="86">
        <f t="shared" si="203"/>
        <v>61.540219356144824</v>
      </c>
      <c r="BI262" s="159">
        <f t="shared" si="204"/>
        <v>121.77119599965576</v>
      </c>
      <c r="BJ262" s="88"/>
      <c r="BK262" s="88"/>
      <c r="BL262" s="88"/>
      <c r="BM262" s="88"/>
      <c r="BN262" s="42"/>
      <c r="BO262" s="42"/>
      <c r="BP262" s="42"/>
    </row>
    <row r="263" spans="1:68" s="86" customFormat="1">
      <c r="A263" s="86">
        <v>199</v>
      </c>
      <c r="B263" s="86">
        <f t="shared" si="154"/>
        <v>954992.58602143696</v>
      </c>
      <c r="C263" s="86" t="str">
        <f t="shared" si="155"/>
        <v>6000395.38495533j</v>
      </c>
      <c r="D263" s="86">
        <f t="shared" si="156"/>
        <v>-13.592173429694581</v>
      </c>
      <c r="E263" s="86" t="str">
        <f t="shared" si="157"/>
        <v>-6.00039538495533j</v>
      </c>
      <c r="F263" s="86" t="str">
        <f t="shared" si="158"/>
        <v>-13.5921734296946-6.00039538495533j</v>
      </c>
      <c r="G263" s="86">
        <f t="shared" si="159"/>
        <v>23.439044960913044</v>
      </c>
      <c r="H263" s="86">
        <f t="shared" si="160"/>
        <v>-156.1804789900811</v>
      </c>
      <c r="J263" s="86">
        <f t="shared" si="161"/>
        <v>17.283950617283953</v>
      </c>
      <c r="K263" s="86" t="str">
        <f t="shared" si="162"/>
        <v>1+72.4547742733356j</v>
      </c>
      <c r="L263" s="86">
        <f t="shared" si="163"/>
        <v>-1072.4747979449453</v>
      </c>
      <c r="M263" s="86" t="str">
        <f t="shared" si="164"/>
        <v>16.160324113926j</v>
      </c>
      <c r="N263" s="86" t="str">
        <f t="shared" si="165"/>
        <v>-1072.47479794495+16.160324113926j</v>
      </c>
      <c r="O263" s="86" t="str">
        <f t="shared" si="166"/>
        <v>0.0000855462610423118-0.0675571975741191j</v>
      </c>
      <c r="P263" s="86" t="str">
        <f t="shared" si="167"/>
        <v>0.0014785773513486-1.16765526671317j</v>
      </c>
      <c r="R263" s="86">
        <f t="shared" si="168"/>
        <v>6.9135802469135808</v>
      </c>
      <c r="S263" s="86" t="str">
        <f t="shared" si="169"/>
        <v>1+0.45002965387165j</v>
      </c>
      <c r="T263" s="86" t="str">
        <f t="shared" si="170"/>
        <v>-1072.47479794495+16.160324113926j</v>
      </c>
      <c r="U263" s="86" t="str">
        <f t="shared" si="171"/>
        <v>-0.000925889707350675-0.000433569471774248j</v>
      </c>
      <c r="V263" s="86" t="str">
        <f t="shared" si="172"/>
        <v>-0.00640121279156022-0.0029975173357232j</v>
      </c>
      <c r="X263" s="86" t="str">
        <f t="shared" si="173"/>
        <v>-0.215462252429713+0.48639986734655j</v>
      </c>
      <c r="Y263" s="86">
        <f t="shared" si="174"/>
        <v>-5.4820003990162149</v>
      </c>
      <c r="Z263" s="86">
        <f t="shared" si="175"/>
        <v>-66.107926586087132</v>
      </c>
      <c r="AB263" s="86" t="str">
        <f t="shared" si="176"/>
        <v>-0.00220548952300173-0.00103277195966207j</v>
      </c>
      <c r="AC263" s="86">
        <f t="shared" si="177"/>
        <v>-52.268865778269472</v>
      </c>
      <c r="AD263" s="86">
        <f t="shared" si="178"/>
        <v>25.092440330269426</v>
      </c>
      <c r="AF263" s="86" t="str">
        <f t="shared" si="179"/>
        <v>-0.00262019838301359+0.000308069544143552j</v>
      </c>
      <c r="AG263" s="86">
        <f t="shared" si="180"/>
        <v>-51.573691453936178</v>
      </c>
      <c r="AH263" s="86">
        <f t="shared" si="181"/>
        <v>-6.7057584160855299</v>
      </c>
      <c r="AJ263" s="86" t="str">
        <f t="shared" si="182"/>
        <v>1116.88813794273-3149.83210135875j</v>
      </c>
      <c r="AK263" s="86" t="str">
        <f t="shared" si="183"/>
        <v>19999.9999999997-0.00240015815398211j</v>
      </c>
      <c r="AL263" s="86" t="str">
        <f t="shared" si="197"/>
        <v>10000-3703.45965499866j</v>
      </c>
      <c r="AM263" s="86" t="str">
        <f t="shared" si="198"/>
        <v>215.575498682452-1550.79244626278j</v>
      </c>
      <c r="AN263" s="86" t="str">
        <f t="shared" si="199"/>
        <v>10215.5754986825-1550.79244626278j</v>
      </c>
      <c r="AO263" s="86" t="str">
        <f t="shared" si="200"/>
        <v>6796.57458257304-677.656482471276j</v>
      </c>
      <c r="AP263" s="86" t="str">
        <f t="shared" si="201"/>
        <v>0.926495422385353+0.138197675135909j</v>
      </c>
      <c r="AQ263" s="86" t="str">
        <f t="shared" si="184"/>
        <v>1+349.2230114044j</v>
      </c>
      <c r="AR263" s="86">
        <f t="shared" si="185"/>
        <v>-2.5145613751413977E-2</v>
      </c>
      <c r="AS263" s="86" t="str">
        <f t="shared" si="186"/>
        <v>0.0292088446627933j</v>
      </c>
      <c r="AT263" s="86" t="str">
        <f t="shared" si="187"/>
        <v>-0.025145613751414+0.0292088446627933j</v>
      </c>
      <c r="AU263" s="86" t="str">
        <f t="shared" si="188"/>
        <v>1.02748630436591-0.889688518818936j</v>
      </c>
      <c r="AW263" s="86" t="str">
        <f t="shared" si="202"/>
        <v>-0.143333826700711-0.268463248591442j</v>
      </c>
      <c r="AX263" s="86">
        <f t="shared" si="189"/>
        <v>-10.333088135634283</v>
      </c>
      <c r="AY263" s="86">
        <f t="shared" si="190"/>
        <v>61.902025844380873</v>
      </c>
      <c r="AZ263" s="86" t="str">
        <f t="shared" si="191"/>
        <v>0.0000388599377351339+0.000740124039166991j</v>
      </c>
      <c r="BA263" s="86">
        <f t="shared" si="192"/>
        <v>-62.601953913903756</v>
      </c>
      <c r="BB263" s="86">
        <f t="shared" si="193"/>
        <v>-93.005533825349644</v>
      </c>
      <c r="BD263" s="86" t="str">
        <f t="shared" si="194"/>
        <v>0.000458268411565216+0.000659270183205835j</v>
      </c>
      <c r="BE263" s="86">
        <f t="shared" si="195"/>
        <v>-61.906779589570434</v>
      </c>
      <c r="BF263" s="86">
        <f t="shared" si="196"/>
        <v>-124.80373257170461</v>
      </c>
      <c r="BH263" s="86">
        <f t="shared" si="203"/>
        <v>62.906779589570434</v>
      </c>
      <c r="BI263" s="159">
        <f t="shared" si="204"/>
        <v>124.80373257170461</v>
      </c>
      <c r="BJ263" s="88"/>
      <c r="BK263" s="88"/>
      <c r="BL263" s="88"/>
      <c r="BM263" s="88"/>
      <c r="BN263" s="42"/>
      <c r="BO263" s="42"/>
      <c r="BP263" s="42"/>
    </row>
    <row r="264" spans="1:68" s="86" customFormat="1">
      <c r="A264" s="86">
        <v>200</v>
      </c>
      <c r="B264" s="86">
        <f t="shared" si="154"/>
        <v>1000000</v>
      </c>
      <c r="C264" s="86" t="str">
        <f t="shared" si="155"/>
        <v>6283185.30717959j</v>
      </c>
      <c r="D264" s="86">
        <f t="shared" si="156"/>
        <v>-15.000000000000028</v>
      </c>
      <c r="E264" s="86" t="str">
        <f t="shared" si="157"/>
        <v>-6.28318530717959j</v>
      </c>
      <c r="F264" s="86" t="str">
        <f t="shared" si="158"/>
        <v>-15-6.28318530717959j</v>
      </c>
      <c r="G264" s="86">
        <f t="shared" si="159"/>
        <v>24.223902378163331</v>
      </c>
      <c r="H264" s="86">
        <f t="shared" si="160"/>
        <v>-157.27221267397849</v>
      </c>
      <c r="J264" s="86">
        <f t="shared" si="161"/>
        <v>17.283950617283953</v>
      </c>
      <c r="K264" s="86" t="str">
        <f t="shared" si="162"/>
        <v>1+75.8694625841935j</v>
      </c>
      <c r="L264" s="86">
        <f t="shared" si="163"/>
        <v>-1176.0417100558436</v>
      </c>
      <c r="M264" s="86" t="str">
        <f t="shared" si="164"/>
        <v>16.9219367254473j</v>
      </c>
      <c r="N264" s="86" t="str">
        <f t="shared" si="165"/>
        <v>-1176.04171005584+16.9219367254473j</v>
      </c>
      <c r="O264" s="86" t="str">
        <f t="shared" si="166"/>
        <v>0.000077938135892715-0.0645114395784373j</v>
      </c>
      <c r="P264" s="86" t="str">
        <f t="shared" si="167"/>
        <v>0.00134707889197285-1.11501253592361j</v>
      </c>
      <c r="R264" s="86">
        <f t="shared" si="168"/>
        <v>6.9135802469135808</v>
      </c>
      <c r="S264" s="86" t="str">
        <f t="shared" si="169"/>
        <v>1+0.471238898038469j</v>
      </c>
      <c r="T264" s="86" t="str">
        <f t="shared" si="170"/>
        <v>-1176.04171005584+16.9219367254473j</v>
      </c>
      <c r="U264" s="86" t="str">
        <f t="shared" si="171"/>
        <v>-0.000844369542586954-0.000412848678630596j</v>
      </c>
      <c r="V264" s="86" t="str">
        <f t="shared" si="172"/>
        <v>-0.00583761659072462-0.00285426246954486j</v>
      </c>
      <c r="X264" s="86" t="str">
        <f t="shared" si="173"/>
        <v>-0.215448337379759+0.512606272132432j</v>
      </c>
      <c r="Y264" s="86">
        <f t="shared" si="174"/>
        <v>-5.0978414552620599</v>
      </c>
      <c r="Z264" s="86">
        <f t="shared" si="175"/>
        <v>-67.202992019372701</v>
      </c>
      <c r="AB264" s="86" t="str">
        <f t="shared" si="176"/>
        <v>-0.00201130670849112-0.000983414577434144j</v>
      </c>
      <c r="AC264" s="86">
        <f t="shared" si="177"/>
        <v>-52.999491748012808</v>
      </c>
      <c r="AD264" s="86">
        <f t="shared" si="178"/>
        <v>26.056003074331755</v>
      </c>
      <c r="AF264" s="86" t="str">
        <f t="shared" si="179"/>
        <v>-0.00237061425743358+0.000295426255243392j</v>
      </c>
      <c r="AG264" s="86">
        <f t="shared" si="180"/>
        <v>-52.435853829006348</v>
      </c>
      <c r="AH264" s="86">
        <f t="shared" si="181"/>
        <v>-7.1035852051067536</v>
      </c>
      <c r="AJ264" s="86" t="str">
        <f t="shared" si="182"/>
        <v>1028.72377328348-3037.92118579732j</v>
      </c>
      <c r="AK264" s="86" t="str">
        <f t="shared" si="183"/>
        <v>19999.9999999997-0.0025132741228718j</v>
      </c>
      <c r="AL264" s="86" t="str">
        <f t="shared" si="197"/>
        <v>10000-3536.77651315322j</v>
      </c>
      <c r="AM264" s="86" t="str">
        <f t="shared" si="198"/>
        <v>200.55701239055-1488.69725792815j</v>
      </c>
      <c r="AN264" s="86" t="str">
        <f t="shared" si="199"/>
        <v>10200.5570123906-1488.69725792815j</v>
      </c>
      <c r="AO264" s="86" t="str">
        <f t="shared" si="200"/>
        <v>6787.31621170058-651.302381471062j</v>
      </c>
      <c r="AP264" s="86" t="str">
        <f t="shared" si="201"/>
        <v>0.9316365843841+0.134589163653578j</v>
      </c>
      <c r="AQ264" s="86" t="str">
        <f t="shared" si="184"/>
        <v>1+365.681384877852j</v>
      </c>
      <c r="AR264" s="86">
        <f t="shared" si="185"/>
        <v>-2.7571626854883274E-2</v>
      </c>
      <c r="AS264" s="86" t="str">
        <f t="shared" si="186"/>
        <v>0.0305854151019949j</v>
      </c>
      <c r="AT264" s="86" t="str">
        <f t="shared" si="187"/>
        <v>-0.0275716268548833+0.0305854151019949j</v>
      </c>
      <c r="AU264" s="86" t="str">
        <f t="shared" si="188"/>
        <v>0.986954698074801-0.894607660767297j</v>
      </c>
      <c r="AW264" s="86" t="str">
        <f t="shared" si="202"/>
        <v>-0.146397555522963-0.246364992412822j</v>
      </c>
      <c r="AX264" s="86">
        <f t="shared" si="189"/>
        <v>-10.855089976560436</v>
      </c>
      <c r="AY264" s="86">
        <f t="shared" si="190"/>
        <v>59.279933348972619</v>
      </c>
      <c r="AZ264" s="86" t="str">
        <f t="shared" si="191"/>
        <v>0.0000521714606218149+0.000639485052179279j</v>
      </c>
      <c r="BA264" s="86">
        <f t="shared" si="192"/>
        <v>-63.854581724573251</v>
      </c>
      <c r="BB264" s="86">
        <f t="shared" si="193"/>
        <v>-94.664063576695611</v>
      </c>
      <c r="BD264" s="86" t="str">
        <f t="shared" si="194"/>
        <v>0.000419834819507746+0.000540786681941415j</v>
      </c>
      <c r="BE264" s="86">
        <f t="shared" si="195"/>
        <v>-63.290943805566798</v>
      </c>
      <c r="BF264" s="86">
        <f t="shared" si="196"/>
        <v>-127.82365185613415</v>
      </c>
      <c r="BH264" s="86">
        <f t="shared" si="203"/>
        <v>64.290943805566798</v>
      </c>
      <c r="BI264" s="159">
        <f t="shared" si="204"/>
        <v>127.82365185613415</v>
      </c>
      <c r="BJ264" s="88"/>
      <c r="BK264" s="88"/>
      <c r="BL264" s="88"/>
      <c r="BM264" s="88"/>
      <c r="BN264" s="42"/>
      <c r="BO264" s="42"/>
      <c r="BP264" s="42"/>
    </row>
    <row r="265" spans="1:68" s="82" customFormat="1">
      <c r="BN265" s="42"/>
      <c r="BO265" s="42"/>
      <c r="BP265" s="42"/>
    </row>
    <row r="266" spans="1:68" s="82" customFormat="1">
      <c r="BN266" s="42"/>
      <c r="BO266" s="42"/>
      <c r="BP266" s="42"/>
    </row>
    <row r="267" spans="1:68" s="82" customFormat="1">
      <c r="BN267" s="42"/>
      <c r="BO267" s="42"/>
      <c r="BP267" s="42"/>
    </row>
    <row r="268" spans="1:68" s="82" customFormat="1">
      <c r="BN268" s="42"/>
      <c r="BO268" s="42"/>
      <c r="BP268" s="42"/>
    </row>
    <row r="269" spans="1:68" s="82" customFormat="1">
      <c r="BN269" s="42"/>
      <c r="BO269" s="42"/>
      <c r="BP269" s="42"/>
    </row>
    <row r="270" spans="1:68" s="82" customFormat="1">
      <c r="BN270" s="42"/>
      <c r="BO270" s="42"/>
      <c r="BP270" s="42"/>
    </row>
    <row r="271" spans="1:68" s="82" customFormat="1">
      <c r="BN271" s="42"/>
      <c r="BO271" s="42"/>
      <c r="BP271" s="42"/>
    </row>
    <row r="272" spans="1:68" s="82" customFormat="1">
      <c r="BN272" s="42"/>
      <c r="BO272" s="42"/>
      <c r="BP272" s="42"/>
    </row>
    <row r="273" spans="1:68" s="82" customFormat="1">
      <c r="BN273" s="42"/>
      <c r="BO273" s="42"/>
      <c r="BP273" s="42"/>
    </row>
    <row r="274" spans="1:68" s="82" customFormat="1">
      <c r="BN274" s="42"/>
      <c r="BO274" s="42"/>
      <c r="BP274" s="42"/>
    </row>
    <row r="275" spans="1:68" s="41" customForma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BN275" s="42"/>
      <c r="BO275" s="42"/>
      <c r="BP275" s="42"/>
    </row>
    <row r="276" spans="1:68" s="41" customForma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BN276" s="42"/>
      <c r="BO276" s="42"/>
      <c r="BP276" s="42"/>
    </row>
    <row r="277" spans="1:68" s="41" customForma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BN277" s="42"/>
      <c r="BO277" s="42"/>
      <c r="BP277" s="42"/>
    </row>
    <row r="278" spans="1:68" s="41" customForma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BN278" s="42"/>
      <c r="BO278" s="42"/>
      <c r="BP278" s="42"/>
    </row>
    <row r="279" spans="1:68" s="41" customFormat="1">
      <c r="BN279" s="42"/>
      <c r="BO279" s="42"/>
      <c r="BP279" s="42"/>
    </row>
    <row r="280" spans="1:68">
      <c r="BN280" s="42"/>
      <c r="BO280" s="42"/>
      <c r="BP280" s="42"/>
    </row>
    <row r="281" spans="1:68">
      <c r="BN281" s="42"/>
      <c r="BO281" s="42"/>
      <c r="BP281" s="42"/>
    </row>
    <row r="282" spans="1:68">
      <c r="BN282" s="42"/>
      <c r="BO282" s="42"/>
      <c r="BP282" s="42"/>
    </row>
    <row r="283" spans="1:68">
      <c r="BN283" s="42"/>
      <c r="BO283" s="42"/>
      <c r="BP283" s="42"/>
    </row>
    <row r="284" spans="1:68">
      <c r="BN284" s="42"/>
      <c r="BO284" s="42"/>
      <c r="BP284" s="42"/>
    </row>
    <row r="285" spans="1:68">
      <c r="BN285" s="42"/>
      <c r="BO285" s="42"/>
      <c r="BP285" s="42"/>
    </row>
    <row r="286" spans="1:68">
      <c r="BN286" s="42"/>
      <c r="BO286" s="42"/>
      <c r="BP286" s="42"/>
    </row>
    <row r="287" spans="1:68">
      <c r="BN287" s="42"/>
      <c r="BO287" s="42"/>
      <c r="BP287" s="42"/>
    </row>
    <row r="288" spans="1:68">
      <c r="BN288" s="42"/>
      <c r="BO288" s="42"/>
      <c r="BP288" s="42"/>
    </row>
    <row r="289" spans="66:68">
      <c r="BN289" s="42"/>
      <c r="BO289" s="42"/>
      <c r="BP289" s="42"/>
    </row>
    <row r="290" spans="66:68">
      <c r="BN290" s="42"/>
      <c r="BO290" s="42"/>
      <c r="BP290" s="42"/>
    </row>
    <row r="291" spans="66:68">
      <c r="BN291" s="42"/>
      <c r="BO291" s="42"/>
      <c r="BP291" s="42"/>
    </row>
    <row r="292" spans="66:68">
      <c r="BN292" s="42"/>
      <c r="BO292" s="42"/>
      <c r="BP292" s="42"/>
    </row>
    <row r="293" spans="66:68">
      <c r="BN293" s="42"/>
      <c r="BO293" s="42"/>
      <c r="BP293" s="42"/>
    </row>
    <row r="294" spans="66:68">
      <c r="BN294" s="42"/>
      <c r="BO294" s="42"/>
      <c r="BP294" s="42"/>
    </row>
    <row r="295" spans="66:68">
      <c r="BN295" s="42"/>
      <c r="BO295" s="42"/>
      <c r="BP295" s="42"/>
    </row>
    <row r="296" spans="66:68">
      <c r="BN296" s="42"/>
      <c r="BO296" s="42"/>
      <c r="BP296" s="42"/>
    </row>
    <row r="297" spans="66:68">
      <c r="BN297" s="42"/>
      <c r="BO297" s="42"/>
      <c r="BP297" s="42"/>
    </row>
    <row r="298" spans="66:68">
      <c r="BN298" s="42"/>
      <c r="BO298" s="42"/>
      <c r="BP298" s="42"/>
    </row>
    <row r="299" spans="66:68">
      <c r="BN299" s="42"/>
      <c r="BO299" s="42"/>
      <c r="BP299" s="42"/>
    </row>
    <row r="300" spans="66:68">
      <c r="BN300" s="42"/>
      <c r="BO300" s="42"/>
      <c r="BP300" s="42"/>
    </row>
    <row r="301" spans="66:68">
      <c r="BN301" s="42"/>
      <c r="BO301" s="42"/>
      <c r="BP301" s="42"/>
    </row>
  </sheetData>
  <sheetProtection password="C6F9" sheet="1" objects="1" scenarios="1" selectLockedCells="1"/>
  <mergeCells count="18">
    <mergeCell ref="A32:B32"/>
    <mergeCell ref="A33:B33"/>
    <mergeCell ref="A34:B34"/>
    <mergeCell ref="AV62:AW62"/>
    <mergeCell ref="J20:L20"/>
    <mergeCell ref="O20:P21"/>
    <mergeCell ref="J27:L27"/>
    <mergeCell ref="M27:N27"/>
    <mergeCell ref="A30:G30"/>
    <mergeCell ref="A31:B31"/>
    <mergeCell ref="A19:E19"/>
    <mergeCell ref="J19:N19"/>
    <mergeCell ref="O19:P19"/>
    <mergeCell ref="BN1:BP1"/>
    <mergeCell ref="A16:N16"/>
    <mergeCell ref="O16:P17"/>
    <mergeCell ref="A17:N17"/>
    <mergeCell ref="O18:P18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F2A17C-F99C-4684-B1A8-F5B5106A2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E87684-5391-48C3-B48D-FBE845EA229F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A33780-F6AD-4A76-B394-89A105FAA8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2022-11-14T22:49:38Z</dcterms:modified>
</cp:coreProperties>
</file>