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IC 评估\AL17052V5\AL17052EV1\"/>
    </mc:Choice>
  </mc:AlternateContent>
  <xr:revisionPtr revIDLastSave="0" documentId="8_{F6496309-11B0-4685-8099-5F1A6E2D1EF9}" xr6:coauthVersionLast="47" xr6:coauthVersionMax="47" xr10:uidLastSave="{00000000-0000-0000-0000-000000000000}"/>
  <workbookProtection workbookAlgorithmName="SHA-512" workbookHashValue="n+uw5mrCOG7ZjBcY0vFNVqAIZZb+RxtiMuhCVfK4BoSHTTI+ApyA962WX/3q1uCVo3vNY26xXC3y8nSVRQo1Iw==" workbookSaltValue="mxyFH04r2wi9T1QMSI0Beg==" workbookSpinCount="100000" lockStructure="1"/>
  <bookViews>
    <workbookView xWindow="-110" yWindow="-110" windowWidth="19420" windowHeight="10420" tabRatio="602" xr2:uid="{00000000-000D-0000-FFFF-FFFF00000000}"/>
  </bookViews>
  <sheets>
    <sheet name="AL17052" sheetId="1" r:id="rId1"/>
    <sheet name="Sheet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9" i="1"/>
  <c r="C35" i="1"/>
  <c r="C46" i="1" l="1"/>
  <c r="C48" i="1" l="1"/>
  <c r="C47" i="1"/>
  <c r="C44" i="1"/>
  <c r="F25" i="1"/>
  <c r="C25" i="1"/>
  <c r="F24" i="1"/>
  <c r="C24" i="1"/>
  <c r="F23" i="1"/>
  <c r="B4" i="2"/>
  <c r="D25" i="1"/>
  <c r="D24" i="1"/>
  <c r="D23" i="1"/>
  <c r="C38" i="1"/>
  <c r="C26" i="1" l="1"/>
  <c r="C27" i="1" s="1"/>
  <c r="D26" i="1"/>
  <c r="D30" i="1" s="1"/>
  <c r="F26" i="1"/>
  <c r="C30" i="1" s="1"/>
  <c r="J9" i="2"/>
  <c r="J8" i="2"/>
  <c r="J7" i="2"/>
  <c r="J6" i="2"/>
  <c r="J5" i="2"/>
  <c r="J4" i="2"/>
  <c r="B8" i="2"/>
  <c r="B7" i="2"/>
  <c r="B6" i="2"/>
  <c r="B5" i="2"/>
  <c r="B9" i="2"/>
  <c r="C28" i="1" l="1"/>
  <c r="C41" i="1"/>
  <c r="D28" i="1"/>
  <c r="D41" i="1"/>
  <c r="F27" i="1"/>
  <c r="C39" i="1"/>
  <c r="C43" i="1" s="1"/>
  <c r="D27" i="1"/>
  <c r="D48" i="1"/>
  <c r="D47" i="1"/>
  <c r="D46" i="1"/>
  <c r="C33" i="1" l="1"/>
  <c r="C29" i="1"/>
  <c r="C21" i="1" s="1"/>
  <c r="C42" i="1"/>
  <c r="D29" i="1"/>
  <c r="C45" i="1"/>
  <c r="D39" i="1"/>
  <c r="D44" i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B23" i="2"/>
  <c r="B22" i="2"/>
  <c r="B21" i="2"/>
  <c r="B20" i="2"/>
  <c r="B19" i="2"/>
  <c r="B18" i="2"/>
  <c r="B17" i="2"/>
  <c r="B16" i="2"/>
  <c r="B15" i="2"/>
  <c r="B14" i="2"/>
  <c r="B12" i="2"/>
  <c r="B11" i="2"/>
  <c r="B10" i="2"/>
  <c r="B13" i="2"/>
  <c r="C49" i="1" l="1"/>
  <c r="C50" i="1" s="1"/>
  <c r="D42" i="1"/>
  <c r="D43" i="1"/>
  <c r="M22" i="2"/>
  <c r="N22" i="2" s="1"/>
  <c r="M5" i="2"/>
  <c r="N5" i="2" s="1"/>
  <c r="M9" i="2"/>
  <c r="N9" i="2" s="1"/>
  <c r="M13" i="2"/>
  <c r="N13" i="2" s="1"/>
  <c r="M17" i="2"/>
  <c r="N17" i="2" s="1"/>
  <c r="M21" i="2"/>
  <c r="N21" i="2" s="1"/>
  <c r="M6" i="2"/>
  <c r="N6" i="2" s="1"/>
  <c r="M10" i="2"/>
  <c r="N10" i="2" s="1"/>
  <c r="M14" i="2"/>
  <c r="N14" i="2" s="1"/>
  <c r="M18" i="2"/>
  <c r="N18" i="2" s="1"/>
  <c r="M15" i="2"/>
  <c r="N15" i="2" s="1"/>
  <c r="M7" i="2"/>
  <c r="N7" i="2" s="1"/>
  <c r="M4" i="2"/>
  <c r="M23" i="2"/>
  <c r="N23" i="2" s="1"/>
  <c r="M20" i="2"/>
  <c r="N20" i="2" s="1"/>
  <c r="M19" i="2"/>
  <c r="N19" i="2" s="1"/>
  <c r="M16" i="2"/>
  <c r="N16" i="2" s="1"/>
  <c r="M12" i="2"/>
  <c r="N12" i="2" s="1"/>
  <c r="M11" i="2"/>
  <c r="N11" i="2" s="1"/>
  <c r="M8" i="2"/>
  <c r="N8" i="2" s="1"/>
  <c r="N4" i="2" l="1"/>
  <c r="O4" i="2"/>
  <c r="D45" i="1"/>
  <c r="D49" i="1" s="1"/>
  <c r="O22" i="2"/>
  <c r="P22" i="2" s="1"/>
  <c r="Q22" i="2" s="1"/>
  <c r="O6" i="2"/>
  <c r="P6" i="2" s="1"/>
  <c r="Q6" i="2" s="1"/>
  <c r="O18" i="2"/>
  <c r="P18" i="2" s="1"/>
  <c r="Q18" i="2" s="1"/>
  <c r="O19" i="2"/>
  <c r="P19" i="2" s="1"/>
  <c r="Q19" i="2" s="1"/>
  <c r="O8" i="2"/>
  <c r="P8" i="2" s="1"/>
  <c r="Q8" i="2" s="1"/>
  <c r="O5" i="2"/>
  <c r="P5" i="2" s="1"/>
  <c r="Q5" i="2" s="1"/>
  <c r="O17" i="2"/>
  <c r="P17" i="2" s="1"/>
  <c r="Q17" i="2" s="1"/>
  <c r="O9" i="2"/>
  <c r="P9" i="2" s="1"/>
  <c r="Q9" i="2" s="1"/>
  <c r="O21" i="2"/>
  <c r="P21" i="2" s="1"/>
  <c r="Q21" i="2" s="1"/>
  <c r="O23" i="2"/>
  <c r="P23" i="2" s="1"/>
  <c r="Q23" i="2" s="1"/>
  <c r="O13" i="2"/>
  <c r="P13" i="2" s="1"/>
  <c r="Q13" i="2" s="1"/>
  <c r="O10" i="2"/>
  <c r="O14" i="2"/>
  <c r="P14" i="2" s="1"/>
  <c r="Q14" i="2" s="1"/>
  <c r="O20" i="2"/>
  <c r="P20" i="2" s="1"/>
  <c r="Q20" i="2" s="1"/>
  <c r="O16" i="2"/>
  <c r="P16" i="2" s="1"/>
  <c r="Q16" i="2" s="1"/>
  <c r="O15" i="2"/>
  <c r="P15" i="2" s="1"/>
  <c r="Q15" i="2" s="1"/>
  <c r="O12" i="2"/>
  <c r="O7" i="2"/>
  <c r="O11" i="2"/>
  <c r="P11" i="2" s="1"/>
  <c r="Q11" i="2" s="1"/>
  <c r="P10" i="2" l="1"/>
  <c r="Q10" i="2" s="1"/>
  <c r="P12" i="2"/>
  <c r="Q12" i="2" s="1"/>
  <c r="P7" i="2"/>
  <c r="Q7" i="2" s="1"/>
  <c r="P4" i="2"/>
  <c r="Q4" i="2" s="1"/>
  <c r="C23" i="2" l="1"/>
  <c r="C22" i="2"/>
  <c r="C21" i="2"/>
  <c r="C20" i="2"/>
  <c r="C19" i="2"/>
  <c r="C18" i="2"/>
  <c r="C17" i="2"/>
  <c r="C16" i="2"/>
  <c r="C15" i="2"/>
  <c r="C14" i="2"/>
  <c r="C13" i="2"/>
  <c r="D23" i="2"/>
  <c r="D22" i="2"/>
  <c r="D21" i="2"/>
  <c r="D20" i="2"/>
  <c r="D19" i="2"/>
  <c r="D18" i="2"/>
  <c r="D17" i="2"/>
  <c r="D16" i="2"/>
  <c r="D15" i="2"/>
  <c r="D14" i="2"/>
  <c r="D13" i="2"/>
  <c r="E14" i="2" l="1"/>
  <c r="F14" i="2" s="1"/>
  <c r="E16" i="2"/>
  <c r="F16" i="2" s="1"/>
  <c r="E18" i="2"/>
  <c r="F18" i="2" s="1"/>
  <c r="E13" i="2"/>
  <c r="F13" i="2" s="1"/>
  <c r="E17" i="2"/>
  <c r="F17" i="2" s="1"/>
  <c r="E15" i="2"/>
  <c r="F15" i="2" s="1"/>
  <c r="E19" i="2"/>
  <c r="F19" i="2" s="1"/>
  <c r="E22" i="2"/>
  <c r="F22" i="2" s="1"/>
  <c r="E21" i="2"/>
  <c r="F21" i="2" s="1"/>
  <c r="E23" i="2"/>
  <c r="F23" i="2" s="1"/>
  <c r="E20" i="2"/>
  <c r="F20" i="2" s="1"/>
  <c r="D50" i="1" l="1"/>
  <c r="G15" i="2"/>
  <c r="H15" i="2" s="1"/>
  <c r="I15" i="2" s="1"/>
  <c r="G22" i="2"/>
  <c r="H22" i="2" s="1"/>
  <c r="I22" i="2" s="1"/>
  <c r="G23" i="2"/>
  <c r="G14" i="2"/>
  <c r="G18" i="2"/>
  <c r="G19" i="2"/>
  <c r="G20" i="2"/>
  <c r="G21" i="2"/>
  <c r="G16" i="2"/>
  <c r="G17" i="2"/>
  <c r="H21" i="2" l="1"/>
  <c r="I21" i="2" s="1"/>
  <c r="H20" i="2"/>
  <c r="I20" i="2" s="1"/>
  <c r="H18" i="2"/>
  <c r="I18" i="2" s="1"/>
  <c r="H17" i="2"/>
  <c r="I17" i="2" s="1"/>
  <c r="H16" i="2"/>
  <c r="I16" i="2" s="1"/>
  <c r="H19" i="2"/>
  <c r="I19" i="2" s="1"/>
  <c r="H14" i="2"/>
  <c r="I14" i="2" s="1"/>
  <c r="H23" i="2"/>
  <c r="I23" i="2" s="1"/>
  <c r="D4" i="2"/>
  <c r="C4" i="2"/>
  <c r="E4" i="2" l="1"/>
  <c r="F4" i="2" s="1"/>
  <c r="D12" i="2"/>
  <c r="D11" i="2"/>
  <c r="D10" i="2"/>
  <c r="D9" i="2"/>
  <c r="D8" i="2"/>
  <c r="D7" i="2"/>
  <c r="D6" i="2"/>
  <c r="D5" i="2"/>
  <c r="C12" i="2"/>
  <c r="E12" i="2" s="1"/>
  <c r="F12" i="2" s="1"/>
  <c r="C11" i="2"/>
  <c r="C10" i="2"/>
  <c r="C9" i="2"/>
  <c r="C8" i="2"/>
  <c r="E8" i="2" s="1"/>
  <c r="F8" i="2" s="1"/>
  <c r="C7" i="2"/>
  <c r="C6" i="2"/>
  <c r="C5" i="2"/>
  <c r="E7" i="2" l="1"/>
  <c r="F7" i="2" s="1"/>
  <c r="E5" i="2"/>
  <c r="F5" i="2" s="1"/>
  <c r="E6" i="2"/>
  <c r="F6" i="2" s="1"/>
  <c r="E10" i="2"/>
  <c r="F10" i="2" s="1"/>
  <c r="E9" i="2"/>
  <c r="F9" i="2" s="1"/>
  <c r="E11" i="2"/>
  <c r="F11" i="2" s="1"/>
  <c r="G4" i="2"/>
  <c r="G13" i="2"/>
  <c r="H4" i="2" l="1"/>
  <c r="I4" i="2" s="1"/>
  <c r="G11" i="2"/>
  <c r="G7" i="2"/>
  <c r="G9" i="2"/>
  <c r="G12" i="2"/>
  <c r="G10" i="2"/>
  <c r="G5" i="2"/>
  <c r="G8" i="2"/>
  <c r="G6" i="2"/>
  <c r="H5" i="2" l="1"/>
  <c r="I5" i="2" s="1"/>
  <c r="H12" i="2"/>
  <c r="I12" i="2" s="1"/>
  <c r="H7" i="2"/>
  <c r="I7" i="2" s="1"/>
  <c r="H11" i="2"/>
  <c r="I11" i="2" s="1"/>
  <c r="H8" i="2"/>
  <c r="I8" i="2" s="1"/>
  <c r="H10" i="2"/>
  <c r="I10" i="2" s="1"/>
  <c r="H9" i="2"/>
  <c r="I9" i="2" s="1"/>
  <c r="H13" i="2"/>
  <c r="I13" i="2" s="1"/>
  <c r="H6" i="2"/>
  <c r="I6" i="2" s="1"/>
</calcChain>
</file>

<file path=xl/sharedStrings.xml><?xml version="1.0" encoding="utf-8"?>
<sst xmlns="http://schemas.openxmlformats.org/spreadsheetml/2006/main" count="142" uniqueCount="118">
  <si>
    <t>V</t>
    <phoneticPr fontId="1" type="noConversion"/>
  </si>
  <si>
    <t>V</t>
    <phoneticPr fontId="1" type="noConversion"/>
  </si>
  <si>
    <t>mA</t>
    <phoneticPr fontId="1" type="noConversion"/>
  </si>
  <si>
    <t>kHz</t>
    <phoneticPr fontId="1" type="noConversion"/>
  </si>
  <si>
    <t>mH</t>
    <phoneticPr fontId="1" type="noConversion"/>
  </si>
  <si>
    <t>mA</t>
    <phoneticPr fontId="1" type="noConversion"/>
  </si>
  <si>
    <t>mH</t>
    <phoneticPr fontId="1" type="noConversion"/>
  </si>
  <si>
    <t>IC Peak Current Limit</t>
    <phoneticPr fontId="1" type="noConversion"/>
  </si>
  <si>
    <t>IC VFB Referene Voltage</t>
    <phoneticPr fontId="1" type="noConversion"/>
  </si>
  <si>
    <t>IC Minimum OFF time</t>
    <phoneticPr fontId="1" type="noConversion"/>
  </si>
  <si>
    <t>μs</t>
    <phoneticPr fontId="1" type="noConversion"/>
  </si>
  <si>
    <t>kHz</t>
    <phoneticPr fontId="1" type="noConversion"/>
  </si>
  <si>
    <t>Ω</t>
    <phoneticPr fontId="1" type="noConversion"/>
  </si>
  <si>
    <t>kΩ</t>
    <phoneticPr fontId="1" type="noConversion"/>
  </si>
  <si>
    <t>IC Parameter</t>
    <phoneticPr fontId="1" type="noConversion"/>
  </si>
  <si>
    <t>Coefficient_2nd Grade</t>
    <phoneticPr fontId="1" type="noConversion"/>
  </si>
  <si>
    <t>Coefficient_1st Grade</t>
    <phoneticPr fontId="1" type="noConversion"/>
  </si>
  <si>
    <t>Coefficient_Constant</t>
    <phoneticPr fontId="1" type="noConversion"/>
  </si>
  <si>
    <t>Coefficient_Constant</t>
    <phoneticPr fontId="1" type="noConversion"/>
  </si>
  <si>
    <t>120VAC</t>
    <phoneticPr fontId="1" type="noConversion"/>
  </si>
  <si>
    <t>Io(mA)</t>
    <phoneticPr fontId="1" type="noConversion"/>
  </si>
  <si>
    <t>230VAC</t>
    <phoneticPr fontId="1" type="noConversion"/>
  </si>
  <si>
    <t>fs(kHz)</t>
    <phoneticPr fontId="1" type="noConversion"/>
  </si>
  <si>
    <t>Ipk(mA)</t>
    <phoneticPr fontId="1" type="noConversion"/>
  </si>
  <si>
    <t>Ipk(mA)</t>
    <phoneticPr fontId="1" type="noConversion"/>
  </si>
  <si>
    <t>fs(kHz)</t>
    <phoneticPr fontId="1" type="noConversion"/>
  </si>
  <si>
    <t>Ton(μs)</t>
    <phoneticPr fontId="1" type="noConversion"/>
  </si>
  <si>
    <t>Toff(μs)</t>
    <phoneticPr fontId="1" type="noConversion"/>
  </si>
  <si>
    <t>Comment</t>
    <phoneticPr fontId="1" type="noConversion"/>
  </si>
  <si>
    <t>mA</t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</si>
  <si>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O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</si>
  <si>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IN_AC_MAX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</si>
  <si>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IN_AC_MIN</t>
    </r>
    <phoneticPr fontId="1" type="noConversion"/>
  </si>
  <si>
    <r>
      <t>f</t>
    </r>
    <r>
      <rPr>
        <sz val="8"/>
        <color theme="1"/>
        <rFont val="Arial Unicode MS"/>
        <family val="2"/>
        <charset val="134"/>
      </rPr>
      <t>_desire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</si>
  <si>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PK_desire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</si>
  <si>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PK_MAX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</si>
  <si>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FB</t>
    </r>
    <phoneticPr fontId="1" type="noConversion"/>
  </si>
  <si>
    <r>
      <t>t</t>
    </r>
    <r>
      <rPr>
        <sz val="8"/>
        <color theme="1"/>
        <rFont val="Arial Unicode MS"/>
        <family val="2"/>
        <charset val="134"/>
      </rPr>
      <t>min_off</t>
    </r>
    <phoneticPr fontId="1" type="noConversion"/>
  </si>
  <si>
    <r>
      <t>L</t>
    </r>
    <r>
      <rPr>
        <sz val="8"/>
        <color theme="1"/>
        <rFont val="Arial Unicode MS"/>
        <family val="2"/>
        <charset val="134"/>
      </rPr>
      <t>actual</t>
    </r>
    <phoneticPr fontId="1" type="noConversion"/>
  </si>
  <si>
    <r>
      <t>L</t>
    </r>
    <r>
      <rPr>
        <sz val="8"/>
        <color theme="1"/>
        <rFont val="Arial Unicode MS"/>
        <family val="2"/>
        <charset val="134"/>
      </rPr>
      <t>suggested</t>
    </r>
    <phoneticPr fontId="1" type="noConversion"/>
  </si>
  <si>
    <t>Ton</t>
    <phoneticPr fontId="1" type="noConversion"/>
  </si>
  <si>
    <t>Toff</t>
    <phoneticPr fontId="1" type="noConversion"/>
  </si>
  <si>
    <r>
      <t>R</t>
    </r>
    <r>
      <rPr>
        <sz val="8"/>
        <color theme="1"/>
        <rFont val="Arial Unicode MS"/>
        <family val="2"/>
        <charset val="134"/>
      </rPr>
      <t>dummy_suggested</t>
    </r>
    <phoneticPr fontId="1" type="noConversion"/>
  </si>
  <si>
    <t>Comment</t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</si>
  <si>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D_STRESS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</si>
  <si>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D_RMS</t>
    </r>
    <phoneticPr fontId="1" type="noConversion"/>
  </si>
  <si>
    <t>mA</t>
    <phoneticPr fontId="1" type="noConversion"/>
  </si>
  <si>
    <t>Power Loss Estimation</t>
    <phoneticPr fontId="1" type="noConversion"/>
  </si>
  <si>
    <t>%</t>
    <phoneticPr fontId="1" type="noConversion"/>
  </si>
  <si>
    <r>
      <rPr>
        <sz val="11"/>
        <color theme="1"/>
        <rFont val="Arial"/>
        <family val="2"/>
      </rPr>
      <t>η</t>
    </r>
    <r>
      <rPr>
        <sz val="8"/>
        <color theme="1"/>
        <rFont val="Arial Unicode MS"/>
        <family val="2"/>
        <charset val="134"/>
      </rPr>
      <t>_estimate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</si>
  <si>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loss_MOS_ON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</si>
  <si>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loss_MOS_SW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</si>
  <si>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loss_D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</si>
  <si>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loss_IC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</si>
  <si>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loss_L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</si>
  <si>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loss_dummy</t>
    </r>
    <phoneticPr fontId="1" type="noConversion"/>
  </si>
  <si>
    <t>Input Stage Power Loss</t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</si>
  <si>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loss_Input</t>
    </r>
    <phoneticPr fontId="1" type="noConversion"/>
  </si>
  <si>
    <t>Output Capacitor Power Loss</t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</si>
  <si>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loss_Co</t>
    </r>
    <phoneticPr fontId="1" type="noConversion"/>
  </si>
  <si>
    <t>W</t>
    <phoneticPr fontId="1" type="noConversion"/>
  </si>
  <si>
    <t>%</t>
    <phoneticPr fontId="1" type="noConversion"/>
  </si>
  <si>
    <t>MOSFET Conduction Power Loss</t>
    <phoneticPr fontId="1" type="noConversion"/>
  </si>
  <si>
    <t>MOSFET Switching Power Loss</t>
    <phoneticPr fontId="1" type="noConversion"/>
  </si>
  <si>
    <t>Diode Power Loss</t>
    <phoneticPr fontId="1" type="noConversion"/>
  </si>
  <si>
    <t>IC Power Consumption</t>
    <phoneticPr fontId="1" type="noConversion"/>
  </si>
  <si>
    <t>Inductor Power Loss</t>
    <phoneticPr fontId="1" type="noConversion"/>
  </si>
  <si>
    <t>Dummy Load Power Loss</t>
    <phoneticPr fontId="1" type="noConversion"/>
  </si>
  <si>
    <t>Total Power Loss</t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</si>
  <si>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loss_TOTAL</t>
    </r>
    <phoneticPr fontId="1" type="noConversion"/>
  </si>
  <si>
    <t>System Efficiency</t>
    <phoneticPr fontId="1" type="noConversion"/>
  </si>
  <si>
    <r>
      <t>Eff</t>
    </r>
    <r>
      <rPr>
        <sz val="8"/>
        <color theme="1"/>
        <rFont val="Arial Unicode MS"/>
        <family val="2"/>
        <charset val="134"/>
      </rPr>
      <t>_estimate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</si>
  <si>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PK_calculate</t>
    </r>
    <phoneticPr fontId="1" type="noConversion"/>
  </si>
  <si>
    <r>
      <t>f</t>
    </r>
    <r>
      <rPr>
        <sz val="8"/>
        <color theme="1"/>
        <rFont val="Arial Unicode MS"/>
        <family val="2"/>
        <charset val="134"/>
      </rPr>
      <t>calculate</t>
    </r>
    <phoneticPr fontId="1" type="noConversion"/>
  </si>
  <si>
    <r>
      <t>R</t>
    </r>
    <r>
      <rPr>
        <sz val="8"/>
        <color theme="1"/>
        <rFont val="Arial Unicode MS"/>
        <family val="2"/>
        <charset val="134"/>
      </rPr>
      <t>dummy_actual</t>
    </r>
    <phoneticPr fontId="1" type="noConversion"/>
  </si>
  <si>
    <t>MOSFET ON Time@265VAC</t>
    <phoneticPr fontId="1" type="noConversion"/>
  </si>
  <si>
    <t>MOSFET OFF Time@265VAC</t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</si>
  <si>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_MOSFET_RMS_MAX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</si>
  <si>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O_ripple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</si>
  <si>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O</t>
    </r>
    <phoneticPr fontId="1" type="noConversion"/>
  </si>
  <si>
    <t>mV</t>
    <phoneticPr fontId="1" type="noConversion"/>
  </si>
  <si>
    <t>μF</t>
    <phoneticPr fontId="1" type="noConversion"/>
  </si>
  <si>
    <r>
      <t>C</t>
    </r>
    <r>
      <rPr>
        <sz val="8"/>
        <color theme="1"/>
        <rFont val="Arial Unicode MS"/>
        <family val="2"/>
        <charset val="134"/>
      </rPr>
      <t>OUT_suggested</t>
    </r>
    <phoneticPr fontId="1" type="noConversion"/>
  </si>
  <si>
    <r>
      <t>C</t>
    </r>
    <r>
      <rPr>
        <sz val="8"/>
        <color theme="1"/>
        <rFont val="Arial Unicode MS"/>
        <family val="2"/>
        <charset val="134"/>
      </rPr>
      <t>OUT_actual</t>
    </r>
    <phoneticPr fontId="1" type="noConversion"/>
  </si>
  <si>
    <r>
      <t>ESR_C</t>
    </r>
    <r>
      <rPr>
        <sz val="8"/>
        <color theme="1"/>
        <rFont val="Arial Unicode MS"/>
        <family val="2"/>
        <charset val="134"/>
      </rPr>
      <t>OUT</t>
    </r>
    <phoneticPr fontId="1" type="noConversion"/>
  </si>
  <si>
    <t>Parameter</t>
    <phoneticPr fontId="1" type="noConversion"/>
  </si>
  <si>
    <t>Symbol</t>
    <phoneticPr fontId="1" type="noConversion"/>
  </si>
  <si>
    <t>Value</t>
    <phoneticPr fontId="1" type="noConversion"/>
  </si>
  <si>
    <t>Unit</t>
    <phoneticPr fontId="1" type="noConversion"/>
  </si>
  <si>
    <t>System SPEC</t>
    <phoneticPr fontId="1" type="noConversion"/>
  </si>
  <si>
    <t>Minimum AC Input Voltage</t>
    <phoneticPr fontId="1" type="noConversion"/>
  </si>
  <si>
    <t>Maximum AC Input Voltage</t>
    <phoneticPr fontId="1" type="noConversion"/>
  </si>
  <si>
    <t>Output Voltage</t>
    <phoneticPr fontId="1" type="noConversion"/>
  </si>
  <si>
    <t>Output Current</t>
    <phoneticPr fontId="1" type="noConversion"/>
  </si>
  <si>
    <t>Output Voltage Ripple</t>
    <phoneticPr fontId="1" type="noConversion"/>
  </si>
  <si>
    <t>Estimated Efficiency</t>
    <phoneticPr fontId="1" type="noConversion"/>
  </si>
  <si>
    <t>Desired Switching Frequency at Rated Load</t>
    <phoneticPr fontId="1" type="noConversion"/>
  </si>
  <si>
    <t>Desired Peak Current Limit at Rated Load</t>
    <phoneticPr fontId="1" type="noConversion"/>
  </si>
  <si>
    <t>Suggested Inductance</t>
    <phoneticPr fontId="1" type="noConversion"/>
  </si>
  <si>
    <t>Actual Inductance by the User</t>
    <phoneticPr fontId="1" type="noConversion"/>
  </si>
  <si>
    <t>Inductor</t>
    <phoneticPr fontId="1" type="noConversion"/>
  </si>
  <si>
    <t>Peak Current at Rated Load@265Vac</t>
    <phoneticPr fontId="1" type="noConversion"/>
  </si>
  <si>
    <t>Switching Frequency at Rated Load @265Vac</t>
    <phoneticPr fontId="1" type="noConversion"/>
  </si>
  <si>
    <t>Maximum MOSFET RMS Current</t>
    <phoneticPr fontId="1" type="noConversion"/>
  </si>
  <si>
    <t>Output Design</t>
    <phoneticPr fontId="1" type="noConversion"/>
  </si>
  <si>
    <t>Freewheeling Diode</t>
    <phoneticPr fontId="1" type="noConversion"/>
  </si>
  <si>
    <t>Maximum Diode Reverse Voltage</t>
    <phoneticPr fontId="1" type="noConversion"/>
  </si>
  <si>
    <t>Diode RMS Current</t>
    <phoneticPr fontId="1" type="noConversion"/>
  </si>
  <si>
    <t>ESR of the Output Capacitor</t>
    <phoneticPr fontId="1" type="noConversion"/>
  </si>
  <si>
    <t>Suggested Ouput Capacitance</t>
    <phoneticPr fontId="1" type="noConversion"/>
  </si>
  <si>
    <t>Actual Output Capacitance by the User</t>
    <phoneticPr fontId="1" type="noConversion"/>
  </si>
  <si>
    <t>Suggested Dummy Resistor</t>
    <phoneticPr fontId="1" type="noConversion"/>
  </si>
  <si>
    <t>Actual Resistor by the User</t>
    <phoneticPr fontId="1" type="noConversion"/>
  </si>
  <si>
    <t>Key Parameters</t>
    <phoneticPr fontId="1" type="noConversion"/>
  </si>
  <si>
    <t>Inductor Design Comment</t>
    <phoneticPr fontId="1" type="noConversion"/>
  </si>
  <si>
    <t>AL17052 Buck Regulater Design Worksheet</t>
    <phoneticPr fontId="1" type="noConversion"/>
  </si>
  <si>
    <r>
      <t xml:space="preserve">Note: This tool is for design Buck converter with DIODES AL17052. In this tool, the grid in </t>
    </r>
    <r>
      <rPr>
        <sz val="11"/>
        <color rgb="FFFF0000"/>
        <rFont val="Arial Unicode MS"/>
        <charset val="134"/>
      </rPr>
      <t>RED</t>
    </r>
    <r>
      <rPr>
        <sz val="11"/>
        <color theme="1"/>
        <rFont val="Arial Unicode MS"/>
        <family val="2"/>
        <charset val="134"/>
      </rPr>
      <t xml:space="preserve"> needs input from the user, and the tool will automatically calculate the parameters for components(</t>
    </r>
    <r>
      <rPr>
        <sz val="11"/>
        <color rgb="FF0000FF"/>
        <rFont val="Arial Unicode MS"/>
        <charset val="134"/>
      </rPr>
      <t>BLUE</t>
    </r>
    <r>
      <rPr>
        <sz val="11"/>
        <color theme="1"/>
        <rFont val="Arial Unicode MS"/>
        <family val="2"/>
        <charset val="134"/>
      </rPr>
      <t>) and working parameters(</t>
    </r>
    <r>
      <rPr>
        <sz val="11"/>
        <color rgb="FFFF00FF"/>
        <rFont val="Arial Unicode MS"/>
        <charset val="134"/>
      </rPr>
      <t>PINK</t>
    </r>
    <r>
      <rPr>
        <sz val="11"/>
        <color theme="1"/>
        <rFont val="Arial Unicode MS"/>
        <family val="2"/>
        <charset val="134"/>
      </rPr>
      <t>). The rated output current for AL17052 should be no more than 60mA.</t>
    </r>
    <phoneticPr fontId="1" type="noConversion"/>
  </si>
  <si>
    <t>Rev1.0     08, Jan, 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</si>
</sst>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0.00_ "/>
    <numFmt numFmtId="178" formatCode="0.0_ "/>
  </numFmts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 Unicode MS"/>
      <family val="2"/>
      <charset val="134"/>
    </font>
    <font>
      <sz val="11"/>
      <color rgb="FFFF0000"/>
      <name val="Arial Unicode MS"/>
      <family val="2"/>
      <charset val="134"/>
    </font>
    <font>
      <sz val="11"/>
      <color rgb="FF0000FF"/>
      <name val="Arial Unicode MS"/>
      <family val="2"/>
      <charset val="134"/>
    </font>
    <font>
      <sz val="11"/>
      <color rgb="FFFF00FF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4"/>
      <color theme="1"/>
      <name val="Arial Unicode MS"/>
      <family val="2"/>
      <charset val="134"/>
    </font>
    <font>
      <sz val="8"/>
      <color theme="1"/>
      <name val="Arial Unicode MS"/>
      <family val="2"/>
      <charset val="134"/>
    </font>
    <font>
      <sz val="11"/>
      <color theme="1"/>
      <name val="Arial"/>
      <family val="2"/>
    </font>
    <font>
      <sz val="11"/>
      <color rgb="FFFF0000"/>
      <name val="Arial Unicode MS"/>
      <charset val="134"/>
    </font>
    <font>
      <sz val="11"/>
      <color rgb="FFFF00FF"/>
      <name val="Arial Unicode MS"/>
      <charset val="134"/>
    </font>
    <font>
      <sz val="11"/>
      <color rgb="FF0000FF"/>
      <name val="Arial Unicode MS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0" fillId="0" borderId="35" xfId="0" applyBorder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36" xfId="0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0" fillId="0" borderId="46" xfId="0" applyBorder="1">
      <alignment vertical="center"/>
    </xf>
    <xf numFmtId="177" fontId="5" fillId="0" borderId="1" xfId="0" applyNumberFormat="1" applyFont="1" applyBorder="1" applyAlignment="1" applyProtection="1">
      <alignment horizontal="center" vertical="center"/>
      <protection hidden="1"/>
    </xf>
    <xf numFmtId="177" fontId="5" fillId="0" borderId="25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177" fontId="5" fillId="0" borderId="28" xfId="0" applyNumberFormat="1" applyFont="1" applyBorder="1" applyAlignment="1" applyProtection="1">
      <alignment horizontal="center" vertical="center"/>
      <protection hidden="1"/>
    </xf>
    <xf numFmtId="177" fontId="5" fillId="0" borderId="26" xfId="0" applyNumberFormat="1" applyFont="1" applyBorder="1" applyAlignment="1" applyProtection="1">
      <alignment horizontal="center" vertical="center"/>
      <protection hidden="1"/>
    </xf>
    <xf numFmtId="177" fontId="4" fillId="0" borderId="22" xfId="0" applyNumberFormat="1" applyFont="1" applyBorder="1" applyAlignment="1" applyProtection="1">
      <alignment horizontal="center" vertical="center"/>
      <protection hidden="1"/>
    </xf>
    <xf numFmtId="177" fontId="4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  <protection hidden="1"/>
    </xf>
    <xf numFmtId="178" fontId="3" fillId="0" borderId="25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>
      <alignment vertical="center"/>
    </xf>
    <xf numFmtId="0" fontId="2" fillId="3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6" fillId="2" borderId="41" xfId="0" applyFont="1" applyFill="1" applyBorder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8" fontId="3" fillId="0" borderId="2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  <protection hidden="1"/>
    </xf>
    <xf numFmtId="176" fontId="4" fillId="0" borderId="39" xfId="0" applyNumberFormat="1" applyFont="1" applyBorder="1" applyAlignment="1" applyProtection="1">
      <alignment horizontal="center" vertical="center"/>
      <protection hidden="1"/>
    </xf>
    <xf numFmtId="178" fontId="4" fillId="0" borderId="25" xfId="0" applyNumberFormat="1" applyFont="1" applyBorder="1" applyAlignment="1" applyProtection="1">
      <alignment horizontal="center" vertical="center"/>
      <protection hidden="1"/>
    </xf>
    <xf numFmtId="178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Data!$E$4:$E$17</c:f>
              <c:numCache>
                <c:formatCode>General</c:formatCode>
                <c:ptCount val="14"/>
                <c:pt idx="0">
                  <c:v>94.123276710037715</c:v>
                </c:pt>
                <c:pt idx="1">
                  <c:v>110.59190203165156</c:v>
                </c:pt>
                <c:pt idx="2">
                  <c:v>118.97577677725127</c:v>
                </c:pt>
                <c:pt idx="3">
                  <c:v>124.16314925481618</c:v>
                </c:pt>
                <c:pt idx="4">
                  <c:v>127.71550020767265</c:v>
                </c:pt>
                <c:pt idx="5">
                  <c:v>130.30930148581035</c:v>
                </c:pt>
                <c:pt idx="6">
                  <c:v>132.28990785434613</c:v>
                </c:pt>
                <c:pt idx="7">
                  <c:v>133.85338477128624</c:v>
                </c:pt>
                <c:pt idx="8">
                  <c:v>135.11976299286354</c:v>
                </c:pt>
                <c:pt idx="9">
                  <c:v>136.16681810025906</c:v>
                </c:pt>
                <c:pt idx="10">
                  <c:v>137.04723900644464</c:v>
                </c:pt>
                <c:pt idx="11">
                  <c:v>137.79802515406936</c:v>
                </c:pt>
                <c:pt idx="12">
                  <c:v>138.44594075304889</c:v>
                </c:pt>
                <c:pt idx="13">
                  <c:v>139.01083525513627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E-4403-A259-B379E02F4B2F}"/>
            </c:ext>
          </c:extLst>
        </c:ser>
        <c:ser>
          <c:idx val="1"/>
          <c:order val="1"/>
          <c:tx>
            <c:v>230VAC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Data!$M$4:$M$17</c:f>
              <c:numCache>
                <c:formatCode>General</c:formatCode>
                <c:ptCount val="14"/>
                <c:pt idx="0">
                  <c:v>96.556987115132785</c:v>
                </c:pt>
                <c:pt idx="1">
                  <c:v>112.69285537643161</c:v>
                </c:pt>
                <c:pt idx="2">
                  <c:v>120.76863654872136</c:v>
                </c:pt>
                <c:pt idx="3">
                  <c:v>125.71151660530039</c:v>
                </c:pt>
                <c:pt idx="4">
                  <c:v>129.07065318403215</c:v>
                </c:pt>
                <c:pt idx="5">
                  <c:v>131.50938564523133</c:v>
                </c:pt>
                <c:pt idx="6">
                  <c:v>133.36330744948935</c:v>
                </c:pt>
                <c:pt idx="7">
                  <c:v>134.82156319635655</c:v>
                </c:pt>
                <c:pt idx="8">
                  <c:v>135.9992588396523</c:v>
                </c:pt>
                <c:pt idx="9">
                  <c:v>136.97060854760898</c:v>
                </c:pt>
                <c:pt idx="10">
                  <c:v>137.78567675974122</c:v>
                </c:pt>
                <c:pt idx="11">
                  <c:v>138.47949268734112</c:v>
                </c:pt>
                <c:pt idx="12">
                  <c:v>139.07731566732801</c:v>
                </c:pt>
                <c:pt idx="13">
                  <c:v>139.5978274334658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E-4403-A259-B379E02F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06624"/>
        <c:axId val="142108544"/>
      </c:lineChart>
      <c:catAx>
        <c:axId val="142106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08544"/>
        <c:crosses val="autoZero"/>
        <c:auto val="1"/>
        <c:lblAlgn val="ctr"/>
        <c:lblOffset val="100"/>
        <c:noMultiLvlLbl val="0"/>
      </c:catAx>
      <c:valAx>
        <c:axId val="142108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Peak Current(mA)</a:t>
                </a:r>
                <a:endParaRPr lang="zh-CN" altLang="en-US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0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Data!$F$4:$F$17</c:f>
              <c:numCache>
                <c:formatCode>General</c:formatCode>
                <c:ptCount val="14"/>
                <c:pt idx="0">
                  <c:v>18.844693772223529</c:v>
                </c:pt>
                <c:pt idx="1">
                  <c:v>27.300242267273941</c:v>
                </c:pt>
                <c:pt idx="2">
                  <c:v>35.382402375314598</c:v>
                </c:pt>
                <c:pt idx="3">
                  <c:v>43.316934326529243</c:v>
                </c:pt>
                <c:pt idx="4">
                  <c:v>51.17595398529938</c:v>
                </c:pt>
                <c:pt idx="5">
                  <c:v>58.990703717181027</c:v>
                </c:pt>
                <c:pt idx="6">
                  <c:v>66.777133483459977</c:v>
                </c:pt>
                <c:pt idx="7">
                  <c:v>74.544298426212023</c:v>
                </c:pt>
                <c:pt idx="8">
                  <c:v>82.297742079531588</c:v>
                </c:pt>
                <c:pt idx="9">
                  <c:v>90.041056452662545</c:v>
                </c:pt>
                <c:pt idx="10">
                  <c:v>97.776674945132214</c:v>
                </c:pt>
                <c:pt idx="11">
                  <c:v>105.50630634957183</c:v>
                </c:pt>
                <c:pt idx="12">
                  <c:v>113.23118675175471</c:v>
                </c:pt>
                <c:pt idx="13">
                  <c:v>120.95223288432543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2-4E68-9D8F-8799CA9F008B}"/>
            </c:ext>
          </c:extLst>
        </c:ser>
        <c:ser>
          <c:idx val="1"/>
          <c:order val="1"/>
          <c:tx>
            <c:v>230VAC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Data!$N$4:$N$17</c:f>
              <c:numCache>
                <c:formatCode>General</c:formatCode>
                <c:ptCount val="14"/>
                <c:pt idx="0">
                  <c:v>19.160522157017652</c:v>
                </c:pt>
                <c:pt idx="1">
                  <c:v>28.132736702006863</c:v>
                </c:pt>
                <c:pt idx="2">
                  <c:v>36.744105577527499</c:v>
                </c:pt>
                <c:pt idx="3">
                  <c:v>45.215216191816808</c:v>
                </c:pt>
                <c:pt idx="4">
                  <c:v>53.615423480965909</c:v>
                </c:pt>
                <c:pt idx="5">
                  <c:v>61.974424783591019</c:v>
                </c:pt>
                <c:pt idx="6">
                  <c:v>70.307244434493668</c:v>
                </c:pt>
                <c:pt idx="7">
                  <c:v>78.622350333449461</c:v>
                </c:pt>
                <c:pt idx="8">
                  <c:v>86.924895710753248</c:v>
                </c:pt>
                <c:pt idx="9">
                  <c:v>95.218203093931166</c:v>
                </c:pt>
                <c:pt idx="10">
                  <c:v>103.50451384042752</c:v>
                </c:pt>
                <c:pt idx="11">
                  <c:v>111.78539618878089</c:v>
                </c:pt>
                <c:pt idx="12">
                  <c:v>120.06198098562315</c:v>
                </c:pt>
                <c:pt idx="13">
                  <c:v>128.33510460190917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2-4E68-9D8F-8799CA9F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7984"/>
        <c:axId val="145519360"/>
      </c:lineChart>
      <c:catAx>
        <c:axId val="142137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519360"/>
        <c:crosses val="autoZero"/>
        <c:auto val="1"/>
        <c:lblAlgn val="ctr"/>
        <c:lblOffset val="100"/>
        <c:noMultiLvlLbl val="0"/>
      </c:catAx>
      <c:valAx>
        <c:axId val="14551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Frequency(kHz)</a:t>
                </a:r>
                <a:endParaRPr lang="zh-CN" altLang="en-US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3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Data!$E$4:$E$23</c:f>
              <c:numCache>
                <c:formatCode>General</c:formatCode>
                <c:ptCount val="20"/>
                <c:pt idx="0">
                  <c:v>94.123276710037715</c:v>
                </c:pt>
                <c:pt idx="1">
                  <c:v>110.59190203165156</c:v>
                </c:pt>
                <c:pt idx="2">
                  <c:v>118.97577677725127</c:v>
                </c:pt>
                <c:pt idx="3">
                  <c:v>124.16314925481618</c:v>
                </c:pt>
                <c:pt idx="4">
                  <c:v>127.71550020767265</c:v>
                </c:pt>
                <c:pt idx="5">
                  <c:v>130.30930148581035</c:v>
                </c:pt>
                <c:pt idx="6">
                  <c:v>132.28990785434613</c:v>
                </c:pt>
                <c:pt idx="7">
                  <c:v>133.85338477128624</c:v>
                </c:pt>
                <c:pt idx="8">
                  <c:v>135.11976299286354</c:v>
                </c:pt>
                <c:pt idx="9">
                  <c:v>136.16681810025906</c:v>
                </c:pt>
                <c:pt idx="10">
                  <c:v>137.04723900644464</c:v>
                </c:pt>
                <c:pt idx="11">
                  <c:v>137.79802515406936</c:v>
                </c:pt>
                <c:pt idx="12">
                  <c:v>138.44594075304889</c:v>
                </c:pt>
                <c:pt idx="13">
                  <c:v>139.01083525513627</c:v>
                </c:pt>
                <c:pt idx="14">
                  <c:v>139.50774669486208</c:v>
                </c:pt>
                <c:pt idx="15">
                  <c:v>139.94827957334846</c:v>
                </c:pt>
                <c:pt idx="16">
                  <c:v>140.34153391514749</c:v>
                </c:pt>
                <c:pt idx="17">
                  <c:v>140.69474758991768</c:v>
                </c:pt>
                <c:pt idx="18">
                  <c:v>141.01375026331891</c:v>
                </c:pt>
                <c:pt idx="19">
                  <c:v>141.30329052135573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3-4685-AF50-E783AF382B63}"/>
            </c:ext>
          </c:extLst>
        </c:ser>
        <c:ser>
          <c:idx val="1"/>
          <c:order val="1"/>
          <c:tx>
            <c:v>230VAC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Data!$M$4:$M$23</c:f>
              <c:numCache>
                <c:formatCode>General</c:formatCode>
                <c:ptCount val="20"/>
                <c:pt idx="0">
                  <c:v>96.556987115132785</c:v>
                </c:pt>
                <c:pt idx="1">
                  <c:v>112.69285537643161</c:v>
                </c:pt>
                <c:pt idx="2">
                  <c:v>120.76863654872136</c:v>
                </c:pt>
                <c:pt idx="3">
                  <c:v>125.71151660530039</c:v>
                </c:pt>
                <c:pt idx="4">
                  <c:v>129.07065318403215</c:v>
                </c:pt>
                <c:pt idx="5">
                  <c:v>131.50938564523133</c:v>
                </c:pt>
                <c:pt idx="6">
                  <c:v>133.36330744948935</c:v>
                </c:pt>
                <c:pt idx="7">
                  <c:v>134.82156319635655</c:v>
                </c:pt>
                <c:pt idx="8">
                  <c:v>135.9992588396523</c:v>
                </c:pt>
                <c:pt idx="9">
                  <c:v>136.97060854760898</c:v>
                </c:pt>
                <c:pt idx="10">
                  <c:v>137.78567675974122</c:v>
                </c:pt>
                <c:pt idx="11">
                  <c:v>138.47949268734112</c:v>
                </c:pt>
                <c:pt idx="12">
                  <c:v>139.07731566732801</c:v>
                </c:pt>
                <c:pt idx="13">
                  <c:v>139.5978274334658</c:v>
                </c:pt>
                <c:pt idx="14">
                  <c:v>140.05514686419707</c:v>
                </c:pt>
                <c:pt idx="15">
                  <c:v>140.46014553246602</c:v>
                </c:pt>
                <c:pt idx="16">
                  <c:v>140.82133214208304</c:v>
                </c:pt>
                <c:pt idx="17">
                  <c:v>141.14546238906607</c:v>
                </c:pt>
                <c:pt idx="18">
                  <c:v>141.43796894226998</c:v>
                </c:pt>
                <c:pt idx="19">
                  <c:v>141.70327062046587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3-4685-AF50-E783AF38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5536"/>
        <c:axId val="60387712"/>
      </c:lineChart>
      <c:catAx>
        <c:axId val="60385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387712"/>
        <c:crosses val="autoZero"/>
        <c:auto val="1"/>
        <c:lblAlgn val="ctr"/>
        <c:lblOffset val="100"/>
        <c:noMultiLvlLbl val="0"/>
      </c:catAx>
      <c:valAx>
        <c:axId val="60387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Peak Current(mA)</a:t>
                </a:r>
                <a:endParaRPr lang="zh-CN" altLang="en-US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38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Data!$F$4:$F$23</c:f>
              <c:numCache>
                <c:formatCode>General</c:formatCode>
                <c:ptCount val="20"/>
                <c:pt idx="0">
                  <c:v>18.844693772223529</c:v>
                </c:pt>
                <c:pt idx="1">
                  <c:v>27.300242267273941</c:v>
                </c:pt>
                <c:pt idx="2">
                  <c:v>35.382402375314598</c:v>
                </c:pt>
                <c:pt idx="3">
                  <c:v>43.316934326529243</c:v>
                </c:pt>
                <c:pt idx="4">
                  <c:v>51.17595398529938</c:v>
                </c:pt>
                <c:pt idx="5">
                  <c:v>58.990703717181027</c:v>
                </c:pt>
                <c:pt idx="6">
                  <c:v>66.777133483459977</c:v>
                </c:pt>
                <c:pt idx="7">
                  <c:v>74.544298426212023</c:v>
                </c:pt>
                <c:pt idx="8">
                  <c:v>82.297742079531588</c:v>
                </c:pt>
                <c:pt idx="9">
                  <c:v>90.041056452662545</c:v>
                </c:pt>
                <c:pt idx="10">
                  <c:v>97.776674945132214</c:v>
                </c:pt>
                <c:pt idx="11">
                  <c:v>105.50630634957183</c:v>
                </c:pt>
                <c:pt idx="12">
                  <c:v>113.23118675175471</c:v>
                </c:pt>
                <c:pt idx="13">
                  <c:v>120.95223288432543</c:v>
                </c:pt>
                <c:pt idx="14">
                  <c:v>128.67013926808681</c:v>
                </c:pt>
                <c:pt idx="15">
                  <c:v>136.38544184857037</c:v>
                </c:pt>
                <c:pt idx="16">
                  <c:v>144.0985609038627</c:v>
                </c:pt>
                <c:pt idx="17">
                  <c:v>151.8098307097641</c:v>
                </c:pt>
                <c:pt idx="18">
                  <c:v>159.51952050518761</c:v>
                </c:pt>
                <c:pt idx="19">
                  <c:v>167.22784960016085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F-4E2F-AC1F-F96CAA2E900F}"/>
            </c:ext>
          </c:extLst>
        </c:ser>
        <c:ser>
          <c:idx val="1"/>
          <c:order val="1"/>
          <c:tx>
            <c:v>230VAC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Data!$N$4:$N$23</c:f>
              <c:numCache>
                <c:formatCode>General</c:formatCode>
                <c:ptCount val="20"/>
                <c:pt idx="0">
                  <c:v>19.160522157017652</c:v>
                </c:pt>
                <c:pt idx="1">
                  <c:v>28.132736702006863</c:v>
                </c:pt>
                <c:pt idx="2">
                  <c:v>36.744105577527499</c:v>
                </c:pt>
                <c:pt idx="3">
                  <c:v>45.215216191816808</c:v>
                </c:pt>
                <c:pt idx="4">
                  <c:v>53.615423480965909</c:v>
                </c:pt>
                <c:pt idx="5">
                  <c:v>61.974424783591019</c:v>
                </c:pt>
                <c:pt idx="6">
                  <c:v>70.307244434493668</c:v>
                </c:pt>
                <c:pt idx="7">
                  <c:v>78.622350333449461</c:v>
                </c:pt>
                <c:pt idx="8">
                  <c:v>86.924895710753248</c:v>
                </c:pt>
                <c:pt idx="9">
                  <c:v>95.218203093931166</c:v>
                </c:pt>
                <c:pt idx="10">
                  <c:v>103.50451384042752</c:v>
                </c:pt>
                <c:pt idx="11">
                  <c:v>111.78539618878089</c:v>
                </c:pt>
                <c:pt idx="12">
                  <c:v>120.06198098562315</c:v>
                </c:pt>
                <c:pt idx="13">
                  <c:v>128.33510460190917</c:v>
                </c:pt>
                <c:pt idx="14">
                  <c:v>136.6053991320664</c:v>
                </c:pt>
                <c:pt idx="15">
                  <c:v>144.87335129044237</c:v>
                </c:pt>
                <c:pt idx="16">
                  <c:v>153.13934200702889</c:v>
                </c:pt>
                <c:pt idx="17">
                  <c:v>161.40367373062588</c:v>
                </c:pt>
                <c:pt idx="18">
                  <c:v>169.66658967883089</c:v>
                </c:pt>
                <c:pt idx="19">
                  <c:v>177.92828767973288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F-4E2F-AC1F-F96CAA2E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7152"/>
        <c:axId val="60419072"/>
      </c:lineChart>
      <c:catAx>
        <c:axId val="60417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419072"/>
        <c:crosses val="autoZero"/>
        <c:auto val="1"/>
        <c:lblAlgn val="ctr"/>
        <c:lblOffset val="100"/>
        <c:noMultiLvlLbl val="0"/>
      </c:catAx>
      <c:valAx>
        <c:axId val="60419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Frequency(kHz)</a:t>
                </a:r>
                <a:endParaRPr lang="zh-CN" altLang="en-US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41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7327</xdr:colOff>
      <xdr:row>3</xdr:row>
      <xdr:rowOff>16328</xdr:rowOff>
    </xdr:from>
    <xdr:to>
      <xdr:col>6</xdr:col>
      <xdr:colOff>4263156</xdr:colOff>
      <xdr:row>20</xdr:row>
      <xdr:rowOff>9128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20</xdr:row>
      <xdr:rowOff>33502</xdr:rowOff>
    </xdr:from>
    <xdr:to>
      <xdr:col>6</xdr:col>
      <xdr:colOff>4273087</xdr:colOff>
      <xdr:row>35</xdr:row>
      <xdr:rowOff>209550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40</xdr:row>
      <xdr:rowOff>161925</xdr:rowOff>
    </xdr:from>
    <xdr:to>
      <xdr:col>3</xdr:col>
      <xdr:colOff>1199619</xdr:colOff>
      <xdr:row>43</xdr:row>
      <xdr:rowOff>76146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886700"/>
          <a:ext cx="4247619" cy="4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40</xdr:row>
      <xdr:rowOff>104775</xdr:rowOff>
    </xdr:from>
    <xdr:to>
      <xdr:col>6</xdr:col>
      <xdr:colOff>104530</xdr:colOff>
      <xdr:row>43</xdr:row>
      <xdr:rowOff>85663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7829550"/>
          <a:ext cx="1961905" cy="4952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4762</xdr:rowOff>
    </xdr:from>
    <xdr:to>
      <xdr:col>3</xdr:col>
      <xdr:colOff>1447800</xdr:colOff>
      <xdr:row>40</xdr:row>
      <xdr:rowOff>4762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24</xdr:row>
      <xdr:rowOff>9525</xdr:rowOff>
    </xdr:from>
    <xdr:to>
      <xdr:col>8</xdr:col>
      <xdr:colOff>695325</xdr:colOff>
      <xdr:row>40</xdr:row>
      <xdr:rowOff>9525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257175</xdr:colOff>
      <xdr:row>40</xdr:row>
      <xdr:rowOff>95250</xdr:rowOff>
    </xdr:from>
    <xdr:to>
      <xdr:col>7</xdr:col>
      <xdr:colOff>638006</xdr:colOff>
      <xdr:row>43</xdr:row>
      <xdr:rowOff>114233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6650" y="7820025"/>
          <a:ext cx="1352381" cy="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tabSelected="1" topLeftCell="A4" zoomScaleNormal="100" workbookViewId="0">
      <selection activeCell="C29" sqref="C29"/>
    </sheetView>
  </sheetViews>
  <sheetFormatPr defaultRowHeight="14"/>
  <cols>
    <col min="1" max="1" width="39.1640625" customWidth="1"/>
    <col min="2" max="2" width="14.75" customWidth="1"/>
    <col min="3" max="3" width="12.5" style="2" customWidth="1"/>
    <col min="4" max="4" width="12.5" style="2" hidden="1" customWidth="1"/>
    <col min="5" max="5" width="9.33203125" customWidth="1"/>
    <col min="6" max="6" width="11.75" hidden="1" customWidth="1"/>
    <col min="7" max="7" width="56.25" customWidth="1"/>
    <col min="8" max="8" width="12.5" customWidth="1"/>
    <col min="9" max="9" width="18.33203125" bestFit="1" customWidth="1"/>
  </cols>
  <sheetData>
    <row r="1" spans="1:9" ht="24.75" customHeight="1" thickBot="1">
      <c r="A1" s="64" t="s">
        <v>115</v>
      </c>
      <c r="B1" s="64"/>
      <c r="C1" s="64"/>
      <c r="D1" s="64"/>
      <c r="E1" s="64"/>
      <c r="F1" s="64"/>
      <c r="G1" s="64"/>
      <c r="H1" s="22"/>
    </row>
    <row r="2" spans="1:9" ht="18" thickBot="1">
      <c r="A2" s="69" t="s">
        <v>117</v>
      </c>
      <c r="B2" s="70"/>
      <c r="C2" s="70"/>
      <c r="D2" s="70"/>
      <c r="E2" s="70"/>
      <c r="F2" s="70"/>
      <c r="G2" s="71"/>
      <c r="H2" s="22"/>
    </row>
    <row r="3" spans="1:9" ht="43.5" customHeight="1" thickBot="1">
      <c r="A3" s="63" t="s">
        <v>116</v>
      </c>
      <c r="B3" s="63"/>
      <c r="C3" s="63"/>
      <c r="D3" s="63"/>
      <c r="E3" s="63"/>
      <c r="F3" s="63"/>
      <c r="G3" s="63"/>
    </row>
    <row r="4" spans="1:9" ht="16.5" customHeight="1" thickBot="1">
      <c r="A4" s="51" t="s">
        <v>85</v>
      </c>
      <c r="B4" s="52" t="s">
        <v>86</v>
      </c>
      <c r="C4" s="76" t="s">
        <v>87</v>
      </c>
      <c r="D4" s="77"/>
      <c r="E4" s="59" t="s">
        <v>88</v>
      </c>
      <c r="F4" s="51"/>
      <c r="G4" s="33"/>
    </row>
    <row r="5" spans="1:9" ht="17.25" customHeight="1" thickBot="1">
      <c r="A5" s="66" t="s">
        <v>89</v>
      </c>
      <c r="B5" s="66"/>
      <c r="C5" s="72"/>
      <c r="D5" s="73"/>
      <c r="E5" s="68"/>
      <c r="F5" s="56"/>
      <c r="G5" s="31"/>
      <c r="I5" s="1"/>
    </row>
    <row r="6" spans="1:9">
      <c r="A6" s="23" t="s">
        <v>90</v>
      </c>
      <c r="B6" s="24" t="s">
        <v>32</v>
      </c>
      <c r="C6" s="81">
        <v>90</v>
      </c>
      <c r="D6" s="82"/>
      <c r="E6" s="29" t="s">
        <v>0</v>
      </c>
      <c r="F6" s="1"/>
      <c r="G6" s="31"/>
      <c r="I6" s="1"/>
    </row>
    <row r="7" spans="1:9">
      <c r="A7" s="24" t="s">
        <v>91</v>
      </c>
      <c r="B7" s="24" t="s">
        <v>31</v>
      </c>
      <c r="C7" s="83">
        <v>264</v>
      </c>
      <c r="D7" s="84"/>
      <c r="E7" s="27" t="s">
        <v>0</v>
      </c>
      <c r="F7" s="1"/>
      <c r="G7" s="31"/>
      <c r="I7" s="1"/>
    </row>
    <row r="8" spans="1:9" hidden="1">
      <c r="A8" s="24" t="s">
        <v>92</v>
      </c>
      <c r="B8" s="24" t="s">
        <v>79</v>
      </c>
      <c r="C8" s="85">
        <v>5</v>
      </c>
      <c r="D8" s="86"/>
      <c r="E8" s="27" t="s">
        <v>1</v>
      </c>
      <c r="F8" s="1"/>
      <c r="G8" s="31"/>
    </row>
    <row r="9" spans="1:9">
      <c r="A9" s="24" t="s">
        <v>93</v>
      </c>
      <c r="B9" s="24" t="s">
        <v>30</v>
      </c>
      <c r="C9" s="83">
        <v>60</v>
      </c>
      <c r="D9" s="84"/>
      <c r="E9" s="27" t="s">
        <v>2</v>
      </c>
      <c r="F9" s="1"/>
      <c r="G9" s="31"/>
    </row>
    <row r="10" spans="1:9">
      <c r="A10" s="24" t="s">
        <v>94</v>
      </c>
      <c r="B10" s="24" t="s">
        <v>78</v>
      </c>
      <c r="C10" s="54">
        <v>50</v>
      </c>
      <c r="D10" s="53"/>
      <c r="E10" s="27" t="s">
        <v>80</v>
      </c>
      <c r="F10" s="1"/>
      <c r="G10" s="31"/>
    </row>
    <row r="11" spans="1:9" hidden="1">
      <c r="A11" s="24" t="s">
        <v>95</v>
      </c>
      <c r="B11" s="24" t="s">
        <v>49</v>
      </c>
      <c r="C11" s="54">
        <v>100</v>
      </c>
      <c r="D11" s="55"/>
      <c r="E11" s="27" t="s">
        <v>48</v>
      </c>
      <c r="F11" s="1"/>
      <c r="G11" s="31"/>
    </row>
    <row r="12" spans="1:9" ht="16.5" customHeight="1">
      <c r="A12" s="24" t="s">
        <v>96</v>
      </c>
      <c r="B12" s="24" t="s">
        <v>33</v>
      </c>
      <c r="C12" s="55">
        <v>100</v>
      </c>
      <c r="D12" s="54"/>
      <c r="E12" s="27" t="s">
        <v>3</v>
      </c>
      <c r="F12" s="1"/>
      <c r="G12" s="31"/>
    </row>
    <row r="13" spans="1:9" ht="16.5" customHeight="1" thickBot="1">
      <c r="A13" s="24" t="s">
        <v>97</v>
      </c>
      <c r="B13" s="24" t="s">
        <v>34</v>
      </c>
      <c r="C13" s="55">
        <v>140</v>
      </c>
      <c r="D13" s="54"/>
      <c r="E13" s="27" t="s">
        <v>5</v>
      </c>
      <c r="F13" s="1"/>
      <c r="G13" s="31"/>
    </row>
    <row r="14" spans="1:9" ht="14.5" hidden="1" thickBot="1">
      <c r="A14" s="66" t="s">
        <v>14</v>
      </c>
      <c r="B14" s="66"/>
      <c r="C14" s="67"/>
      <c r="D14" s="68"/>
      <c r="E14" s="68"/>
      <c r="F14" s="56"/>
      <c r="G14" s="31"/>
    </row>
    <row r="15" spans="1:9" ht="16.5" hidden="1" customHeight="1">
      <c r="A15" s="24" t="s">
        <v>7</v>
      </c>
      <c r="B15" s="24" t="s">
        <v>35</v>
      </c>
      <c r="C15" s="87">
        <v>140</v>
      </c>
      <c r="D15" s="88"/>
      <c r="E15" s="27" t="s">
        <v>2</v>
      </c>
      <c r="F15" s="1"/>
      <c r="G15" s="31"/>
    </row>
    <row r="16" spans="1:9" hidden="1">
      <c r="A16" s="24" t="s">
        <v>8</v>
      </c>
      <c r="B16" s="24" t="s">
        <v>36</v>
      </c>
      <c r="C16" s="89"/>
      <c r="D16" s="90"/>
      <c r="E16" s="27" t="s">
        <v>1</v>
      </c>
      <c r="F16" s="1"/>
      <c r="G16" s="31"/>
    </row>
    <row r="17" spans="1:8" ht="14.5" hidden="1" thickBot="1">
      <c r="A17" s="24" t="s">
        <v>9</v>
      </c>
      <c r="B17" s="24" t="s">
        <v>37</v>
      </c>
      <c r="C17" s="91">
        <v>7</v>
      </c>
      <c r="D17" s="92"/>
      <c r="E17" s="27" t="s">
        <v>10</v>
      </c>
      <c r="F17" s="1"/>
      <c r="G17" s="31"/>
    </row>
    <row r="18" spans="1:8" ht="17.25" customHeight="1" thickBot="1">
      <c r="A18" s="66" t="s">
        <v>100</v>
      </c>
      <c r="B18" s="66"/>
      <c r="C18" s="67"/>
      <c r="D18" s="68"/>
      <c r="E18" s="68"/>
      <c r="F18" s="56"/>
      <c r="G18" s="31"/>
    </row>
    <row r="19" spans="1:8">
      <c r="A19" s="24" t="s">
        <v>98</v>
      </c>
      <c r="B19" s="24" t="s">
        <v>39</v>
      </c>
      <c r="C19" s="93">
        <f>2*1000*(1.414*C7-C8)*C9*(C8+0.7)/(0.01*C11*C12*C13*C13*1.414*C7)</f>
        <v>0.34430529058736775</v>
      </c>
      <c r="D19" s="94"/>
      <c r="E19" s="27" t="s">
        <v>4</v>
      </c>
      <c r="F19" s="1"/>
      <c r="G19" s="31"/>
    </row>
    <row r="20" spans="1:8">
      <c r="A20" s="24" t="s">
        <v>99</v>
      </c>
      <c r="B20" s="24" t="s">
        <v>38</v>
      </c>
      <c r="C20" s="83">
        <v>0.33</v>
      </c>
      <c r="D20" s="84"/>
      <c r="E20" s="27" t="s">
        <v>6</v>
      </c>
      <c r="F20" s="1"/>
      <c r="G20" s="31"/>
      <c r="H20" s="1"/>
    </row>
    <row r="21" spans="1:8" ht="14.5" thickBot="1">
      <c r="A21" s="25" t="s">
        <v>114</v>
      </c>
      <c r="B21" s="25"/>
      <c r="C21" s="74" t="str">
        <f>IF(AND(C28&gt;0.1,C29&gt;C17,(0.5*0.01*C11*C20*C15*C15/C17)&gt;C8*C9),"OK","BAD")</f>
        <v>OK</v>
      </c>
      <c r="D21" s="75"/>
      <c r="E21" s="26"/>
      <c r="F21" s="1"/>
      <c r="G21" s="31"/>
    </row>
    <row r="22" spans="1:8" ht="17.25" customHeight="1" thickBot="1">
      <c r="A22" s="65" t="s">
        <v>113</v>
      </c>
      <c r="B22" s="66"/>
      <c r="C22" s="67"/>
      <c r="D22" s="68"/>
      <c r="E22" s="68"/>
      <c r="F22" s="56"/>
      <c r="G22" s="31"/>
    </row>
    <row r="23" spans="1:8" ht="16.5" hidden="1" customHeight="1">
      <c r="A23" s="24" t="s">
        <v>15</v>
      </c>
      <c r="B23" s="24"/>
      <c r="C23" s="3">
        <f>0.01*C11*C20*(1.414*C7+0.7)/(2*(1.414*C7-C8)*(C8+0.7)*C9)</f>
        <v>4.8992296051726496E-4</v>
      </c>
      <c r="D23" s="32">
        <f>0.01*C11*C20*(1.414*230+0.7)/(2*(1.414*230-C8)*(C8+0.7)*C9)</f>
        <v>4.9104398620685124E-4</v>
      </c>
      <c r="E23" s="27"/>
      <c r="F23">
        <f>0.01*C11*C20*(1.414*C6+0.7)/(2*(1.414*C6-C8)*(C8+0.7)*C9)</f>
        <v>5.0494918795434521E-4</v>
      </c>
      <c r="G23" s="31"/>
    </row>
    <row r="24" spans="1:8" hidden="1">
      <c r="A24" s="24" t="s">
        <v>16</v>
      </c>
      <c r="B24" s="24"/>
      <c r="C24" s="3">
        <f>1-(C20/(C7*1.414-C8))</f>
        <v>0.99910398158003344</v>
      </c>
      <c r="D24" s="32">
        <f>1-(C20/(230*1.414-C8))</f>
        <v>0.99896945849728314</v>
      </c>
      <c r="E24" s="27"/>
      <c r="F24">
        <f>1-(C20/(C6*1.414-C8))</f>
        <v>0.99730083428758387</v>
      </c>
      <c r="G24" s="31"/>
    </row>
    <row r="25" spans="1:8" hidden="1">
      <c r="A25" s="24" t="s">
        <v>17</v>
      </c>
      <c r="B25" s="24"/>
      <c r="C25" s="3">
        <f>-(C15+C17)</f>
        <v>-147</v>
      </c>
      <c r="D25" s="32">
        <f>-(C15+C17)</f>
        <v>-147</v>
      </c>
      <c r="E25" s="27"/>
      <c r="F25">
        <f>-(C15+C17)</f>
        <v>-147</v>
      </c>
      <c r="G25" s="31"/>
    </row>
    <row r="26" spans="1:8" ht="17.25" customHeight="1">
      <c r="A26" s="24" t="s">
        <v>101</v>
      </c>
      <c r="B26" s="24" t="s">
        <v>72</v>
      </c>
      <c r="C26" s="43">
        <f>(-C24+SQRT(C24*C24-4*C23*C25))/(2*C23)</f>
        <v>137.817989585503</v>
      </c>
      <c r="D26" s="44">
        <f>(-D24+SQRT(D24*D24-4*D23*D25))/(2*D23)</f>
        <v>137.81556272125457</v>
      </c>
      <c r="E26" s="27" t="s">
        <v>5</v>
      </c>
      <c r="F26">
        <f>(-F24+SQRT(F24*F24-4*F23*F25))/(2*F23)</f>
        <v>137.78552140951948</v>
      </c>
      <c r="G26" s="31"/>
    </row>
    <row r="27" spans="1:8">
      <c r="A27" s="24" t="s">
        <v>102</v>
      </c>
      <c r="B27" s="24" t="s">
        <v>73</v>
      </c>
      <c r="C27" s="43">
        <f>(2*1000*(1.414*C7-C8)*C9*(C8+0.7))/(0.01*C11*C20*C26*C26*(1.414*C7+0.7))</f>
        <v>107.46335271687749</v>
      </c>
      <c r="D27" s="44">
        <f>(2*1000*(1.414*230-C8)*C9*(C8+0.7))/(0.01*C11*C20*C26*C26*(1.414*230+0.7))</f>
        <v>107.2180199514459</v>
      </c>
      <c r="E27" s="27" t="s">
        <v>11</v>
      </c>
      <c r="F27">
        <f>F26*SQRT(2*C9*C8/(3*1.414*C6*F26))</f>
        <v>14.715357938155185</v>
      </c>
      <c r="G27" s="31"/>
    </row>
    <row r="28" spans="1:8">
      <c r="A28" s="24" t="s">
        <v>75</v>
      </c>
      <c r="B28" s="24" t="s">
        <v>40</v>
      </c>
      <c r="C28" s="45">
        <f>C20*C26/(1.414*C7-C8)</f>
        <v>0.12348745727136867</v>
      </c>
      <c r="D28" s="46">
        <f>C20*D26/(1.414*230-C8)</f>
        <v>0.14202465710453444</v>
      </c>
      <c r="E28" s="27" t="s">
        <v>10</v>
      </c>
      <c r="F28" s="1"/>
      <c r="G28" s="31"/>
    </row>
    <row r="29" spans="1:8" ht="16.5" customHeight="1">
      <c r="A29" s="24" t="s">
        <v>76</v>
      </c>
      <c r="B29" s="24" t="s">
        <v>41</v>
      </c>
      <c r="C29" s="45">
        <f>(1000/C27)-C28</f>
        <v>9.1820104144970269</v>
      </c>
      <c r="D29" s="46">
        <f>(1000/D27)-D28</f>
        <v>9.1847657504487294</v>
      </c>
      <c r="E29" s="27" t="s">
        <v>10</v>
      </c>
      <c r="F29" s="1"/>
      <c r="G29" s="31"/>
    </row>
    <row r="30" spans="1:8" ht="14.5" thickBot="1">
      <c r="A30" s="25" t="s">
        <v>103</v>
      </c>
      <c r="B30" s="25" t="s">
        <v>77</v>
      </c>
      <c r="C30" s="47">
        <f>F26*SQRT(2*C9*C8/(3*1.414*C6*F26))</f>
        <v>14.715357938155185</v>
      </c>
      <c r="D30" s="48">
        <f>D26*SQRT(2*C9*C8/(3*1.414*230*D26))</f>
        <v>9.2060961506463368</v>
      </c>
      <c r="E30" s="28" t="s">
        <v>29</v>
      </c>
      <c r="F30" s="1"/>
      <c r="G30" s="31"/>
    </row>
    <row r="31" spans="1:8" ht="14.5" thickBot="1">
      <c r="A31" s="65" t="s">
        <v>104</v>
      </c>
      <c r="B31" s="66"/>
      <c r="C31" s="67"/>
      <c r="D31" s="68"/>
      <c r="E31" s="68"/>
      <c r="F31" s="56"/>
      <c r="G31" s="31"/>
    </row>
    <row r="32" spans="1:8">
      <c r="A32" s="24" t="s">
        <v>108</v>
      </c>
      <c r="B32" s="24" t="s">
        <v>84</v>
      </c>
      <c r="C32" s="83">
        <v>0.15</v>
      </c>
      <c r="D32" s="84"/>
      <c r="E32" s="27" t="s">
        <v>12</v>
      </c>
      <c r="F32" s="1"/>
      <c r="G32" s="31"/>
    </row>
    <row r="33" spans="1:7" ht="16.5" customHeight="1">
      <c r="A33" s="24" t="s">
        <v>109</v>
      </c>
      <c r="B33" s="24" t="s">
        <v>82</v>
      </c>
      <c r="C33" s="95">
        <f>IF(C10&gt;C26*C32,1000*C9*(C26-C9)/((C10-C26*C32)*C27*C26),"ESR过大")</f>
        <v>10.749613657594422</v>
      </c>
      <c r="D33" s="96"/>
      <c r="E33" s="27" t="s">
        <v>81</v>
      </c>
      <c r="F33" s="1"/>
      <c r="G33" s="31"/>
    </row>
    <row r="34" spans="1:7" ht="16.5" customHeight="1">
      <c r="A34" s="24" t="s">
        <v>110</v>
      </c>
      <c r="B34" s="24" t="s">
        <v>83</v>
      </c>
      <c r="C34" s="61">
        <v>100</v>
      </c>
      <c r="D34" s="60"/>
      <c r="E34" s="27" t="s">
        <v>81</v>
      </c>
      <c r="F34" s="1"/>
      <c r="G34" s="31"/>
    </row>
    <row r="35" spans="1:7">
      <c r="A35" s="24" t="s">
        <v>111</v>
      </c>
      <c r="B35" s="24" t="s">
        <v>42</v>
      </c>
      <c r="C35" s="97">
        <f>MAX(C8*C8/10,C8/2)</f>
        <v>2.5</v>
      </c>
      <c r="D35" s="98"/>
      <c r="E35" s="27" t="s">
        <v>13</v>
      </c>
      <c r="F35" s="1"/>
      <c r="G35" s="31"/>
    </row>
    <row r="36" spans="1:7" ht="14.5" thickBot="1">
      <c r="A36" s="24" t="s">
        <v>112</v>
      </c>
      <c r="B36" s="24" t="s">
        <v>74</v>
      </c>
      <c r="C36" s="99">
        <v>2.2000000000000002</v>
      </c>
      <c r="D36" s="100"/>
      <c r="E36" s="27" t="s">
        <v>13</v>
      </c>
      <c r="F36" s="1"/>
      <c r="G36" s="31"/>
    </row>
    <row r="37" spans="1:7" ht="14.5" thickBot="1">
      <c r="A37" s="66" t="s">
        <v>105</v>
      </c>
      <c r="B37" s="66"/>
      <c r="C37" s="67"/>
      <c r="D37" s="68"/>
      <c r="E37" s="68"/>
      <c r="F37" s="56"/>
      <c r="G37" s="31"/>
    </row>
    <row r="38" spans="1:7">
      <c r="A38" s="24" t="s">
        <v>106</v>
      </c>
      <c r="B38" s="24" t="s">
        <v>44</v>
      </c>
      <c r="C38" s="78">
        <f>1.414*C7</f>
        <v>373.29599999999999</v>
      </c>
      <c r="D38" s="79"/>
      <c r="E38" s="30" t="s">
        <v>0</v>
      </c>
      <c r="F38" s="1"/>
      <c r="G38" s="31"/>
    </row>
    <row r="39" spans="1:7" ht="14.5" thickBot="1">
      <c r="A39" s="62" t="s">
        <v>107</v>
      </c>
      <c r="B39" s="41" t="s">
        <v>45</v>
      </c>
      <c r="C39" s="49">
        <f>C26*SQRT(2*C9*(1.414*120-C8)/(3*C26*1.414*120))</f>
        <v>73.145573988400415</v>
      </c>
      <c r="D39" s="50">
        <f>D26*SQRT(2*C9*(1.414*230-C8)/(3*D26*1.414*230))</f>
        <v>73.674081619761196</v>
      </c>
      <c r="E39" s="38" t="s">
        <v>46</v>
      </c>
      <c r="F39" s="57"/>
      <c r="G39" s="42"/>
    </row>
    <row r="40" spans="1:7" ht="14.5" hidden="1" thickBot="1">
      <c r="A40" s="66" t="s">
        <v>47</v>
      </c>
      <c r="B40" s="66"/>
      <c r="C40" s="67"/>
      <c r="D40" s="68"/>
      <c r="E40" s="80"/>
      <c r="F40" s="56"/>
      <c r="G40" s="31"/>
    </row>
    <row r="41" spans="1:7" hidden="1">
      <c r="A41" s="24" t="s">
        <v>62</v>
      </c>
      <c r="B41" s="24" t="s">
        <v>50</v>
      </c>
      <c r="C41" s="39">
        <f>30*C26*C26*0.000001*2*C8*C9/(3*1.414*120*C26)</f>
        <v>4.8733376798268391E-3</v>
      </c>
      <c r="D41" s="39">
        <f>30*D26*D26*0.000001*2*C8*C9/(3*1.414*230*D26)</f>
        <v>2.5425661900483599E-3</v>
      </c>
      <c r="E41" s="36" t="s">
        <v>60</v>
      </c>
      <c r="F41" s="58"/>
      <c r="G41" s="33"/>
    </row>
    <row r="42" spans="1:7" hidden="1">
      <c r="A42" s="24" t="s">
        <v>63</v>
      </c>
      <c r="B42" s="24" t="s">
        <v>51</v>
      </c>
      <c r="C42" s="39">
        <f>0.5*1.414*120*C26*C27*50*0.001*0.001*0.001</f>
        <v>6.2825645642816424E-2</v>
      </c>
      <c r="D42" s="39">
        <f>0.5*1.414*230*D26*D27*50*0.001*0.001*0.001</f>
        <v>0.12013880271156518</v>
      </c>
      <c r="E42" s="37" t="s">
        <v>60</v>
      </c>
      <c r="F42" s="58"/>
      <c r="G42" s="33"/>
    </row>
    <row r="43" spans="1:7" hidden="1">
      <c r="A43" s="24" t="s">
        <v>64</v>
      </c>
      <c r="B43" s="24" t="s">
        <v>52</v>
      </c>
      <c r="C43" s="39">
        <f>0.7*C39*0.001</f>
        <v>5.1201901791880292E-2</v>
      </c>
      <c r="D43" s="39">
        <f>0.7*D26*SQRT(2*C9*(1.414*230-C8)/(3*C26*1.414*230))*0.001</f>
        <v>5.157140306231553E-2</v>
      </c>
      <c r="E43" s="37" t="s">
        <v>60</v>
      </c>
      <c r="F43" s="58"/>
      <c r="G43" s="33"/>
    </row>
    <row r="44" spans="1:7" hidden="1">
      <c r="A44" s="24" t="s">
        <v>65</v>
      </c>
      <c r="B44" s="24" t="s">
        <v>53</v>
      </c>
      <c r="C44" s="39">
        <f>0.0001*5.5</f>
        <v>5.5000000000000003E-4</v>
      </c>
      <c r="D44" s="39">
        <f>0.0001*5.5</f>
        <v>5.5000000000000003E-4</v>
      </c>
      <c r="E44" s="37" t="s">
        <v>60</v>
      </c>
      <c r="F44" s="58"/>
      <c r="G44" s="33"/>
    </row>
    <row r="45" spans="1:7" hidden="1">
      <c r="A45" s="24" t="s">
        <v>66</v>
      </c>
      <c r="B45" s="24" t="s">
        <v>54</v>
      </c>
      <c r="C45" s="39">
        <f>2.8*POWER(0.001*0.001*C26*C26*(1.414*120+0.7)*C27/(2*(1.414*120-C8)*(C8+0.7)),2)</f>
        <v>9.6083375768772877E-2</v>
      </c>
      <c r="D45" s="39">
        <f>2.8*POWER(0.001*0.001*D26*D26*(1.414*230+0.7)*D27/(2*(1.414*230-C8)*(C8+0.7)),2)</f>
        <v>9.255546387415603E-2</v>
      </c>
      <c r="E45" s="37" t="s">
        <v>60</v>
      </c>
      <c r="F45" s="58"/>
      <c r="G45" s="33"/>
    </row>
    <row r="46" spans="1:7" hidden="1">
      <c r="A46" s="24" t="s">
        <v>67</v>
      </c>
      <c r="B46" s="24" t="s">
        <v>55</v>
      </c>
      <c r="C46" s="39">
        <f>0.001*C8*C8/C36</f>
        <v>1.1363636363636364E-2</v>
      </c>
      <c r="D46" s="39">
        <f>0.001*C8*C8/C36</f>
        <v>1.1363636363636364E-2</v>
      </c>
      <c r="E46" s="37" t="s">
        <v>60</v>
      </c>
      <c r="F46" s="58"/>
      <c r="G46" s="33"/>
    </row>
    <row r="47" spans="1:7" hidden="1">
      <c r="A47" s="24" t="s">
        <v>56</v>
      </c>
      <c r="B47" s="24" t="s">
        <v>57</v>
      </c>
      <c r="C47" s="39">
        <f>POWER(0.001*C8*C9/(0.01*C11*1.414*120),2)*15</f>
        <v>4.6889160526479002E-5</v>
      </c>
      <c r="D47" s="39" t="e">
        <f>POWER(0.001*C8*C9/(0.01*D11*1.414*230),2)*15</f>
        <v>#DIV/0!</v>
      </c>
      <c r="E47" s="37" t="s">
        <v>60</v>
      </c>
      <c r="F47" s="58"/>
      <c r="G47" s="33"/>
    </row>
    <row r="48" spans="1:7" hidden="1">
      <c r="A48" s="24" t="s">
        <v>58</v>
      </c>
      <c r="B48" s="24" t="s">
        <v>59</v>
      </c>
      <c r="C48" s="39">
        <f>POWER(3.3*0.01,2)/C32</f>
        <v>7.2600000000000008E-3</v>
      </c>
      <c r="D48" s="39">
        <f>POWER(3.3*0.01,2)/C32</f>
        <v>7.2600000000000008E-3</v>
      </c>
      <c r="E48" s="37" t="s">
        <v>60</v>
      </c>
      <c r="F48" s="58"/>
      <c r="G48" s="33"/>
    </row>
    <row r="49" spans="1:7" hidden="1">
      <c r="A49" s="24" t="s">
        <v>68</v>
      </c>
      <c r="B49" s="24" t="s">
        <v>69</v>
      </c>
      <c r="C49" s="39">
        <f>SUM(C41:C48)</f>
        <v>0.23420478640745923</v>
      </c>
      <c r="D49" s="39" t="e">
        <f>SUM(D41:D48)</f>
        <v>#DIV/0!</v>
      </c>
      <c r="E49" s="37" t="s">
        <v>60</v>
      </c>
      <c r="F49" s="58"/>
      <c r="G49" s="33"/>
    </row>
    <row r="50" spans="1:7" ht="14.5" hidden="1" thickBot="1">
      <c r="A50" s="35" t="s">
        <v>70</v>
      </c>
      <c r="B50" s="35" t="s">
        <v>71</v>
      </c>
      <c r="C50" s="40">
        <f>100*C8*C9*0.001/(C8*C9*0.001+C49)</f>
        <v>56.158238868937808</v>
      </c>
      <c r="D50" s="40" t="e">
        <f>100*C8*C9*0.001/(C8*C9*0.001+D49)</f>
        <v>#DIV/0!</v>
      </c>
      <c r="E50" s="38" t="s">
        <v>61</v>
      </c>
      <c r="F50" s="57"/>
      <c r="G50" s="34"/>
    </row>
    <row r="53" spans="1:7">
      <c r="C53"/>
      <c r="D53"/>
    </row>
    <row r="54" spans="1:7">
      <c r="C54"/>
      <c r="D54"/>
    </row>
    <row r="55" spans="1:7">
      <c r="C55"/>
      <c r="D55"/>
    </row>
    <row r="56" spans="1:7">
      <c r="C56"/>
      <c r="D56"/>
    </row>
    <row r="57" spans="1:7">
      <c r="C57"/>
      <c r="D57"/>
    </row>
  </sheetData>
  <sheetProtection algorithmName="SHA-512" hashValue="O/rsFrep2b+GCzB4wKwQmbfjaBv1SZOD/kr5ed8pcwYxtcXMUKixHSJv8R9nl2R5M7Nbi4T60yQKLZec6fx8Tg==" saltValue="0r6t08GT8upasnLwJLxsEg==" spinCount="100000" sheet="1" objects="1" scenarios="1"/>
  <mergeCells count="26">
    <mergeCell ref="C38:D38"/>
    <mergeCell ref="A40:E40"/>
    <mergeCell ref="C6:D6"/>
    <mergeCell ref="C7:D7"/>
    <mergeCell ref="C8:D8"/>
    <mergeCell ref="C9:D9"/>
    <mergeCell ref="C15:D15"/>
    <mergeCell ref="C16:D16"/>
    <mergeCell ref="C17:D17"/>
    <mergeCell ref="C19:D19"/>
    <mergeCell ref="C20:D20"/>
    <mergeCell ref="A37:E37"/>
    <mergeCell ref="C33:D33"/>
    <mergeCell ref="C32:D32"/>
    <mergeCell ref="C35:D35"/>
    <mergeCell ref="C36:D36"/>
    <mergeCell ref="A3:G3"/>
    <mergeCell ref="A1:G1"/>
    <mergeCell ref="A31:E31"/>
    <mergeCell ref="A2:G2"/>
    <mergeCell ref="A5:E5"/>
    <mergeCell ref="A14:E14"/>
    <mergeCell ref="A18:E18"/>
    <mergeCell ref="A22:E22"/>
    <mergeCell ref="C21:D21"/>
    <mergeCell ref="C4:D4"/>
  </mergeCells>
  <phoneticPr fontId="1" type="noConversion"/>
  <dataValidations count="2">
    <dataValidation type="custom" errorStyle="warning" allowBlank="1" showInputMessage="1" showErrorMessage="1" error="请检查输出纹波值和输出电容ESR值" sqref="C34:D34" xr:uid="{00000000-0002-0000-0000-000000000000}">
      <formula1>"C33&lt;0"</formula1>
    </dataValidation>
    <dataValidation type="list" allowBlank="1" showInputMessage="1" showErrorMessage="1" sqref="C8:D8" xr:uid="{00000000-0002-0000-0000-000001000000}">
      <formula1>"3.3,5"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>
      <selection activeCell="C5" sqref="C5:D5"/>
    </sheetView>
  </sheetViews>
  <sheetFormatPr defaultRowHeight="14"/>
  <sheetData>
    <row r="1" spans="1:1">
      <c r="A1">
        <v>3.3</v>
      </c>
    </row>
    <row r="2" spans="1:1">
      <c r="A2">
        <v>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3"/>
  <sheetViews>
    <sheetView topLeftCell="A10" workbookViewId="0">
      <pane xSplit="1" topLeftCell="B1" activePane="topRight" state="frozen"/>
      <selection pane="topRight" activeCell="C46" sqref="C46"/>
    </sheetView>
  </sheetViews>
  <sheetFormatPr defaultRowHeight="14"/>
  <cols>
    <col min="2" max="2" width="20.75" bestFit="1" customWidth="1"/>
    <col min="3" max="3" width="20.25" bestFit="1" customWidth="1"/>
    <col min="4" max="4" width="19.33203125" bestFit="1" customWidth="1"/>
    <col min="5" max="6" width="12.75" bestFit="1" customWidth="1"/>
    <col min="7" max="9" width="12.75" customWidth="1"/>
    <col min="10" max="10" width="20.75" bestFit="1" customWidth="1"/>
    <col min="11" max="11" width="20.25" bestFit="1" customWidth="1"/>
    <col min="12" max="12" width="19.33203125" bestFit="1" customWidth="1"/>
    <col min="13" max="14" width="12.75" bestFit="1" customWidth="1"/>
  </cols>
  <sheetData>
    <row r="1" spans="1:17" ht="14.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14.5" thickBot="1">
      <c r="A2" s="10"/>
      <c r="B2" s="103" t="s">
        <v>19</v>
      </c>
      <c r="C2" s="104"/>
      <c r="D2" s="104"/>
      <c r="E2" s="104"/>
      <c r="F2" s="104"/>
      <c r="G2" s="104"/>
      <c r="H2" s="104"/>
      <c r="I2" s="101"/>
      <c r="J2" s="101" t="s">
        <v>21</v>
      </c>
      <c r="K2" s="102"/>
      <c r="L2" s="102"/>
      <c r="M2" s="102"/>
      <c r="N2" s="102"/>
      <c r="O2" s="102"/>
      <c r="P2" s="102"/>
      <c r="Q2" s="102"/>
    </row>
    <row r="3" spans="1:17">
      <c r="A3" s="20" t="s">
        <v>20</v>
      </c>
      <c r="B3" s="9" t="s">
        <v>15</v>
      </c>
      <c r="C3" s="7" t="s">
        <v>16</v>
      </c>
      <c r="D3" s="7" t="s">
        <v>18</v>
      </c>
      <c r="E3" s="7" t="s">
        <v>23</v>
      </c>
      <c r="F3" s="4" t="s">
        <v>22</v>
      </c>
      <c r="G3" s="4" t="s">
        <v>26</v>
      </c>
      <c r="H3" s="14" t="s">
        <v>27</v>
      </c>
      <c r="I3" s="12" t="s">
        <v>43</v>
      </c>
      <c r="J3" s="9" t="s">
        <v>15</v>
      </c>
      <c r="K3" s="7" t="s">
        <v>16</v>
      </c>
      <c r="L3" s="7" t="s">
        <v>18</v>
      </c>
      <c r="M3" s="7" t="s">
        <v>24</v>
      </c>
      <c r="N3" s="7" t="s">
        <v>25</v>
      </c>
      <c r="O3" s="7" t="s">
        <v>26</v>
      </c>
      <c r="P3" s="8" t="s">
        <v>27</v>
      </c>
      <c r="Q3" s="11" t="s">
        <v>28</v>
      </c>
    </row>
    <row r="4" spans="1:17">
      <c r="A4" s="15">
        <v>5</v>
      </c>
      <c r="B4" s="5">
        <f>0.01*'AL17052'!C11*'AL17052'!C20*(1.414*120+0.7)/(2*(1.414*120-'AL17052'!C8)*A4*('AL17052'!C8+0.7))</f>
        <v>5.989862316709919E-3</v>
      </c>
      <c r="C4" s="4">
        <f>1-'AL17052'!C20/(1.414*120-'AL17052'!C8)</f>
        <v>0.99799611367500607</v>
      </c>
      <c r="D4" s="4">
        <f>-('AL17052'!C15+'AL17052'!C17)</f>
        <v>-147</v>
      </c>
      <c r="E4" s="4">
        <f>(-C4+SQRT(C4*C4-4*B4*D4))/(2*B4)</f>
        <v>94.123276710037715</v>
      </c>
      <c r="F4" s="4">
        <f>2*1000*(1.414*120-'AL17052'!C8)*A4*('AL17052'!C8+0.7)/(0.01*'AL17052'!C11*'AL17052'!C20*E4*E4*(1.414*120+0.7))</f>
        <v>18.844693772223529</v>
      </c>
      <c r="G4" s="4">
        <f>'AL17052'!C20*E4/(1.414*120-'AL17052'!C8)</f>
        <v>0.18861234706286403</v>
      </c>
      <c r="H4" s="4">
        <f>1000/F4-G4</f>
        <v>52.876723289962328</v>
      </c>
      <c r="I4" s="13" t="str">
        <f>IF(H4&lt;'AL17052'!C17,"BAD","GOOD")</f>
        <v>GOOD</v>
      </c>
      <c r="J4" s="5">
        <f>0.01*0.92*'AL17052'!C11*'AL17052'!C20*(1.414*230+0.7)/(2*(1.414*230-'AL17052'!C8)*A4*('AL17052'!C8+0.7))</f>
        <v>5.4211256077236359E-3</v>
      </c>
      <c r="K4" s="4">
        <f>1-'AL17052'!C20/(1.414*230-'AL17052'!C8)</f>
        <v>0.99896945849728314</v>
      </c>
      <c r="L4" s="4">
        <f>-('AL17052'!C15+'AL17052'!C17)</f>
        <v>-147</v>
      </c>
      <c r="M4" s="4">
        <f>(-K4+SQRT(K4*K4-4*J4*L4))/(2*J4)</f>
        <v>96.556987115132785</v>
      </c>
      <c r="N4" s="4">
        <f>2*1000*(1.414*230-'AL17052'!C8)*A4*('AL17052'!C8+0.7)/(0.01*0.95*'AL17052'!C11*'AL17052'!C20*M4*M4*(1.414*230+0.7))</f>
        <v>19.160522157017652</v>
      </c>
      <c r="O4" s="4">
        <f>'AL17052'!C20*M4/(1.414*230-'AL17052'!C8)</f>
        <v>9.9505982599443571E-2</v>
      </c>
      <c r="P4" s="4">
        <f>1000/N4-O4</f>
        <v>52.091138500110759</v>
      </c>
      <c r="Q4" s="6" t="str">
        <f>IF(P4&lt;'AL17052'!C17,"BAD","GOOD")</f>
        <v>GOOD</v>
      </c>
    </row>
    <row r="5" spans="1:17">
      <c r="A5" s="15">
        <v>10</v>
      </c>
      <c r="B5" s="5">
        <f>0.01*'AL17052'!C11*'AL17052'!C20*(1.414*120+0.7)/(2*(1.414*120-'AL17052'!C8)*A5*('AL17052'!C8+0.7))</f>
        <v>2.9949311583549595E-3</v>
      </c>
      <c r="C5" s="4">
        <f>1-'AL17052'!C20/(1.414*120-'AL17052'!C8)</f>
        <v>0.99799611367500607</v>
      </c>
      <c r="D5" s="4">
        <f>-('AL17052'!C15+'AL17052'!C17)</f>
        <v>-147</v>
      </c>
      <c r="E5" s="4">
        <f t="shared" ref="E5:E13" si="0">(-C5+SQRT(C5*C5-4*B5*D5))/(2*B5)</f>
        <v>110.59190203165156</v>
      </c>
      <c r="F5" s="4">
        <f>2*1000*(1.414*120-'AL17052'!C8)*A5*('AL17052'!C8+0.7)/(0.01*'AL17052'!C11*'AL17052'!C20*E5*E5*(1.414*120+0.7))</f>
        <v>27.300242267273941</v>
      </c>
      <c r="G5" s="4">
        <f>'AL17052'!C20*E5/(1.414*120-'AL17052'!C8)</f>
        <v>0.22161360013629475</v>
      </c>
      <c r="H5" s="4">
        <f t="shared" ref="H5:H23" si="1">1000/F5-G5</f>
        <v>36.408097968348436</v>
      </c>
      <c r="I5" s="13" t="str">
        <f>IF(H5&lt;'AL17052'!C17,"BAD","GOOD")</f>
        <v>GOOD</v>
      </c>
      <c r="J5" s="5">
        <f>0.01*0.92*'AL17052'!C11*'AL17052'!C20*(1.414*230+0.7)/(2*(1.414*230-'AL17052'!C8)*A5*('AL17052'!C8+0.7))</f>
        <v>2.710562803861818E-3</v>
      </c>
      <c r="K5" s="4">
        <f>1-'AL17052'!C20/(1.414*230-'AL17052'!C8)</f>
        <v>0.99896945849728314</v>
      </c>
      <c r="L5" s="4">
        <f>-('AL17052'!C15+'AL17052'!C17)</f>
        <v>-147</v>
      </c>
      <c r="M5" s="4">
        <f t="shared" ref="M5:M13" si="2">(-K5+SQRT(K5*K5-4*J5*L5))/(2*J5)</f>
        <v>112.69285537643161</v>
      </c>
      <c r="N5" s="4">
        <f>2*1000*(1.414*230-'AL17052'!C8)*A5*('AL17052'!C8+0.7)/(0.01*0.95*'AL17052'!C11*'AL17052'!C20*M5*M5*(1.414*230+0.7))</f>
        <v>28.132736702006863</v>
      </c>
      <c r="O5" s="4">
        <f>'AL17052'!C20*M5/(1.414*230-'AL17052'!C8)</f>
        <v>0.11613466452508411</v>
      </c>
      <c r="P5" s="4">
        <f t="shared" ref="P5:P23" si="3">1000/N5-O5</f>
        <v>35.429642861223577</v>
      </c>
      <c r="Q5" s="6" t="str">
        <f>IF(P5&lt;'AL17052'!C17,"BAD","GOOD")</f>
        <v>GOOD</v>
      </c>
    </row>
    <row r="6" spans="1:17">
      <c r="A6" s="15">
        <v>15</v>
      </c>
      <c r="B6" s="5">
        <f>0.01*'AL17052'!C11*'AL17052'!C20*(1.414*120+0.7)/(2*(1.414*120-'AL17052'!C8)*A6*('AL17052'!C8+0.7))</f>
        <v>1.9966207722366394E-3</v>
      </c>
      <c r="C6" s="4">
        <f>1-'AL17052'!C20/(1.414*120-'AL17052'!C8)</f>
        <v>0.99799611367500607</v>
      </c>
      <c r="D6" s="4">
        <f>-('AL17052'!C15+'AL17052'!C17)</f>
        <v>-147</v>
      </c>
      <c r="E6" s="4">
        <f t="shared" si="0"/>
        <v>118.97577677725127</v>
      </c>
      <c r="F6" s="4">
        <f>2*1000*(1.414*120-'AL17052'!C8)*A6*('AL17052'!C8+0.7)/(0.01*'AL17052'!C11*'AL17052'!C20*E6*E6*(1.414*120+0.7))</f>
        <v>35.382402375314598</v>
      </c>
      <c r="G6" s="4">
        <f>'AL17052'!C20*E6/(1.414*120-'AL17052'!C8)</f>
        <v>0.23841393208946399</v>
      </c>
      <c r="H6" s="4">
        <f t="shared" si="1"/>
        <v>28.024223222748684</v>
      </c>
      <c r="I6" s="13" t="str">
        <f>IF(H6&lt;'AL17052'!C17,"BAD","GOOD")</f>
        <v>GOOD</v>
      </c>
      <c r="J6" s="5">
        <f>0.01*0.92*'AL17052'!C11*'AL17052'!C20*(1.414*230+0.7)/(2*(1.414*230-'AL17052'!C8)*A6*('AL17052'!C8+0.7))</f>
        <v>1.8070418692412121E-3</v>
      </c>
      <c r="K6" s="4">
        <f>1-'AL17052'!C20/(1.414*230-'AL17052'!C8)</f>
        <v>0.99896945849728314</v>
      </c>
      <c r="L6" s="4">
        <f>-('AL17052'!C15+'AL17052'!C17)</f>
        <v>-147</v>
      </c>
      <c r="M6" s="4">
        <f t="shared" si="2"/>
        <v>120.76863654872136</v>
      </c>
      <c r="N6" s="4">
        <f>2*1000*(1.414*230-'AL17052'!C8)*A6*('AL17052'!C8+0.7)/(0.01*0.95*'AL17052'!C11*'AL17052'!C20*M6*M6*(1.414*230+0.7))</f>
        <v>36.744105577527499</v>
      </c>
      <c r="O6" s="4">
        <f>'AL17052'!C20*M6/(1.414*230-'AL17052'!C8)</f>
        <v>0.12445709218998829</v>
      </c>
      <c r="P6" s="4">
        <f t="shared" si="3"/>
        <v>27.090792382043908</v>
      </c>
      <c r="Q6" s="6" t="str">
        <f>IF(P6&lt;'AL17052'!C17,"BAD","GOOD")</f>
        <v>GOOD</v>
      </c>
    </row>
    <row r="7" spans="1:17">
      <c r="A7" s="15">
        <v>20</v>
      </c>
      <c r="B7" s="5">
        <f>0.01*'AL17052'!C11*'AL17052'!C20*(1.414*120+0.7)/(2*(1.414*120-'AL17052'!C8)*A7*('AL17052'!C8+0.7))</f>
        <v>1.4974655791774798E-3</v>
      </c>
      <c r="C7" s="4">
        <f>1-'AL17052'!C20/(1.414*120-'AL17052'!C8)</f>
        <v>0.99799611367500607</v>
      </c>
      <c r="D7" s="4">
        <f>-('AL17052'!C15+'AL17052'!C17)</f>
        <v>-147</v>
      </c>
      <c r="E7" s="4">
        <f t="shared" si="0"/>
        <v>124.16314925481618</v>
      </c>
      <c r="F7" s="4">
        <f>2*1000*(1.414*120-'AL17052'!C8)*A7*('AL17052'!C8+0.7)/(0.01*'AL17052'!C11*'AL17052'!C20*E7*E7*(1.414*120+0.7))</f>
        <v>43.316934326529243</v>
      </c>
      <c r="G7" s="4">
        <f>'AL17052'!C20*E7/(1.414*120-'AL17052'!C8)</f>
        <v>0.24880883685990615</v>
      </c>
      <c r="H7" s="4">
        <f t="shared" si="1"/>
        <v>22.836850745183852</v>
      </c>
      <c r="I7" s="13" t="str">
        <f>IF(H7&lt;'AL17052'!C17,"BAD","GOOD")</f>
        <v>GOOD</v>
      </c>
      <c r="J7" s="5">
        <f>0.01*0.92*'AL17052'!C11*'AL17052'!C20*(1.414*230+0.7)/(2*(1.414*230-'AL17052'!C8)*A7*('AL17052'!C8+0.7))</f>
        <v>1.355281401930909E-3</v>
      </c>
      <c r="K7" s="4">
        <f>1-'AL17052'!C20/(1.414*230-'AL17052'!C8)</f>
        <v>0.99896945849728314</v>
      </c>
      <c r="L7" s="4">
        <f>-('AL17052'!C15+'AL17052'!C17)</f>
        <v>-147</v>
      </c>
      <c r="M7" s="4">
        <f t="shared" si="2"/>
        <v>125.71151660530039</v>
      </c>
      <c r="N7" s="4">
        <f>2*1000*(1.414*230-'AL17052'!C8)*A7*('AL17052'!C8+0.7)/(0.01*0.95*'AL17052'!C11*'AL17052'!C20*M7*M7*(1.414*230+0.7))</f>
        <v>45.215216191816808</v>
      </c>
      <c r="O7" s="4">
        <f>'AL17052'!C20*M7/(1.414*230-'AL17052'!C8)</f>
        <v>0.12955093523124458</v>
      </c>
      <c r="P7" s="4">
        <f t="shared" si="3"/>
        <v>21.986897557632165</v>
      </c>
      <c r="Q7" s="6" t="str">
        <f>IF(P7&lt;'AL17052'!C17,"BAD","GOOD")</f>
        <v>GOOD</v>
      </c>
    </row>
    <row r="8" spans="1:17">
      <c r="A8" s="15">
        <v>25</v>
      </c>
      <c r="B8" s="5">
        <f>0.01*'AL17052'!C11*'AL17052'!C20*(1.414*120+0.7)/(2*(1.414*120-'AL17052'!C8)*A8*('AL17052'!C8+0.7))</f>
        <v>1.197972463341984E-3</v>
      </c>
      <c r="C8" s="4">
        <f>1-'AL17052'!C20/(1.414*120-'AL17052'!C8)</f>
        <v>0.99799611367500607</v>
      </c>
      <c r="D8" s="4">
        <f>-('AL17052'!C15+'AL17052'!C17)</f>
        <v>-147</v>
      </c>
      <c r="E8" s="4">
        <f t="shared" si="0"/>
        <v>127.71550020767265</v>
      </c>
      <c r="F8" s="4">
        <f>2*1000*(1.414*120-'AL17052'!C8)*A8*('AL17052'!C8+0.7)/(0.01*'AL17052'!C11*'AL17052'!C20*E8*E8*(1.414*120+0.7))</f>
        <v>51.17595398529938</v>
      </c>
      <c r="G8" s="4">
        <f>'AL17052'!C20*E8/(1.414*120-'AL17052'!C8)</f>
        <v>0.25592734435591441</v>
      </c>
      <c r="H8" s="4">
        <f t="shared" si="1"/>
        <v>19.284499792327388</v>
      </c>
      <c r="I8" s="13" t="str">
        <f>IF(H8&lt;'AL17052'!C17,"BAD","GOOD")</f>
        <v>GOOD</v>
      </c>
      <c r="J8" s="5">
        <f>0.01*0.92*'AL17052'!C11*'AL17052'!C20*(1.414*230+0.7)/(2*(1.414*230-'AL17052'!C8)*A8*('AL17052'!C8+0.7))</f>
        <v>1.0842251215447273E-3</v>
      </c>
      <c r="K8" s="4">
        <f>1-'AL17052'!C20/(1.414*230-'AL17052'!C8)</f>
        <v>0.99896945849728314</v>
      </c>
      <c r="L8" s="4">
        <f>-('AL17052'!C15+'AL17052'!C17)</f>
        <v>-147</v>
      </c>
      <c r="M8" s="4">
        <f t="shared" si="2"/>
        <v>129.07065318403215</v>
      </c>
      <c r="N8" s="4">
        <f>2*1000*(1.414*230-'AL17052'!C8)*A8*('AL17052'!C8+0.7)/(0.01*0.95*'AL17052'!C11*'AL17052'!C20*M8*M8*(1.414*230+0.7))</f>
        <v>53.615423480965909</v>
      </c>
      <c r="O8" s="4">
        <f>'AL17052'!C20*M8/(1.414*230-'AL17052'!C8)</f>
        <v>0.13301266488892205</v>
      </c>
      <c r="P8" s="4">
        <f t="shared" si="3"/>
        <v>18.518336799039332</v>
      </c>
      <c r="Q8" s="6" t="str">
        <f>IF(P8&lt;'AL17052'!C17,"BAD","GOOD")</f>
        <v>GOOD</v>
      </c>
    </row>
    <row r="9" spans="1:17">
      <c r="A9" s="15">
        <v>30</v>
      </c>
      <c r="B9" s="5">
        <f>0.01*'AL17052'!C11*'AL17052'!C20*(1.414*120+0.7)/(2*(1.414*120-'AL17052'!C8)*A9*('AL17052'!C8+0.7))</f>
        <v>9.9831038611831969E-4</v>
      </c>
      <c r="C9" s="4">
        <f>1-'AL17052'!C20/(1.414*120-'AL17052'!C8)</f>
        <v>0.99799611367500607</v>
      </c>
      <c r="D9" s="4">
        <f>-('AL17052'!C15+'AL17052'!C17)</f>
        <v>-147</v>
      </c>
      <c r="E9" s="4">
        <f t="shared" si="0"/>
        <v>130.30930148581035</v>
      </c>
      <c r="F9" s="4">
        <f>2*1000*(1.414*120-'AL17052'!C8)*A9*('AL17052'!C8+0.7)/(0.01*'AL17052'!C11*'AL17052'!C20*E9*E9*(1.414*120+0.7))</f>
        <v>58.990703717181027</v>
      </c>
      <c r="G9" s="4">
        <f>'AL17052'!C20*E9/(1.414*120-'AL17052'!C8)</f>
        <v>0.26112502726692632</v>
      </c>
      <c r="H9" s="4">
        <f t="shared" si="1"/>
        <v>16.690698514189663</v>
      </c>
      <c r="I9" s="13" t="str">
        <f>IF(H9&lt;'AL17052'!C17,"BAD","GOOD")</f>
        <v>GOOD</v>
      </c>
      <c r="J9" s="5">
        <f>0.01*0.92*'AL17052'!C11*'AL17052'!C20*(1.414*230+0.7)/(2*(1.414*230-'AL17052'!C8)*A9*('AL17052'!C8+0.7))</f>
        <v>9.0352093462060606E-4</v>
      </c>
      <c r="K9" s="4">
        <f>1-'AL17052'!C20/(1.414*230-'AL17052'!C8)</f>
        <v>0.99896945849728314</v>
      </c>
      <c r="L9" s="4">
        <f>-('AL17052'!C15+'AL17052'!C17)</f>
        <v>-147</v>
      </c>
      <c r="M9" s="4">
        <f t="shared" si="2"/>
        <v>131.50938564523133</v>
      </c>
      <c r="N9" s="4">
        <f>2*1000*(1.414*230-'AL17052'!C8)*A9*('AL17052'!C8+0.7)/(0.01*0.95*'AL17052'!C11*'AL17052'!C20*M9*M9*(1.414*230+0.7))</f>
        <v>61.974424783591019</v>
      </c>
      <c r="O9" s="4">
        <f>'AL17052'!C20*M9/(1.414*230-'AL17052'!C8)</f>
        <v>0.13552587990421069</v>
      </c>
      <c r="P9" s="4">
        <f t="shared" si="3"/>
        <v>16.000162405899292</v>
      </c>
      <c r="Q9" s="6" t="str">
        <f>IF(P9&lt;'AL17052'!C17,"BAD","GOOD")</f>
        <v>GOOD</v>
      </c>
    </row>
    <row r="10" spans="1:17">
      <c r="A10" s="15">
        <v>35</v>
      </c>
      <c r="B10" s="5">
        <f>0.01*'AL17052'!C11*'AL17052'!C20*(1.414*120+0.7)/(2*(1.414*120-'AL17052'!C8)*A10*('AL17052'!C8+0.7))</f>
        <v>8.5569461667284554E-4</v>
      </c>
      <c r="C10" s="4">
        <f>1-'AL17052'!C20/(1.414*120-'AL17052'!C8)</f>
        <v>0.99799611367500607</v>
      </c>
      <c r="D10" s="4">
        <f>-('AL17052'!C15+'AL17052'!C17)</f>
        <v>-147</v>
      </c>
      <c r="E10" s="4">
        <f t="shared" si="0"/>
        <v>132.28990785434613</v>
      </c>
      <c r="F10" s="4">
        <f>2*1000*(1.414*120-'AL17052'!C8)*A10*('AL17052'!C8+0.7)/(0.01*'AL17052'!C11*'AL17052'!C20*E10*E10*(1.414*120+0.7))</f>
        <v>66.777133483459977</v>
      </c>
      <c r="G10" s="4">
        <f>'AL17052'!C20*E10/(1.414*120-'AL17052'!C8)</f>
        <v>0.26509393728403102</v>
      </c>
      <c r="H10" s="4">
        <f t="shared" si="1"/>
        <v>14.710092145653926</v>
      </c>
      <c r="I10" s="13" t="str">
        <f>IF(H10&lt;'AL17052'!C17,"BAD","GOOD")</f>
        <v>GOOD</v>
      </c>
      <c r="J10" s="5">
        <f>0.01*0.92*'AL17052'!C11*'AL17052'!C20*(1.414*230+0.7)/(2*(1.414*230-'AL17052'!C8)*A10*('AL17052'!C8+0.7))</f>
        <v>7.7444651538909092E-4</v>
      </c>
      <c r="K10" s="4">
        <f>1-'AL17052'!C20/(1.414*230-'AL17052'!C8)</f>
        <v>0.99896945849728314</v>
      </c>
      <c r="L10" s="4">
        <f>-('AL17052'!C15+'AL17052'!C17)</f>
        <v>-147</v>
      </c>
      <c r="M10" s="4">
        <f t="shared" si="2"/>
        <v>133.36330744948935</v>
      </c>
      <c r="N10" s="4">
        <f>2*1000*(1.414*230-'AL17052'!C8)*A10*('AL17052'!C8+0.7)/(0.01*0.95*'AL17052'!C11*'AL17052'!C20*M10*M10*(1.414*230+0.7))</f>
        <v>70.307244434493668</v>
      </c>
      <c r="O10" s="4">
        <f>'AL17052'!C20*M10/(1.414*230-'AL17052'!C8)</f>
        <v>0.13743642326629033</v>
      </c>
      <c r="P10" s="4">
        <f t="shared" si="3"/>
        <v>14.085848930090364</v>
      </c>
      <c r="Q10" s="6" t="str">
        <f>IF(P10&lt;'AL17052'!C17,"BAD","GOOD")</f>
        <v>GOOD</v>
      </c>
    </row>
    <row r="11" spans="1:17">
      <c r="A11" s="15">
        <v>40</v>
      </c>
      <c r="B11" s="5">
        <f>0.01*'AL17052'!C11*'AL17052'!C20*(1.414*120+0.7)/(2*(1.414*120-'AL17052'!C8)*A11*('AL17052'!C8+0.7))</f>
        <v>7.4873278958873988E-4</v>
      </c>
      <c r="C11" s="4">
        <f>1-'AL17052'!C20/(1.414*120-'AL17052'!C8)</f>
        <v>0.99799611367500607</v>
      </c>
      <c r="D11" s="4">
        <f>-('AL17052'!C15+'AL17052'!C17)</f>
        <v>-147</v>
      </c>
      <c r="E11" s="4">
        <f t="shared" si="0"/>
        <v>133.85338477128624</v>
      </c>
      <c r="F11" s="4">
        <f>2*1000*(1.414*120-'AL17052'!C8)*A11*('AL17052'!C8+0.7)/(0.01*'AL17052'!C11*'AL17052'!C20*E11*E11*(1.414*120+0.7))</f>
        <v>74.544298426212023</v>
      </c>
      <c r="G11" s="4">
        <f>'AL17052'!C20*E11/(1.414*120-'AL17052'!C8)</f>
        <v>0.26822696729733098</v>
      </c>
      <c r="H11" s="4">
        <f t="shared" si="1"/>
        <v>13.146615228713864</v>
      </c>
      <c r="I11" s="13" t="str">
        <f>IF(H11&lt;'AL17052'!C17,"BAD","GOOD")</f>
        <v>GOOD</v>
      </c>
      <c r="J11" s="5">
        <f>0.01*0.92*'AL17052'!C11*'AL17052'!C20*(1.414*230+0.7)/(2*(1.414*230-'AL17052'!C8)*A11*('AL17052'!C8+0.7))</f>
        <v>6.7764070096545449E-4</v>
      </c>
      <c r="K11" s="4">
        <f>1-'AL17052'!C20/(1.414*230-'AL17052'!C8)</f>
        <v>0.99896945849728314</v>
      </c>
      <c r="L11" s="4">
        <f>-('AL17052'!C15+'AL17052'!C17)</f>
        <v>-147</v>
      </c>
      <c r="M11" s="4">
        <f t="shared" si="2"/>
        <v>134.82156319635655</v>
      </c>
      <c r="N11" s="4">
        <f>2*1000*(1.414*230-'AL17052'!C8)*A11*('AL17052'!C8+0.7)/(0.01*0.95*'AL17052'!C11*'AL17052'!C20*M11*M11*(1.414*230+0.7))</f>
        <v>78.622350333449461</v>
      </c>
      <c r="O11" s="4">
        <f>'AL17052'!C20*M11/(1.414*230-'AL17052'!C8)</f>
        <v>0.13893921633501238</v>
      </c>
      <c r="P11" s="4">
        <f t="shared" si="3"/>
        <v>12.58009036951235</v>
      </c>
      <c r="Q11" s="6" t="str">
        <f>IF(P11&lt;'AL17052'!C17,"BAD","GOOD")</f>
        <v>GOOD</v>
      </c>
    </row>
    <row r="12" spans="1:17">
      <c r="A12" s="15">
        <v>45</v>
      </c>
      <c r="B12" s="5">
        <f>0.01*'AL17052'!C11*'AL17052'!C20*(1.414*120+0.7)/(2*(1.414*120-'AL17052'!C8)*A12*('AL17052'!C8+0.7))</f>
        <v>6.6554025741221313E-4</v>
      </c>
      <c r="C12" s="4">
        <f>1-'AL17052'!C20/(1.414*120-'AL17052'!C8)</f>
        <v>0.99799611367500607</v>
      </c>
      <c r="D12" s="4">
        <f>-('AL17052'!C15+'AL17052'!C17)</f>
        <v>-147</v>
      </c>
      <c r="E12" s="4">
        <f t="shared" si="0"/>
        <v>135.11976299286354</v>
      </c>
      <c r="F12" s="4">
        <f>2*1000*(1.414*120-'AL17052'!C8)*A12*('AL17052'!C8+0.7)/(0.01*'AL17052'!C11*'AL17052'!C20*E12*E12*(1.414*120+0.7))</f>
        <v>82.297742079531588</v>
      </c>
      <c r="G12" s="4">
        <f>'AL17052'!C20*E12/(1.414*120-'AL17052'!C8)</f>
        <v>0.27076464529781985</v>
      </c>
      <c r="H12" s="4">
        <f t="shared" si="1"/>
        <v>11.880237007136477</v>
      </c>
      <c r="I12" s="13" t="str">
        <f>IF(H12&lt;'AL17052'!C17,"BAD","GOOD")</f>
        <v>GOOD</v>
      </c>
      <c r="J12" s="5">
        <f>0.01*0.92*'AL17052'!C11*'AL17052'!C20*(1.414*230+0.7)/(2*(1.414*230-'AL17052'!C8)*A12*('AL17052'!C8+0.7))</f>
        <v>6.0234728974707078E-4</v>
      </c>
      <c r="K12" s="4">
        <f>1-'AL17052'!C20/(1.414*230-'AL17052'!C8)</f>
        <v>0.99896945849728314</v>
      </c>
      <c r="L12" s="4">
        <f>-('AL17052'!C15+'AL17052'!C17)</f>
        <v>-147</v>
      </c>
      <c r="M12" s="4">
        <f t="shared" si="2"/>
        <v>135.9992588396523</v>
      </c>
      <c r="N12" s="4">
        <f>2*1000*(1.414*230-'AL17052'!C8)*A12*('AL17052'!C8+0.7)/(0.01*0.95*'AL17052'!C11*'AL17052'!C20*M12*M12*(1.414*230+0.7))</f>
        <v>86.924895710753248</v>
      </c>
      <c r="O12" s="4">
        <f>'AL17052'!C20*M12/(1.414*230-'AL17052'!C8)</f>
        <v>0.14015288057299752</v>
      </c>
      <c r="P12" s="4">
        <f t="shared" si="3"/>
        <v>11.36403118342114</v>
      </c>
      <c r="Q12" s="6" t="str">
        <f>IF(P12&lt;'AL17052'!C17,"BAD","GOOD")</f>
        <v>GOOD</v>
      </c>
    </row>
    <row r="13" spans="1:17">
      <c r="A13" s="15">
        <v>50</v>
      </c>
      <c r="B13" s="5">
        <f>0.01*'AL17052'!C11*'AL17052'!C20*(1.414*120+0.7)/(2*(1.414*120-'AL17052'!C8)*A13*('AL17052'!C8+0.7))</f>
        <v>5.9898623167099199E-4</v>
      </c>
      <c r="C13" s="4">
        <f>1-'AL17052'!C20/(1.414*120-'AL17052'!C8)</f>
        <v>0.99799611367500607</v>
      </c>
      <c r="D13" s="4">
        <f>-('AL17052'!C15+'AL17052'!C17)</f>
        <v>-147</v>
      </c>
      <c r="E13" s="4">
        <f t="shared" si="0"/>
        <v>136.16681810025906</v>
      </c>
      <c r="F13" s="4">
        <f>2*1000*(1.414*120-'AL17052'!C8)*A13*('AL17052'!C8+0.7)/(0.01*'AL17052'!C11*'AL17052'!C20*E13*E13*(1.414*120+0.7))</f>
        <v>90.041056452662545</v>
      </c>
      <c r="G13" s="4">
        <f>'AL17052'!C20*E13/(1.414*120-'AL17052'!C8)</f>
        <v>0.27286282470904477</v>
      </c>
      <c r="H13" s="4">
        <f t="shared" si="1"/>
        <v>10.833181899740984</v>
      </c>
      <c r="I13" s="13" t="str">
        <f>IF(H13&lt;'AL17052'!C17,"BAD","GOOD")</f>
        <v>GOOD</v>
      </c>
      <c r="J13" s="5">
        <f>0.01*0.92*'AL17052'!C11*'AL17052'!C20*(1.414*230+0.7)/(2*(1.414*230-'AL17052'!C8)*A13*('AL17052'!C8+0.7))</f>
        <v>5.4211256077236363E-4</v>
      </c>
      <c r="K13" s="4">
        <f>1-'AL17052'!C20/(1.414*230-'AL17052'!C8)</f>
        <v>0.99896945849728314</v>
      </c>
      <c r="L13" s="4">
        <f>-('AL17052'!C15+'AL17052'!C17)</f>
        <v>-147</v>
      </c>
      <c r="M13" s="4">
        <f t="shared" si="2"/>
        <v>136.97060854760898</v>
      </c>
      <c r="N13" s="4">
        <f>2*1000*(1.414*230-'AL17052'!C8)*A13*('AL17052'!C8+0.7)/(0.01*0.95*'AL17052'!C11*'AL17052'!C20*M13*M13*(1.414*230+0.7))</f>
        <v>95.218203093931166</v>
      </c>
      <c r="O13" s="4">
        <f>'AL17052'!C20*M13/(1.414*230-'AL17052'!C8)</f>
        <v>0.14115389676069878</v>
      </c>
      <c r="P13" s="4">
        <f t="shared" si="3"/>
        <v>10.361039670298288</v>
      </c>
      <c r="Q13" s="6" t="str">
        <f>IF(P13&lt;'AL17052'!C17,"BAD","GOOD")</f>
        <v>GOOD</v>
      </c>
    </row>
    <row r="14" spans="1:17">
      <c r="A14" s="15">
        <v>55</v>
      </c>
      <c r="B14" s="5">
        <f>0.01*'AL17052'!C11*'AL17052'!C20*(1.414*120+0.7)/(2*(1.414*120-'AL17052'!C8)*A14*('AL17052'!C8+0.7))</f>
        <v>5.4453293788271986E-4</v>
      </c>
      <c r="C14" s="4">
        <f>1-'AL17052'!C20/(1.414*120-'AL17052'!C8)</f>
        <v>0.99799611367500607</v>
      </c>
      <c r="D14" s="4">
        <f>-('AL17052'!C15+'AL17052'!C17)</f>
        <v>-147</v>
      </c>
      <c r="E14" s="4">
        <f>(-C14+SQRT(C14*C14-4*B14*D14))/(2*B14)</f>
        <v>137.04723900644464</v>
      </c>
      <c r="F14" s="4">
        <f>2*1000*(1.414*120-'AL17052'!C8)*A14*('AL17052'!C8+0.7)/(0.01*'AL17052'!C11*'AL17052'!C20*E14*E14*(1.414*120+0.7))</f>
        <v>97.776674945132214</v>
      </c>
      <c r="G14" s="4">
        <f>'AL17052'!C20*E14/(1.414*120-'AL17052'!C8)</f>
        <v>0.27462708812318887</v>
      </c>
      <c r="H14" s="4">
        <f t="shared" si="1"/>
        <v>9.9527609935553318</v>
      </c>
      <c r="I14" s="13" t="str">
        <f>IF(H14&lt;'AL17052'!C17,"BAD","GOOD")</f>
        <v>GOOD</v>
      </c>
      <c r="J14" s="5">
        <f>0.01*0.92*'AL17052'!C11*'AL17052'!C20*(1.414*230+0.7)/(2*(1.414*230-'AL17052'!C8)*A14*('AL17052'!C8+0.7))</f>
        <v>4.9282960070214869E-4</v>
      </c>
      <c r="K14" s="4">
        <f>1-'AL17052'!C20/(1.414*230-'AL17052'!C8)</f>
        <v>0.99896945849728314</v>
      </c>
      <c r="L14" s="4">
        <f>-('AL17052'!C15+'AL17052'!C17)</f>
        <v>-147</v>
      </c>
      <c r="M14" s="4">
        <f>(-K14+SQRT(K14*K14-4*J14*L14))/(2*J14)</f>
        <v>137.78567675974122</v>
      </c>
      <c r="N14" s="4">
        <f>2*1000*(1.414*230-'AL17052'!C8)*A14*('AL17052'!C8+0.7)/(0.01*0.95*'AL17052'!C11*'AL17052'!C20*M14*M14*(1.414*230+0.7))</f>
        <v>103.50451384042752</v>
      </c>
      <c r="O14" s="4">
        <f>'AL17052'!C20*M14/(1.414*230-'AL17052'!C8)</f>
        <v>0.14199385838084633</v>
      </c>
      <c r="P14" s="4">
        <f t="shared" si="3"/>
        <v>9.5194205369536</v>
      </c>
      <c r="Q14" s="6" t="str">
        <f>IF(P14&lt;'AL17052'!C17,"BAD","GOOD")</f>
        <v>GOOD</v>
      </c>
    </row>
    <row r="15" spans="1:17">
      <c r="A15" s="15">
        <v>60</v>
      </c>
      <c r="B15" s="5">
        <f>0.01*'AL17052'!C11*'AL17052'!C20*(1.414*120+0.7)/(2*(1.414*120-'AL17052'!C8)*A15*('AL17052'!C8+0.7))</f>
        <v>4.9915519305915985E-4</v>
      </c>
      <c r="C15" s="4">
        <f>1-'AL17052'!C20/(1.414*120-'AL17052'!C8)</f>
        <v>0.99799611367500607</v>
      </c>
      <c r="D15" s="4">
        <f>-('AL17052'!C15+'AL17052'!C17)</f>
        <v>-147</v>
      </c>
      <c r="E15" s="4">
        <f t="shared" ref="E15:E23" si="4">(-C15+SQRT(C15*C15-4*B15*D15))/(2*B15)</f>
        <v>137.79802515406936</v>
      </c>
      <c r="F15" s="4">
        <f>2*1000*(1.414*120-'AL17052'!C8)*A15*('AL17052'!C8+0.7)/(0.01*'AL17052'!C11*'AL17052'!C20*E15*E15*(1.414*120+0.7))</f>
        <v>105.50630634957183</v>
      </c>
      <c r="G15" s="4">
        <f>'AL17052'!C20*E15/(1.414*120-'AL17052'!C8)</f>
        <v>0.27613157821740891</v>
      </c>
      <c r="H15" s="4">
        <f t="shared" si="1"/>
        <v>9.2019748459305557</v>
      </c>
      <c r="I15" s="13" t="str">
        <f>IF(H15&lt;'AL17052'!C17,"BAD","GOOD")</f>
        <v>GOOD</v>
      </c>
      <c r="J15" s="5">
        <f>0.01*0.92*'AL17052'!C11*'AL17052'!C20*(1.414*230+0.7)/(2*(1.414*230-'AL17052'!C8)*A15*('AL17052'!C8+0.7))</f>
        <v>4.5176046731030303E-4</v>
      </c>
      <c r="K15" s="4">
        <f>1-'AL17052'!C20/(1.414*230-'AL17052'!C8)</f>
        <v>0.99896945849728314</v>
      </c>
      <c r="L15" s="4">
        <f>-('AL17052'!C15+'AL17052'!C17)</f>
        <v>-147</v>
      </c>
      <c r="M15" s="4">
        <f t="shared" ref="M15:M23" si="5">(-K15+SQRT(K15*K15-4*J15*L15))/(2*J15)</f>
        <v>138.47949268734112</v>
      </c>
      <c r="N15" s="4">
        <f>2*1000*(1.414*230-'AL17052'!C8)*A15*('AL17052'!C8+0.7)/(0.01*0.95*'AL17052'!C11*'AL17052'!C20*M15*M15*(1.414*230+0.7))</f>
        <v>111.78539618878089</v>
      </c>
      <c r="O15" s="4">
        <f>'AL17052'!C20*M15/(1.414*230-'AL17052'!C8)</f>
        <v>0.14270886448948403</v>
      </c>
      <c r="P15" s="4">
        <f t="shared" si="3"/>
        <v>8.8030034923484379</v>
      </c>
      <c r="Q15" s="6" t="str">
        <f>IF(P15&lt;'AL17052'!C17,"BAD","GOOD")</f>
        <v>GOOD</v>
      </c>
    </row>
    <row r="16" spans="1:17">
      <c r="A16" s="15">
        <v>65</v>
      </c>
      <c r="B16" s="5">
        <f>0.01*'AL17052'!C11*'AL17052'!C20*(1.414*120+0.7)/(2*(1.414*120-'AL17052'!C8)*A16*('AL17052'!C8+0.7))</f>
        <v>4.6075863974691681E-4</v>
      </c>
      <c r="C16" s="4">
        <f>1-'AL17052'!C20/(1.414*120-'AL17052'!C8)</f>
        <v>0.99799611367500607</v>
      </c>
      <c r="D16" s="4">
        <f>-('AL17052'!C15+'AL17052'!C17)</f>
        <v>-147</v>
      </c>
      <c r="E16" s="4">
        <f t="shared" si="4"/>
        <v>138.44594075304889</v>
      </c>
      <c r="F16" s="4">
        <f>2*1000*(1.414*120-'AL17052'!C8)*A16*('AL17052'!C8+0.7)/(0.01*'AL17052'!C11*'AL17052'!C20*E16*E16*(1.414*120+0.7))</f>
        <v>113.23118675175471</v>
      </c>
      <c r="G16" s="4">
        <f>'AL17052'!C20*E16/(1.414*120-'AL17052'!C8)</f>
        <v>0.27742992742595424</v>
      </c>
      <c r="H16" s="4">
        <f t="shared" si="1"/>
        <v>8.5540592469512031</v>
      </c>
      <c r="I16" s="13" t="str">
        <f>IF(H16&lt;'AL17052'!C17,"BAD","GOOD")</f>
        <v>GOOD</v>
      </c>
      <c r="J16" s="5">
        <f>0.01*0.92*'AL17052'!C11*'AL17052'!C20*(1.414*230+0.7)/(2*(1.414*230-'AL17052'!C8)*A16*('AL17052'!C8+0.7))</f>
        <v>4.170096621325874E-4</v>
      </c>
      <c r="K16" s="4">
        <f>1-'AL17052'!C20/(1.414*230-'AL17052'!C8)</f>
        <v>0.99896945849728314</v>
      </c>
      <c r="L16" s="4">
        <f>-('AL17052'!C15+'AL17052'!C17)</f>
        <v>-147</v>
      </c>
      <c r="M16" s="4">
        <f t="shared" si="5"/>
        <v>139.07731566732801</v>
      </c>
      <c r="N16" s="4">
        <f>2*1000*(1.414*230-'AL17052'!C8)*A16*('AL17052'!C8+0.7)/(0.01*0.95*'AL17052'!C11*'AL17052'!C20*M16*M16*(1.414*230+0.7))</f>
        <v>120.06198098562315</v>
      </c>
      <c r="O16" s="4">
        <f>'AL17052'!C20*M16/(1.414*230-'AL17052'!C8)</f>
        <v>0.14332494588163838</v>
      </c>
      <c r="P16" s="4">
        <f t="shared" si="3"/>
        <v>8.1857063743640719</v>
      </c>
      <c r="Q16" s="6" t="str">
        <f>IF(P16&lt;'AL17052'!C17,"BAD","GOOD")</f>
        <v>GOOD</v>
      </c>
    </row>
    <row r="17" spans="1:17">
      <c r="A17" s="15">
        <v>70</v>
      </c>
      <c r="B17" s="5">
        <f>0.01*'AL17052'!C11*'AL17052'!C20*(1.414*120+0.7)/(2*(1.414*120-'AL17052'!C8)*A17*('AL17052'!C8+0.7))</f>
        <v>4.2784730833642277E-4</v>
      </c>
      <c r="C17" s="4">
        <f>1-'AL17052'!C20/(1.414*120-'AL17052'!C8)</f>
        <v>0.99799611367500607</v>
      </c>
      <c r="D17" s="4">
        <f>-('AL17052'!C15+'AL17052'!C17)</f>
        <v>-147</v>
      </c>
      <c r="E17" s="4">
        <f t="shared" si="4"/>
        <v>139.01083525513627</v>
      </c>
      <c r="F17" s="4">
        <f>2*1000*(1.414*120-'AL17052'!C8)*A17*('AL17052'!C8+0.7)/(0.01*'AL17052'!C11*'AL17052'!C20*E17*E17*(1.414*120+0.7))</f>
        <v>120.95223288432543</v>
      </c>
      <c r="G17" s="4">
        <f>'AL17052'!C20*E17/(1.414*120-'AL17052'!C8)</f>
        <v>0.27856191179375139</v>
      </c>
      <c r="H17" s="4">
        <f t="shared" si="1"/>
        <v>7.9891647448638885</v>
      </c>
      <c r="I17" s="13" t="str">
        <f>IF(H17&lt;'AL17052'!C17,"BAD","GOOD")</f>
        <v>GOOD</v>
      </c>
      <c r="J17" s="5">
        <f>0.01*0.92*'AL17052'!C11*'AL17052'!C20*(1.414*230+0.7)/(2*(1.414*230-'AL17052'!C8)*A17*('AL17052'!C8+0.7))</f>
        <v>3.8722325769454546E-4</v>
      </c>
      <c r="K17" s="4">
        <f>1-'AL17052'!C20/(1.414*230-'AL17052'!C8)</f>
        <v>0.99896945849728314</v>
      </c>
      <c r="L17" s="4">
        <f>-('AL17052'!C15+'AL17052'!C17)</f>
        <v>-147</v>
      </c>
      <c r="M17" s="4">
        <f t="shared" si="5"/>
        <v>139.5978274334658</v>
      </c>
      <c r="N17" s="4">
        <f>2*1000*(1.414*230-'AL17052'!C8)*A17*('AL17052'!C8+0.7)/(0.01*0.95*'AL17052'!C11*'AL17052'!C20*M17*M17*(1.414*230+0.7))</f>
        <v>128.33510460190917</v>
      </c>
      <c r="O17" s="4">
        <f>'AL17052'!C20*M17/(1.414*230-'AL17052'!C8)</f>
        <v>0.14386135485929585</v>
      </c>
      <c r="P17" s="4">
        <f t="shared" si="3"/>
        <v>7.6482388900578195</v>
      </c>
      <c r="Q17" s="6" t="str">
        <f>IF(P17&lt;'AL17052'!C17,"BAD","GOOD")</f>
        <v>GOOD</v>
      </c>
    </row>
    <row r="18" spans="1:17">
      <c r="A18" s="15">
        <v>75</v>
      </c>
      <c r="B18" s="5">
        <f>0.01*'AL17052'!C11*'AL17052'!C20*(1.414*120+0.7)/(2*(1.414*120-'AL17052'!C8)*A18*('AL17052'!C8+0.7))</f>
        <v>3.9932415444732792E-4</v>
      </c>
      <c r="C18" s="4">
        <f>1-'AL17052'!C20/(1.414*120-'AL17052'!C8)</f>
        <v>0.99799611367500607</v>
      </c>
      <c r="D18" s="4">
        <f>-('AL17052'!C15+'AL17052'!C17)</f>
        <v>-147</v>
      </c>
      <c r="E18" s="4">
        <f t="shared" si="4"/>
        <v>139.50774669486208</v>
      </c>
      <c r="F18" s="4">
        <f>2*1000*(1.414*120-'AL17052'!C8)*A18*('AL17052'!C8+0.7)/(0.01*'AL17052'!C11*'AL17052'!C20*E18*E18*(1.414*120+0.7))</f>
        <v>128.67013926808681</v>
      </c>
      <c r="G18" s="4">
        <f>'AL17052'!C20*E18/(1.414*120-'AL17052'!C8)</f>
        <v>0.27955766583255098</v>
      </c>
      <c r="H18" s="4">
        <f t="shared" si="1"/>
        <v>7.4922533051377993</v>
      </c>
      <c r="I18" s="13" t="str">
        <f>IF(H18&lt;'AL17052'!C17,"BAD","GOOD")</f>
        <v>GOOD</v>
      </c>
      <c r="J18" s="5">
        <f>0.01*0.92*'AL17052'!C11*'AL17052'!C20*(1.414*230+0.7)/(2*(1.414*230-'AL17052'!C8)*A18*('AL17052'!C8+0.7))</f>
        <v>3.6140837384824242E-4</v>
      </c>
      <c r="K18" s="4">
        <f>1-'AL17052'!C20/(1.414*230-'AL17052'!C8)</f>
        <v>0.99896945849728314</v>
      </c>
      <c r="L18" s="4">
        <f>-('AL17052'!C15+'AL17052'!C17)</f>
        <v>-147</v>
      </c>
      <c r="M18" s="4">
        <f t="shared" si="5"/>
        <v>140.05514686419707</v>
      </c>
      <c r="N18" s="4">
        <f>2*1000*(1.414*230-'AL17052'!C8)*A18*('AL17052'!C8+0.7)/(0.01*0.95*'AL17052'!C11*'AL17052'!C20*M18*M18*(1.414*230+0.7))</f>
        <v>136.6053991320664</v>
      </c>
      <c r="O18" s="4">
        <f>'AL17052'!C20*M18/(1.414*230-'AL17052'!C8)</f>
        <v>0.14433264151266328</v>
      </c>
      <c r="P18" s="4">
        <f t="shared" si="3"/>
        <v>7.1760222372372402</v>
      </c>
      <c r="Q18" s="6" t="str">
        <f>IF(P18&lt;'AL17052'!C17,"BAD","GOOD")</f>
        <v>GOOD</v>
      </c>
    </row>
    <row r="19" spans="1:17">
      <c r="A19" s="15">
        <v>80</v>
      </c>
      <c r="B19" s="5">
        <f>0.01*'AL17052'!C11*'AL17052'!C20*(1.414*120+0.7)/(2*(1.414*120-'AL17052'!C8)*A19*('AL17052'!C8+0.7))</f>
        <v>3.7436639479436994E-4</v>
      </c>
      <c r="C19" s="4">
        <f>1-'AL17052'!C20/(1.414*120-'AL17052'!C8)</f>
        <v>0.99799611367500607</v>
      </c>
      <c r="D19" s="4">
        <f>-('AL17052'!C15+'AL17052'!C17)</f>
        <v>-147</v>
      </c>
      <c r="E19" s="4">
        <f t="shared" si="4"/>
        <v>139.94827957334846</v>
      </c>
      <c r="F19" s="4">
        <f>2*1000*(1.414*120-'AL17052'!C8)*A19*('AL17052'!C8+0.7)/(0.01*'AL17052'!C11*'AL17052'!C20*E19*E19*(1.414*120+0.7))</f>
        <v>136.38544184857037</v>
      </c>
      <c r="G19" s="4">
        <f>'AL17052'!C20*E19/(1.414*120-'AL17052'!C8)</f>
        <v>0.28044044364346005</v>
      </c>
      <c r="H19" s="4">
        <f t="shared" si="1"/>
        <v>7.0517204266516735</v>
      </c>
      <c r="I19" s="13" t="str">
        <f>IF(H19&lt;'AL17052'!C17,"BAD","GOOD")</f>
        <v>GOOD</v>
      </c>
      <c r="J19" s="5">
        <f>0.01*0.92*'AL17052'!C11*'AL17052'!C20*(1.414*230+0.7)/(2*(1.414*230-'AL17052'!C8)*A19*('AL17052'!C8+0.7))</f>
        <v>3.3882035048272724E-4</v>
      </c>
      <c r="K19" s="4">
        <f>1-'AL17052'!C20/(1.414*230-'AL17052'!C8)</f>
        <v>0.99896945849728314</v>
      </c>
      <c r="L19" s="4">
        <f>-('AL17052'!C15+'AL17052'!C17)</f>
        <v>-147</v>
      </c>
      <c r="M19" s="4">
        <f t="shared" si="5"/>
        <v>140.46014553246602</v>
      </c>
      <c r="N19" s="4">
        <f>2*1000*(1.414*230-'AL17052'!C8)*A19*('AL17052'!C8+0.7)/(0.01*0.95*'AL17052'!C11*'AL17052'!C20*M19*M19*(1.414*230+0.7))</f>
        <v>144.87335129044237</v>
      </c>
      <c r="O19" s="4">
        <f>'AL17052'!C20*M19/(1.414*230-'AL17052'!C8)</f>
        <v>0.14475000944885949</v>
      </c>
      <c r="P19" s="4">
        <f t="shared" si="3"/>
        <v>6.757830700478932</v>
      </c>
      <c r="Q19" s="6" t="str">
        <f>IF(P19&lt;'AL17052'!C17,"BAD","GOOD")</f>
        <v>BAD</v>
      </c>
    </row>
    <row r="20" spans="1:17">
      <c r="A20" s="15">
        <v>85</v>
      </c>
      <c r="B20" s="5">
        <f>0.01*'AL17052'!C11*'AL17052'!C20*(1.414*120+0.7)/(2*(1.414*120-'AL17052'!C8)*A20*('AL17052'!C8+0.7))</f>
        <v>3.5234484215940698E-4</v>
      </c>
      <c r="C20" s="4">
        <f>1-'AL17052'!C20/(1.414*120-'AL17052'!C8)</f>
        <v>0.99799611367500607</v>
      </c>
      <c r="D20" s="4">
        <f>-('AL17052'!C15+'AL17052'!C17)</f>
        <v>-147</v>
      </c>
      <c r="E20" s="4">
        <f t="shared" si="4"/>
        <v>140.34153391514749</v>
      </c>
      <c r="F20" s="4">
        <f>2*1000*(1.414*120-'AL17052'!C8)*A20*('AL17052'!C8+0.7)/(0.01*'AL17052'!C11*'AL17052'!C20*E20*E20*(1.414*120+0.7))</f>
        <v>144.0985609038627</v>
      </c>
      <c r="G20" s="4">
        <f>'AL17052'!C20*E20/(1.414*120-'AL17052'!C8)</f>
        <v>0.28122848064123562</v>
      </c>
      <c r="H20" s="4">
        <f t="shared" si="1"/>
        <v>6.6584660848524715</v>
      </c>
      <c r="I20" s="13" t="str">
        <f>IF(H20&lt;'AL17052'!C17,"BAD","GOOD")</f>
        <v>BAD</v>
      </c>
      <c r="J20" s="5">
        <f>0.01*0.92*'AL17052'!C11*'AL17052'!C20*(1.414*230+0.7)/(2*(1.414*230-'AL17052'!C8)*A20*('AL17052'!C8+0.7))</f>
        <v>3.1888974163080211E-4</v>
      </c>
      <c r="K20" s="4">
        <f>1-'AL17052'!C20/(1.414*230-'AL17052'!C8)</f>
        <v>0.99896945849728314</v>
      </c>
      <c r="L20" s="4">
        <f>-('AL17052'!C15+'AL17052'!C17)</f>
        <v>-147</v>
      </c>
      <c r="M20" s="4">
        <f t="shared" si="5"/>
        <v>140.82133214208304</v>
      </c>
      <c r="N20" s="4">
        <f>2*1000*(1.414*230-'AL17052'!C8)*A20*('AL17052'!C8+0.7)/(0.01*0.95*'AL17052'!C11*'AL17052'!C20*M20*M20*(1.414*230+0.7))</f>
        <v>153.13934200702889</v>
      </c>
      <c r="O20" s="4">
        <f>'AL17052'!C20*M20/(1.414*230-'AL17052'!C8)</f>
        <v>0.14512222724029544</v>
      </c>
      <c r="P20" s="4">
        <f t="shared" si="3"/>
        <v>6.3848784041722473</v>
      </c>
      <c r="Q20" s="6" t="str">
        <f>IF(P20&lt;'AL17052'!C17,"BAD","GOOD")</f>
        <v>BAD</v>
      </c>
    </row>
    <row r="21" spans="1:17">
      <c r="A21" s="15">
        <v>90</v>
      </c>
      <c r="B21" s="5">
        <f>0.01*'AL17052'!C11*'AL17052'!C20*(1.414*120+0.7)/(2*(1.414*120-'AL17052'!C8)*A21*('AL17052'!C8+0.7))</f>
        <v>3.3277012870610656E-4</v>
      </c>
      <c r="C21" s="4">
        <f>1-'AL17052'!C20/(1.414*120-'AL17052'!C8)</f>
        <v>0.99799611367500607</v>
      </c>
      <c r="D21" s="4">
        <f>-('AL17052'!C15+'AL17052'!C17)</f>
        <v>-147</v>
      </c>
      <c r="E21" s="4">
        <f t="shared" si="4"/>
        <v>140.69474758991768</v>
      </c>
      <c r="F21" s="4">
        <f>2*1000*(1.414*120-'AL17052'!C8)*A21*('AL17052'!C8+0.7)/(0.01*'AL17052'!C11*'AL17052'!C20*E21*E21*(1.414*120+0.7))</f>
        <v>151.8098307097641</v>
      </c>
      <c r="G21" s="4">
        <f>'AL17052'!C20*E21/(1.414*120-'AL17052'!C8)</f>
        <v>0.28193628069390841</v>
      </c>
      <c r="H21" s="4">
        <f t="shared" si="1"/>
        <v>6.3052524100822422</v>
      </c>
      <c r="I21" s="13" t="str">
        <f>IF(H21&lt;'AL17052'!C17,"BAD","GOOD")</f>
        <v>BAD</v>
      </c>
      <c r="J21" s="5">
        <f>0.01*0.92*'AL17052'!C11*'AL17052'!C20*(1.414*230+0.7)/(2*(1.414*230-'AL17052'!C8)*A21*('AL17052'!C8+0.7))</f>
        <v>3.0117364487353539E-4</v>
      </c>
      <c r="K21" s="4">
        <f>1-'AL17052'!C20/(1.414*230-'AL17052'!C8)</f>
        <v>0.99896945849728314</v>
      </c>
      <c r="L21" s="4">
        <f>-('AL17052'!C15+'AL17052'!C17)</f>
        <v>-147</v>
      </c>
      <c r="M21" s="4">
        <f t="shared" si="5"/>
        <v>141.14546238906607</v>
      </c>
      <c r="N21" s="4">
        <f>2*1000*(1.414*230-'AL17052'!C8)*A21*('AL17052'!C8+0.7)/(0.01*0.95*'AL17052'!C11*'AL17052'!C20*M21*M21*(1.414*230+0.7))</f>
        <v>161.40367373062588</v>
      </c>
      <c r="O21" s="4">
        <f>'AL17052'!C20*M21/(1.414*230-'AL17052'!C8)</f>
        <v>0.14545625691209735</v>
      </c>
      <c r="P21" s="4">
        <f t="shared" si="3"/>
        <v>6.0501895848854481</v>
      </c>
      <c r="Q21" s="6" t="str">
        <f>IF(P21&lt;'AL17052'!C17,"BAD","GOOD")</f>
        <v>BAD</v>
      </c>
    </row>
    <row r="22" spans="1:17">
      <c r="A22" s="15">
        <v>95</v>
      </c>
      <c r="B22" s="5">
        <f>0.01*'AL17052'!C11*'AL17052'!C20*(1.414*120+0.7)/(2*(1.414*120-'AL17052'!C8)*A22*('AL17052'!C8+0.7))</f>
        <v>3.1525591140578517E-4</v>
      </c>
      <c r="C22" s="4">
        <f>1-'AL17052'!C20/(1.414*120-'AL17052'!C8)</f>
        <v>0.99799611367500607</v>
      </c>
      <c r="D22" s="4">
        <f>-('AL17052'!C15+'AL17052'!C17)</f>
        <v>-147</v>
      </c>
      <c r="E22" s="4">
        <f t="shared" si="4"/>
        <v>141.01375026331891</v>
      </c>
      <c r="F22" s="4">
        <f>2*1000*(1.414*120-'AL17052'!C8)*A22*('AL17052'!C8+0.7)/(0.01*'AL17052'!C11*'AL17052'!C20*E22*E22*(1.414*120+0.7))</f>
        <v>159.51952050518761</v>
      </c>
      <c r="G22" s="4">
        <f>'AL17052'!C20*E22/(1.414*120-'AL17052'!C8)</f>
        <v>0.28257552578877365</v>
      </c>
      <c r="H22" s="4">
        <f t="shared" si="1"/>
        <v>5.9862497366810929</v>
      </c>
      <c r="I22" s="13" t="str">
        <f>IF(H22&lt;'AL17052'!C17,"BAD","GOOD")</f>
        <v>BAD</v>
      </c>
      <c r="J22" s="5">
        <f>0.01*0.92*'AL17052'!C11*'AL17052'!C20*(1.414*230+0.7)/(2*(1.414*230-'AL17052'!C8)*A22*('AL17052'!C8+0.7))</f>
        <v>2.8532240040650718E-4</v>
      </c>
      <c r="K22" s="4">
        <f>1-'AL17052'!C20/(1.414*230-'AL17052'!C8)</f>
        <v>0.99896945849728314</v>
      </c>
      <c r="L22" s="4">
        <f>-('AL17052'!C15+'AL17052'!C17)</f>
        <v>-147</v>
      </c>
      <c r="M22" s="4">
        <f t="shared" si="5"/>
        <v>141.43796894226998</v>
      </c>
      <c r="N22" s="4">
        <f>2*1000*(1.414*230-'AL17052'!C8)*A22*('AL17052'!C8+0.7)/(0.01*0.95*'AL17052'!C11*'AL17052'!C20*M22*M22*(1.414*230+0.7))</f>
        <v>169.66658967883089</v>
      </c>
      <c r="O22" s="4">
        <f>'AL17052'!C20*M22/(1.414*230-'AL17052'!C8)</f>
        <v>0.14575769705499061</v>
      </c>
      <c r="P22" s="4">
        <f t="shared" si="3"/>
        <v>5.7481546040818605</v>
      </c>
      <c r="Q22" s="6" t="str">
        <f>IF(P22&lt;'AL17052'!C17,"BAD","GOOD")</f>
        <v>BAD</v>
      </c>
    </row>
    <row r="23" spans="1:17" ht="14.5" thickBot="1">
      <c r="A23" s="21">
        <v>100</v>
      </c>
      <c r="B23" s="17">
        <f>0.01*'AL17052'!C11*'AL17052'!C20*(1.414*120+0.7)/(2*(1.414*120-'AL17052'!C8)*A23*('AL17052'!C8+0.7))</f>
        <v>2.9949311583549599E-4</v>
      </c>
      <c r="C23" s="18">
        <f>1-'AL17052'!C20/(1.414*120-'AL17052'!C8)</f>
        <v>0.99799611367500607</v>
      </c>
      <c r="D23" s="18">
        <f>-('AL17052'!C15+'AL17052'!C17)</f>
        <v>-147</v>
      </c>
      <c r="E23" s="18">
        <f t="shared" si="4"/>
        <v>141.30329052135573</v>
      </c>
      <c r="F23" s="18">
        <f>2*1000*(1.414*120-'AL17052'!C8)*A23*('AL17052'!C8+0.7)/(0.01*'AL17052'!C11*'AL17052'!C20*E23*E23*(1.414*120+0.7))</f>
        <v>167.22784960016085</v>
      </c>
      <c r="G23" s="18">
        <f>'AL17052'!C20*E23/(1.414*120-'AL17052'!C8)</f>
        <v>0.28315573155238888</v>
      </c>
      <c r="H23" s="18">
        <f t="shared" si="1"/>
        <v>5.6967094786442631</v>
      </c>
      <c r="I23" s="19" t="str">
        <f>IF(H23&lt;'AL17052'!C17,"BAD","GOOD")</f>
        <v>BAD</v>
      </c>
      <c r="J23" s="17">
        <f>0.01*0.92*'AL17052'!C11*'AL17052'!C20*(1.414*230+0.7)/(2*(1.414*230-'AL17052'!C8)*A23*('AL17052'!C8+0.7))</f>
        <v>2.7105628038618182E-4</v>
      </c>
      <c r="K23" s="18">
        <f>1-'AL17052'!C20/(1.414*230-'AL17052'!C8)</f>
        <v>0.99896945849728314</v>
      </c>
      <c r="L23" s="18">
        <f>-('AL17052'!C15+'AL17052'!C17)</f>
        <v>-147</v>
      </c>
      <c r="M23" s="18">
        <f t="shared" si="5"/>
        <v>141.70327062046587</v>
      </c>
      <c r="N23" s="18">
        <f>2*1000*(1.414*230-'AL17052'!C8)*A23*('AL17052'!C8+0.7)/(0.01*0.95*'AL17052'!C11*'AL17052'!C20*M23*M23*(1.414*230+0.7))</f>
        <v>177.92828767973288</v>
      </c>
      <c r="O23" s="18">
        <f>'AL17052'!C20*M23/(1.414*230-'AL17052'!C8)</f>
        <v>0.14603110144511194</v>
      </c>
      <c r="P23" s="18">
        <f t="shared" si="3"/>
        <v>5.4742106995661963</v>
      </c>
      <c r="Q23" s="16" t="str">
        <f>IF(P23&lt;'AL17052'!C17,"BAD","GOOD")</f>
        <v>BAD</v>
      </c>
    </row>
  </sheetData>
  <mergeCells count="3">
    <mergeCell ref="J2:Q2"/>
    <mergeCell ref="B2:I2"/>
    <mergeCell ref="A1:Q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081799-5A2B-4F88-975F-399C68682C5E}"/>
</file>

<file path=customXml/itemProps2.xml><?xml version="1.0" encoding="utf-8"?>
<ds:datastoreItem xmlns:ds="http://schemas.openxmlformats.org/officeDocument/2006/customXml" ds:itemID="{EBB0F4A1-CBB8-42E8-B3B8-D12E0201B450}"/>
</file>

<file path=customXml/itemProps3.xml><?xml version="1.0" encoding="utf-8"?>
<ds:datastoreItem xmlns:ds="http://schemas.openxmlformats.org/officeDocument/2006/customXml" ds:itemID="{019BDCDB-3224-4196-9F0E-F7406BE08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AL17052</vt:lpstr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ZhiQiang Pan[潘志强]</dc:creator>
  <cp:lastModifiedBy>ZhiQiang Pan[潘志强]</cp:lastModifiedBy>
  <dcterms:created xsi:type="dcterms:W3CDTF">2017-04-16T07:38:47Z</dcterms:created>
  <dcterms:modified xsi:type="dcterms:W3CDTF">2024-08-14T02:33:49Z</dcterms:modified>
</cp:coreProperties>
</file>