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Ian\2_Product\30_Diodes\Example\"/>
    </mc:Choice>
  </mc:AlternateContent>
  <xr:revisionPtr revIDLastSave="0" documentId="13_ncr:1_{7C317199-D40A-4B87-B787-66BB4880B636}" xr6:coauthVersionLast="47" xr6:coauthVersionMax="47" xr10:uidLastSave="{00000000-0000-0000-0000-000000000000}"/>
  <bookViews>
    <workbookView xWindow="-120" yWindow="-120" windowWidth="20730" windowHeight="11760" xr2:uid="{411CD866-BEBE-4988-B0B7-BED538B16002}"/>
  </bookViews>
  <sheets>
    <sheet name="AL58263 Design Calculator" sheetId="4" r:id="rId1"/>
    <sheet name="Revision recor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4" l="1"/>
  <c r="C36" i="4"/>
  <c r="C35" i="4"/>
  <c r="C34" i="4"/>
  <c r="M19" i="4"/>
  <c r="D26" i="4" l="1"/>
  <c r="D31" i="4"/>
  <c r="D32" i="4" s="1"/>
  <c r="D30" i="4"/>
  <c r="D28" i="4"/>
  <c r="D23" i="4"/>
  <c r="D22" i="4"/>
  <c r="M37" i="4" l="1"/>
  <c r="D39" i="4" s="1"/>
  <c r="J37" i="4"/>
  <c r="K37" i="4" s="1"/>
  <c r="L37" i="4" s="1"/>
  <c r="D37" i="4" s="1"/>
  <c r="D24" i="4"/>
  <c r="D25" i="4" s="1"/>
  <c r="J15" i="4"/>
  <c r="O15" i="4"/>
  <c r="N15" i="4"/>
  <c r="M15" i="4"/>
  <c r="L15" i="4"/>
  <c r="K15" i="4"/>
  <c r="D38" i="4" l="1"/>
  <c r="D27" i="4"/>
  <c r="D40" i="4"/>
  <c r="D41" i="4"/>
  <c r="P15" i="4"/>
  <c r="Q15" i="4" s="1"/>
  <c r="D29" i="4" l="1"/>
  <c r="D33" i="4"/>
  <c r="D34" i="4" s="1"/>
  <c r="D35" i="4"/>
  <c r="D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J37" authorId="0" shapeId="0" xr:uid="{3E057063-6988-473F-A4B1-63CCB57E3FE0}">
      <text>
        <r>
          <rPr>
            <sz val="9"/>
            <color indexed="81"/>
            <rFont val="Tahoma"/>
            <family val="2"/>
          </rPr>
          <t xml:space="preserve">1:External GCK
0:Internal GCK
</t>
        </r>
      </text>
    </comment>
    <comment ref="K37" authorId="0" shapeId="0" xr:uid="{16E922EF-99B8-4C1C-ABD3-1917C2B1809D}">
      <text>
        <r>
          <rPr>
            <b/>
            <sz val="9"/>
            <color indexed="81"/>
            <rFont val="Tahoma"/>
            <family val="2"/>
          </rPr>
          <t>GCK Frequency</t>
        </r>
      </text>
    </comment>
    <comment ref="L37" authorId="0" shapeId="0" xr:uid="{DC61F464-EAE9-4DB4-B8FD-34C9F4CC34E4}">
      <text>
        <r>
          <rPr>
            <b/>
            <sz val="9"/>
            <color indexed="81"/>
            <rFont val="Tahoma"/>
            <family val="2"/>
          </rPr>
          <t>PWM time</t>
        </r>
      </text>
    </comment>
    <comment ref="M37" authorId="0" shapeId="0" xr:uid="{02C04D1C-AAB6-44FD-A01F-53A36E806AC1}">
      <text>
        <r>
          <rPr>
            <b/>
            <sz val="9"/>
            <color indexed="81"/>
            <rFont val="Tahoma"/>
            <family val="2"/>
          </rPr>
          <t>Data time</t>
        </r>
      </text>
    </comment>
  </commentList>
</comments>
</file>

<file path=xl/sharedStrings.xml><?xml version="1.0" encoding="utf-8"?>
<sst xmlns="http://schemas.openxmlformats.org/spreadsheetml/2006/main" count="141" uniqueCount="97">
  <si>
    <t>DCK</t>
    <phoneticPr fontId="1" type="noConversion"/>
  </si>
  <si>
    <t>MHz</t>
    <phoneticPr fontId="1" type="noConversion"/>
  </si>
  <si>
    <t>GCK</t>
    <phoneticPr fontId="1" type="noConversion"/>
  </si>
  <si>
    <t>Application specification</t>
    <phoneticPr fontId="1" type="noConversion"/>
  </si>
  <si>
    <t>VDD</t>
    <phoneticPr fontId="1" type="noConversion"/>
  </si>
  <si>
    <t>VLED</t>
    <phoneticPr fontId="1" type="noConversion"/>
  </si>
  <si>
    <t>VF</t>
    <phoneticPr fontId="1" type="noConversion"/>
  </si>
  <si>
    <t>LED Supply Voltage</t>
    <phoneticPr fontId="1" type="noConversion"/>
  </si>
  <si>
    <t>Iout</t>
    <phoneticPr fontId="1" type="noConversion"/>
  </si>
  <si>
    <t>User Entry</t>
    <phoneticPr fontId="1" type="noConversion"/>
  </si>
  <si>
    <t>Calculated</t>
    <phoneticPr fontId="1" type="noConversion"/>
  </si>
  <si>
    <t>DESCRIPTION</t>
    <phoneticPr fontId="1" type="noConversion"/>
  </si>
  <si>
    <t>SYMBOL</t>
    <phoneticPr fontId="1" type="noConversion"/>
  </si>
  <si>
    <t>UNIT</t>
    <phoneticPr fontId="1" type="noConversion"/>
  </si>
  <si>
    <t>V</t>
    <phoneticPr fontId="1" type="noConversion"/>
  </si>
  <si>
    <t>mA</t>
    <phoneticPr fontId="1" type="noConversion"/>
  </si>
  <si>
    <t>Sink constant-current outputs / per ch.</t>
    <phoneticPr fontId="1" type="noConversion"/>
  </si>
  <si>
    <t>External GCK</t>
  </si>
  <si>
    <t>External GCK</t>
    <phoneticPr fontId="1" type="noConversion"/>
  </si>
  <si>
    <t>Internal GCK</t>
    <phoneticPr fontId="1" type="noConversion"/>
  </si>
  <si>
    <t>Grayscale Clock for APDM operations</t>
    <phoneticPr fontId="1" type="noConversion"/>
  </si>
  <si>
    <t>GCC</t>
    <phoneticPr fontId="1" type="noConversion"/>
  </si>
  <si>
    <t>Current Gain</t>
    <phoneticPr fontId="1" type="noConversion"/>
  </si>
  <si>
    <t>15V Rated output channels</t>
    <phoneticPr fontId="1" type="noConversion"/>
  </si>
  <si>
    <t xml:space="preserve">2~55mA/5V, 2~35mA/3.3V </t>
    <phoneticPr fontId="1" type="noConversion"/>
  </si>
  <si>
    <t>Operating Supply Voltage</t>
    <phoneticPr fontId="1" type="noConversion"/>
  </si>
  <si>
    <t>Operating Supply Voltage 3.0V~5.5V</t>
    <phoneticPr fontId="1" type="noConversion"/>
  </si>
  <si>
    <t>RL</t>
    <phoneticPr fontId="1" type="noConversion"/>
  </si>
  <si>
    <t>Recommended Power Sharing Resistor</t>
    <phoneticPr fontId="1" type="noConversion"/>
  </si>
  <si>
    <t>Ω</t>
    <phoneticPr fontId="1" type="noConversion"/>
  </si>
  <si>
    <t>MHz</t>
    <phoneticPr fontId="1" type="noConversion"/>
  </si>
  <si>
    <t>-</t>
    <phoneticPr fontId="1" type="noConversion"/>
  </si>
  <si>
    <t>External GCK input</t>
    <phoneticPr fontId="1" type="noConversion"/>
  </si>
  <si>
    <t>Synchronous clock input</t>
    <phoneticPr fontId="1" type="noConversion"/>
  </si>
  <si>
    <t>W</t>
    <phoneticPr fontId="1" type="noConversion"/>
  </si>
  <si>
    <t>101011</t>
    <phoneticPr fontId="1" type="noConversion"/>
  </si>
  <si>
    <t>PD_RL</t>
    <phoneticPr fontId="1" type="noConversion"/>
  </si>
  <si>
    <t>REXT</t>
    <phoneticPr fontId="1" type="noConversion"/>
  </si>
  <si>
    <t>Maximum Frame rate</t>
    <phoneticPr fontId="1" type="noConversion"/>
  </si>
  <si>
    <t>Hz</t>
    <phoneticPr fontId="1" type="noConversion"/>
  </si>
  <si>
    <t>Frame_max</t>
    <phoneticPr fontId="1" type="noConversion"/>
  </si>
  <si>
    <t>ea</t>
    <phoneticPr fontId="1" type="noConversion"/>
  </si>
  <si>
    <t>N series_Frame-max</t>
    <phoneticPr fontId="1" type="noConversion"/>
  </si>
  <si>
    <t>N series_Frame-60Hz</t>
    <phoneticPr fontId="1" type="noConversion"/>
  </si>
  <si>
    <t>GCK_External</t>
    <phoneticPr fontId="1" type="noConversion"/>
  </si>
  <si>
    <t>Typical Refresh rate</t>
    <phoneticPr fontId="1" type="noConversion"/>
  </si>
  <si>
    <t>Maximum Refresh rate</t>
    <phoneticPr fontId="1" type="noConversion"/>
  </si>
  <si>
    <t>Refresh rate</t>
    <phoneticPr fontId="1" type="noConversion"/>
  </si>
  <si>
    <r>
      <t xml:space="preserve">Grayscale Resolution </t>
    </r>
    <r>
      <rPr>
        <sz val="11"/>
        <color theme="1"/>
        <rFont val="細明體"/>
        <family val="3"/>
        <charset val="136"/>
      </rPr>
      <t>≧</t>
    </r>
    <r>
      <rPr>
        <sz val="11"/>
        <color theme="1"/>
        <rFont val="Calibri"/>
        <family val="2"/>
      </rPr>
      <t xml:space="preserve"> 50%</t>
    </r>
  </si>
  <si>
    <t xml:space="preserve">Grayscale Resolution &lt; 50% </t>
    <phoneticPr fontId="1" type="noConversion"/>
  </si>
  <si>
    <t>Maximum GCK = 16MHz , Recommended GCK=1MHz~10MHz</t>
    <phoneticPr fontId="1" type="noConversion"/>
  </si>
  <si>
    <t>Maximum DCK = 25MHz , Recommended DCK=1MHz~15MHz</t>
    <phoneticPr fontId="1" type="noConversion"/>
  </si>
  <si>
    <t>External resistors for output current value setting</t>
    <phoneticPr fontId="1" type="noConversion"/>
  </si>
  <si>
    <t>Power dissipation of RL</t>
    <phoneticPr fontId="1" type="noConversion"/>
  </si>
  <si>
    <t>Power dissipation of REXT</t>
    <phoneticPr fontId="1" type="noConversion"/>
  </si>
  <si>
    <t>PD_REXT</t>
    <phoneticPr fontId="1" type="noConversion"/>
  </si>
  <si>
    <t>Calculation base on GCC = 101011</t>
    <phoneticPr fontId="1" type="noConversion"/>
  </si>
  <si>
    <t>GCC Default Value = 101011 , adjustable range 000000 - 111111</t>
    <phoneticPr fontId="1" type="noConversion"/>
  </si>
  <si>
    <t>Consider VLED line voltage drop = 0.5V and Vo=1V</t>
    <phoneticPr fontId="1" type="noConversion"/>
  </si>
  <si>
    <t>Calculation base on Maximum Frame rate</t>
    <phoneticPr fontId="1" type="noConversion"/>
  </si>
  <si>
    <t>Calculation base on Frame Rate = 60Hz</t>
    <phoneticPr fontId="1" type="noConversion"/>
  </si>
  <si>
    <t>PD_max</t>
    <phoneticPr fontId="1" type="noConversion"/>
  </si>
  <si>
    <t>PD_min</t>
    <phoneticPr fontId="1" type="noConversion"/>
  </si>
  <si>
    <t>No use  Power Sharing Resistor RL</t>
    <phoneticPr fontId="1" type="noConversion"/>
  </si>
  <si>
    <t>Use  Power Sharing Resistor RL</t>
    <phoneticPr fontId="1" type="noConversion"/>
  </si>
  <si>
    <t>Tj_max</t>
    <phoneticPr fontId="1" type="noConversion"/>
  </si>
  <si>
    <t>℃</t>
    <phoneticPr fontId="1" type="noConversion"/>
  </si>
  <si>
    <t>Ta = Ambient temperature</t>
    <phoneticPr fontId="1" type="noConversion"/>
  </si>
  <si>
    <t>Tj_min</t>
    <phoneticPr fontId="1" type="noConversion"/>
  </si>
  <si>
    <t>Version</t>
    <phoneticPr fontId="1" type="noConversion"/>
  </si>
  <si>
    <t>Built in / Revise Data</t>
    <phoneticPr fontId="1" type="noConversion"/>
  </si>
  <si>
    <t>Remark</t>
    <phoneticPr fontId="1" type="noConversion"/>
  </si>
  <si>
    <t>1.0</t>
    <phoneticPr fontId="1" type="noConversion"/>
  </si>
  <si>
    <t>Applicaton Diagram</t>
    <phoneticPr fontId="1" type="noConversion"/>
  </si>
  <si>
    <t>Final SPEC</t>
    <phoneticPr fontId="1" type="noConversion"/>
  </si>
  <si>
    <t>Revision item</t>
    <phoneticPr fontId="1" type="noConversion"/>
  </si>
  <si>
    <t>1.1</t>
    <phoneticPr fontId="1" type="noConversion"/>
  </si>
  <si>
    <t>LED total forward voltage in string</t>
    <phoneticPr fontId="1" type="noConversion"/>
  </si>
  <si>
    <t>Change cell C14 value to "LED total forward voltage in string"</t>
    <phoneticPr fontId="1" type="noConversion"/>
  </si>
  <si>
    <t>Change cell D14 maximum value from 3V to 14V</t>
    <phoneticPr fontId="1" type="noConversion"/>
  </si>
  <si>
    <t>-</t>
    <phoneticPr fontId="1" type="noConversion"/>
  </si>
  <si>
    <t>AL58263 Design Calculator</t>
    <phoneticPr fontId="1" type="noConversion"/>
  </si>
  <si>
    <t>AL58263</t>
    <phoneticPr fontId="1" type="noConversion"/>
  </si>
  <si>
    <t>Ideal Cascading Number of AL58263</t>
  </si>
  <si>
    <t>VALUE</t>
    <phoneticPr fontId="1" type="noConversion"/>
  </si>
  <si>
    <r>
      <t>Version</t>
    </r>
    <r>
      <rPr>
        <sz val="11"/>
        <color theme="0"/>
        <rFont val="新細明體"/>
        <family val="2"/>
        <charset val="136"/>
      </rPr>
      <t>：</t>
    </r>
    <r>
      <rPr>
        <sz val="11"/>
        <color theme="0"/>
        <rFont val="Calibri"/>
        <family val="2"/>
      </rPr>
      <t>1.2
Update date:2024/8/21</t>
    </r>
    <phoneticPr fontId="1" type="noConversion"/>
  </si>
  <si>
    <t>1.2</t>
    <phoneticPr fontId="1" type="noConversion"/>
  </si>
  <si>
    <t>Update Theta-ja of TSSOP from 31 to 25.57</t>
    <phoneticPr fontId="1" type="noConversion"/>
  </si>
  <si>
    <t>Added QFN24 for PD calculation(Theta-ja=31.16)</t>
    <phoneticPr fontId="1" type="noConversion"/>
  </si>
  <si>
    <t>Package</t>
    <phoneticPr fontId="1" type="noConversion"/>
  </si>
  <si>
    <t>TSSOP24 or QFN24</t>
    <phoneticPr fontId="1" type="noConversion"/>
  </si>
  <si>
    <t>TSSOP24</t>
  </si>
  <si>
    <t>TSSOP24</t>
    <phoneticPr fontId="1" type="noConversion"/>
  </si>
  <si>
    <t>QFN24</t>
    <phoneticPr fontId="1" type="noConversion"/>
  </si>
  <si>
    <t>Theta-ja</t>
    <phoneticPr fontId="1" type="noConversion"/>
  </si>
  <si>
    <t>Change layout</t>
    <phoneticPr fontId="1" type="noConversion"/>
  </si>
  <si>
    <t>NOTES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</si>
</sst>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yyyy/m/d;@"/>
    <numFmt numFmtId="179" formatCode="0.00_ "/>
  </numFmts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Calibri"/>
      <family val="2"/>
    </font>
    <font>
      <sz val="11"/>
      <color theme="0" tint="-0.249977111117893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4"/>
      <charset val="161"/>
    </font>
    <font>
      <sz val="11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細明體"/>
      <family val="3"/>
      <charset val="136"/>
    </font>
    <font>
      <sz val="11"/>
      <color theme="1"/>
      <name val="Arial Unicode MS"/>
      <family val="2"/>
      <charset val="136"/>
    </font>
    <font>
      <sz val="11"/>
      <color theme="0"/>
      <name val="Calibri"/>
      <family val="2"/>
    </font>
    <font>
      <sz val="11"/>
      <color theme="0"/>
      <name val="新細明體"/>
      <family val="2"/>
      <charset val="136"/>
    </font>
    <font>
      <b/>
      <sz val="24"/>
      <color theme="0"/>
      <name val="Calibri"/>
      <family val="2"/>
    </font>
    <font>
      <b/>
      <sz val="24"/>
      <color theme="0"/>
      <name val="新細明體"/>
      <family val="2"/>
      <charset val="136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4"/>
      <color theme="0"/>
      <name val="新細明體"/>
      <family val="2"/>
      <charset val="136"/>
      <scheme val="minor"/>
    </font>
    <font>
      <b/>
      <sz val="14"/>
      <color theme="0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F5C95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0" fontId="12" fillId="6" borderId="0" xfId="0" applyFont="1" applyFill="1" applyAlignment="1">
      <alignment horizontal="right" vertical="center" wrapText="1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1">
    <cellStyle name="一般" xfId="0" builtinId="0"/>
  </cellStyles>
  <dxfs count="1">
    <dxf>
      <font>
        <b/>
        <i val="0"/>
        <color theme="5" tint="-0.24994659260841701"/>
      </font>
    </dxf>
  </dxfs>
  <tableStyles count="0" defaultTableStyle="TableStyleMedium2" defaultPivotStyle="PivotStyleLight16"/>
  <colors>
    <mruColors>
      <color rgb="FF0F5C95"/>
      <color rgb="FF0F5A93"/>
      <color rgb="FF0F5CA0"/>
      <color rgb="FF0F5595"/>
      <color rgb="FF0F4695"/>
      <color rgb="FF0F5A95"/>
      <color rgb="FF095F95"/>
      <color rgb="FF0F5F95"/>
      <color rgb="FF1D5F95"/>
      <color rgb="FF4C5F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336402</xdr:colOff>
      <xdr:row>3</xdr:row>
      <xdr:rowOff>88201</xdr:rowOff>
    </xdr:from>
    <xdr:to>
      <xdr:col>5</xdr:col>
      <xdr:colOff>1341819</xdr:colOff>
      <xdr:row>3</xdr:row>
      <xdr:rowOff>2663616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5616" y="1244808"/>
          <a:ext cx="1005417" cy="257541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127001</xdr:colOff>
      <xdr:row>0</xdr:row>
      <xdr:rowOff>95248</xdr:rowOff>
    </xdr:from>
    <xdr:to>
      <xdr:col>2</xdr:col>
      <xdr:colOff>1333498</xdr:colOff>
      <xdr:row>1</xdr:row>
      <xdr:rowOff>291611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1D624BE-0892-168F-62FC-99433524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95248"/>
          <a:ext cx="2624664" cy="767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523877</xdr:colOff>
      <xdr:row>3</xdr:row>
      <xdr:rowOff>83343</xdr:rowOff>
    </xdr:from>
    <xdr:to>
      <xdr:col>3</xdr:col>
      <xdr:colOff>1074880</xdr:colOff>
      <xdr:row>3</xdr:row>
      <xdr:rowOff>2797969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4490B-649D-4AB8-833A-F30CB4B9C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21" y="1238249"/>
          <a:ext cx="6135034" cy="2714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7275-29D0-43FB-BF53-B1D77CAAD557}">
  <dimension ref="B1:T52"/>
  <sheetViews>
    <sheetView showGridLines="0" tabSelected="1" zoomScale="80" zoomScaleNormal="80" workbookViewId="0">
      <selection activeCell="D11" sqref="D11"/>
    </sheetView>
  </sheetViews>
  <sheetFormatPr defaultColWidth="18.625" defaultRowHeight="15" x14ac:dyDescent="0.25"/>
  <cols>
    <col min="1" max="1" width="18.625" style="2"/>
    <col min="2" max="2" width="18.625" style="4"/>
    <col min="3" max="3" width="54.625" style="2" customWidth="1"/>
    <col min="4" max="5" width="18.625" style="2"/>
    <col min="6" max="6" width="54.625" style="2" customWidth="1"/>
    <col min="7" max="7" width="18.625" style="2"/>
    <col min="8" max="9" width="0" style="2" hidden="1" customWidth="1"/>
    <col min="10" max="18" width="18.625" style="6" hidden="1" customWidth="1"/>
    <col min="19" max="19" width="0" style="6" hidden="1" customWidth="1"/>
    <col min="20" max="20" width="18.625" style="3"/>
    <col min="21" max="16384" width="18.625" style="2"/>
  </cols>
  <sheetData>
    <row r="1" spans="2:17" ht="45" customHeight="1" x14ac:dyDescent="0.25">
      <c r="B1" s="36" t="s">
        <v>81</v>
      </c>
      <c r="C1" s="37"/>
      <c r="D1" s="37"/>
      <c r="E1" s="37"/>
      <c r="F1" s="37"/>
    </row>
    <row r="2" spans="2:17" ht="30.75" x14ac:dyDescent="0.25">
      <c r="B2" s="31"/>
      <c r="C2" s="32"/>
      <c r="D2" s="32"/>
      <c r="E2" s="32"/>
      <c r="F2" s="30" t="s">
        <v>85</v>
      </c>
    </row>
    <row r="3" spans="2:17" ht="15" customHeight="1" x14ac:dyDescent="0.25">
      <c r="B3" s="19" t="s">
        <v>73</v>
      </c>
      <c r="C3" s="20"/>
      <c r="D3" s="20"/>
      <c r="E3" s="20"/>
      <c r="F3" s="20"/>
    </row>
    <row r="4" spans="2:17" ht="225" customHeight="1" x14ac:dyDescent="0.25">
      <c r="B4" s="38"/>
      <c r="C4" s="39"/>
      <c r="D4" s="39"/>
      <c r="E4" s="39"/>
      <c r="F4" s="39"/>
    </row>
    <row r="5" spans="2:17" ht="15" customHeight="1" x14ac:dyDescent="0.25"/>
    <row r="6" spans="2:17" ht="15" customHeight="1" x14ac:dyDescent="0.25">
      <c r="D6" s="5"/>
      <c r="E6" s="8" t="s">
        <v>9</v>
      </c>
    </row>
    <row r="7" spans="2:17" ht="15" customHeight="1" x14ac:dyDescent="0.25">
      <c r="D7" s="47"/>
      <c r="E7" s="8" t="s">
        <v>10</v>
      </c>
    </row>
    <row r="8" spans="2:17" ht="15" customHeight="1" x14ac:dyDescent="0.25"/>
    <row r="9" spans="2:17" ht="18" customHeight="1" x14ac:dyDescent="0.25">
      <c r="B9" s="42" t="s">
        <v>3</v>
      </c>
      <c r="C9" s="43"/>
      <c r="D9" s="43"/>
      <c r="E9" s="43"/>
      <c r="F9" s="44"/>
    </row>
    <row r="10" spans="2:17" ht="18" customHeight="1" x14ac:dyDescent="0.25">
      <c r="B10" s="46" t="s">
        <v>12</v>
      </c>
      <c r="C10" s="46" t="s">
        <v>11</v>
      </c>
      <c r="D10" s="46" t="s">
        <v>84</v>
      </c>
      <c r="E10" s="46" t="s">
        <v>13</v>
      </c>
      <c r="F10" s="46" t="s">
        <v>96</v>
      </c>
    </row>
    <row r="11" spans="2:17" ht="18" customHeight="1" x14ac:dyDescent="0.25">
      <c r="B11" s="40" t="s">
        <v>4</v>
      </c>
      <c r="C11" s="40" t="s">
        <v>25</v>
      </c>
      <c r="D11" s="33">
        <v>5</v>
      </c>
      <c r="E11" s="40" t="s">
        <v>14</v>
      </c>
      <c r="F11" s="40" t="s">
        <v>26</v>
      </c>
    </row>
    <row r="12" spans="2:17" ht="18" customHeight="1" x14ac:dyDescent="0.25">
      <c r="B12" s="40" t="s">
        <v>5</v>
      </c>
      <c r="C12" s="40" t="s">
        <v>7</v>
      </c>
      <c r="D12" s="33">
        <v>5</v>
      </c>
      <c r="E12" s="40" t="s">
        <v>14</v>
      </c>
      <c r="F12" s="40" t="s">
        <v>23</v>
      </c>
    </row>
    <row r="13" spans="2:17" ht="18" customHeight="1" x14ac:dyDescent="0.25">
      <c r="B13" s="40" t="s">
        <v>6</v>
      </c>
      <c r="C13" s="40" t="s">
        <v>77</v>
      </c>
      <c r="D13" s="33">
        <v>3</v>
      </c>
      <c r="E13" s="40" t="s">
        <v>14</v>
      </c>
      <c r="F13" s="40"/>
    </row>
    <row r="14" spans="2:17" ht="18" customHeight="1" x14ac:dyDescent="0.25">
      <c r="B14" s="40" t="s">
        <v>8</v>
      </c>
      <c r="C14" s="40" t="s">
        <v>16</v>
      </c>
      <c r="D14" s="33">
        <v>10</v>
      </c>
      <c r="E14" s="40" t="s">
        <v>15</v>
      </c>
      <c r="F14" s="40" t="s">
        <v>24</v>
      </c>
    </row>
    <row r="15" spans="2:17" ht="18" customHeight="1" x14ac:dyDescent="0.25">
      <c r="B15" s="40" t="s">
        <v>21</v>
      </c>
      <c r="C15" s="40" t="s">
        <v>22</v>
      </c>
      <c r="D15" s="34" t="s">
        <v>35</v>
      </c>
      <c r="E15" s="40" t="s">
        <v>31</v>
      </c>
      <c r="F15" s="40" t="s">
        <v>57</v>
      </c>
      <c r="J15" s="6" t="str">
        <f>MID($D$15,1,1)</f>
        <v>1</v>
      </c>
      <c r="K15" s="6" t="str">
        <f>MID($D$15,2,1)</f>
        <v>0</v>
      </c>
      <c r="L15" s="6" t="str">
        <f>MID($D$15,3,1)</f>
        <v>1</v>
      </c>
      <c r="M15" s="6" t="str">
        <f>MID($D$15,4,1)</f>
        <v>0</v>
      </c>
      <c r="N15" s="6" t="str">
        <f>MID($D$15,5,1)</f>
        <v>1</v>
      </c>
      <c r="O15" s="6" t="str">
        <f>MID($D$15,6,1)</f>
        <v>1</v>
      </c>
      <c r="P15" s="6">
        <f>K15*2^4+L15*2^3+M15*2^2+N15*2^1+O15*2^0</f>
        <v>11</v>
      </c>
      <c r="Q15" s="7">
        <f>IF(J15="1",(((3*P15)+33)/65)*(1-0.001*P15),(((3*P15)+32)/256)*(1-0.0006*P15))</f>
        <v>1.0042153846153845</v>
      </c>
    </row>
    <row r="16" spans="2:17" ht="18" customHeight="1" x14ac:dyDescent="0.25">
      <c r="B16" s="40" t="s">
        <v>0</v>
      </c>
      <c r="C16" s="40" t="s">
        <v>33</v>
      </c>
      <c r="D16" s="33">
        <v>5</v>
      </c>
      <c r="E16" s="40" t="s">
        <v>30</v>
      </c>
      <c r="F16" s="40" t="s">
        <v>51</v>
      </c>
    </row>
    <row r="17" spans="2:13" ht="18" customHeight="1" x14ac:dyDescent="0.25">
      <c r="B17" s="40" t="s">
        <v>2</v>
      </c>
      <c r="C17" s="40" t="s">
        <v>20</v>
      </c>
      <c r="D17" s="35" t="s">
        <v>17</v>
      </c>
      <c r="E17" s="40" t="s">
        <v>31</v>
      </c>
      <c r="F17" s="40"/>
      <c r="J17" s="6" t="s">
        <v>18</v>
      </c>
      <c r="K17" s="6" t="s">
        <v>19</v>
      </c>
    </row>
    <row r="18" spans="2:13" ht="18" customHeight="1" x14ac:dyDescent="0.25">
      <c r="B18" s="40" t="s">
        <v>44</v>
      </c>
      <c r="C18" s="40" t="s">
        <v>32</v>
      </c>
      <c r="D18" s="33">
        <v>5</v>
      </c>
      <c r="E18" s="40" t="s">
        <v>30</v>
      </c>
      <c r="F18" s="40" t="s">
        <v>50</v>
      </c>
    </row>
    <row r="19" spans="2:13" ht="18" customHeight="1" x14ac:dyDescent="0.25">
      <c r="B19" s="40" t="s">
        <v>89</v>
      </c>
      <c r="C19" s="40" t="s">
        <v>90</v>
      </c>
      <c r="D19" s="35" t="s">
        <v>91</v>
      </c>
      <c r="E19" s="40" t="s">
        <v>31</v>
      </c>
      <c r="F19" s="1"/>
      <c r="J19" s="6" t="s">
        <v>92</v>
      </c>
      <c r="K19" s="6" t="s">
        <v>93</v>
      </c>
      <c r="L19" s="6" t="s">
        <v>94</v>
      </c>
      <c r="M19" s="6">
        <f>IF(D19="TSSOP24",25.57,IF(D19="QFN24",31.16,"Error"))</f>
        <v>25.57</v>
      </c>
    </row>
    <row r="21" spans="2:13" ht="18" customHeight="1" x14ac:dyDescent="0.25">
      <c r="B21" s="41" t="s">
        <v>74</v>
      </c>
      <c r="C21" s="45"/>
      <c r="D21" s="45"/>
      <c r="E21" s="45"/>
      <c r="F21" s="45"/>
    </row>
    <row r="22" spans="2:13" ht="18" customHeight="1" x14ac:dyDescent="0.25">
      <c r="B22" s="21" t="s">
        <v>4</v>
      </c>
      <c r="C22" s="21" t="s">
        <v>25</v>
      </c>
      <c r="D22" s="22">
        <f>D11</f>
        <v>5</v>
      </c>
      <c r="E22" s="21" t="s">
        <v>14</v>
      </c>
      <c r="F22" s="21" t="s">
        <v>26</v>
      </c>
    </row>
    <row r="23" spans="2:13" ht="18" customHeight="1" x14ac:dyDescent="0.25">
      <c r="B23" s="21" t="s">
        <v>5</v>
      </c>
      <c r="C23" s="21" t="s">
        <v>7</v>
      </c>
      <c r="D23" s="22">
        <f>D12</f>
        <v>5</v>
      </c>
      <c r="E23" s="21" t="s">
        <v>14</v>
      </c>
      <c r="F23" s="21" t="s">
        <v>23</v>
      </c>
    </row>
    <row r="24" spans="2:13" ht="18" customHeight="1" x14ac:dyDescent="0.25">
      <c r="B24" s="21" t="s">
        <v>37</v>
      </c>
      <c r="C24" s="25" t="s">
        <v>52</v>
      </c>
      <c r="D24" s="21">
        <f>ROUND(13.45*1.004/D14*1000,0)</f>
        <v>1350</v>
      </c>
      <c r="E24" s="27" t="s">
        <v>29</v>
      </c>
      <c r="F24" s="21" t="s">
        <v>56</v>
      </c>
    </row>
    <row r="25" spans="2:13" ht="18" customHeight="1" x14ac:dyDescent="0.25">
      <c r="B25" s="21" t="s">
        <v>55</v>
      </c>
      <c r="C25" s="25" t="s">
        <v>54</v>
      </c>
      <c r="D25" s="26">
        <f>(1.25/D24)^2*D24</f>
        <v>1.1574074074074076E-3</v>
      </c>
      <c r="E25" s="27" t="s">
        <v>34</v>
      </c>
      <c r="F25" s="21"/>
    </row>
    <row r="26" spans="2:13" ht="18" customHeight="1" x14ac:dyDescent="0.25">
      <c r="B26" s="21" t="s">
        <v>27</v>
      </c>
      <c r="C26" s="25" t="s">
        <v>28</v>
      </c>
      <c r="D26" s="21">
        <f>IF(ROUNDUP((D12-1.5-(D13))/(D14*10^-3),0)&gt;0,ROUNDUP((D12-1.5-(D13))/(D14*10^-3),0),"Negative,Check again")</f>
        <v>50</v>
      </c>
      <c r="E26" s="27" t="s">
        <v>29</v>
      </c>
      <c r="F26" s="21" t="s">
        <v>58</v>
      </c>
    </row>
    <row r="27" spans="2:13" ht="18" customHeight="1" x14ac:dyDescent="0.25">
      <c r="B27" s="21" t="s">
        <v>36</v>
      </c>
      <c r="C27" s="25" t="s">
        <v>53</v>
      </c>
      <c r="D27" s="26">
        <f>(D14/1000)^2*D26</f>
        <v>5.0000000000000001E-3</v>
      </c>
      <c r="E27" s="27" t="s">
        <v>34</v>
      </c>
      <c r="F27" s="21"/>
    </row>
    <row r="28" spans="2:13" ht="18" customHeight="1" x14ac:dyDescent="0.25">
      <c r="B28" s="21" t="s">
        <v>21</v>
      </c>
      <c r="C28" s="21" t="s">
        <v>22</v>
      </c>
      <c r="D28" s="23" t="str">
        <f>D15</f>
        <v>101011</v>
      </c>
      <c r="E28" s="21" t="s">
        <v>31</v>
      </c>
      <c r="F28" s="21" t="s">
        <v>57</v>
      </c>
    </row>
    <row r="29" spans="2:13" ht="18" customHeight="1" x14ac:dyDescent="0.25">
      <c r="B29" s="21" t="s">
        <v>8</v>
      </c>
      <c r="C29" s="21" t="s">
        <v>16</v>
      </c>
      <c r="D29" s="24">
        <f>(13.45*Q15/D24)*1000</f>
        <v>10.004960683760682</v>
      </c>
      <c r="E29" s="21" t="s">
        <v>15</v>
      </c>
      <c r="F29" s="21" t="s">
        <v>24</v>
      </c>
    </row>
    <row r="30" spans="2:13" ht="18" customHeight="1" x14ac:dyDescent="0.25">
      <c r="B30" s="21" t="s">
        <v>0</v>
      </c>
      <c r="C30" s="21" t="s">
        <v>33</v>
      </c>
      <c r="D30" s="22">
        <f>D16</f>
        <v>5</v>
      </c>
      <c r="E30" s="21" t="s">
        <v>1</v>
      </c>
      <c r="F30" s="21" t="s">
        <v>51</v>
      </c>
    </row>
    <row r="31" spans="2:13" ht="18" customHeight="1" x14ac:dyDescent="0.25">
      <c r="B31" s="21" t="s">
        <v>2</v>
      </c>
      <c r="C31" s="21" t="s">
        <v>20</v>
      </c>
      <c r="D31" s="21" t="str">
        <f>D17</f>
        <v>External GCK</v>
      </c>
      <c r="E31" s="21" t="s">
        <v>31</v>
      </c>
      <c r="F31" s="21"/>
      <c r="J31" s="6" t="s">
        <v>18</v>
      </c>
      <c r="K31" s="6" t="s">
        <v>19</v>
      </c>
    </row>
    <row r="32" spans="2:13" ht="18" customHeight="1" x14ac:dyDescent="0.25">
      <c r="B32" s="21" t="s">
        <v>44</v>
      </c>
      <c r="C32" s="21" t="s">
        <v>32</v>
      </c>
      <c r="D32" s="22">
        <f>IF(D31="External GCK",D18,"-")</f>
        <v>5</v>
      </c>
      <c r="E32" s="21" t="s">
        <v>1</v>
      </c>
      <c r="F32" s="21" t="s">
        <v>50</v>
      </c>
    </row>
    <row r="33" spans="2:13" ht="18" customHeight="1" x14ac:dyDescent="0.25">
      <c r="B33" s="21" t="s">
        <v>61</v>
      </c>
      <c r="C33" s="25" t="str">
        <f>"Maximum Power dissipation of AL58263_ " &amp; D19</f>
        <v>Maximum Power dissipation of AL58263_ TSSOP24</v>
      </c>
      <c r="D33" s="26">
        <f>(0.01*D11)+(13.45*Q15/D24)*(D12-D13)*16</f>
        <v>0.37015874188034181</v>
      </c>
      <c r="E33" s="27" t="s">
        <v>34</v>
      </c>
      <c r="F33" s="21" t="s">
        <v>63</v>
      </c>
    </row>
    <row r="34" spans="2:13" ht="18" customHeight="1" x14ac:dyDescent="0.25">
      <c r="B34" s="21" t="s">
        <v>65</v>
      </c>
      <c r="C34" s="25" t="str">
        <f>"Maximum Tj of AL58263_ " &amp; D19</f>
        <v>Maximum Tj of AL58263_ TSSOP24</v>
      </c>
      <c r="D34" s="28" t="str">
        <f>ROUND(D33*M19,0) &amp; "℃ + " &amp; "Ta"</f>
        <v>9℃ + Ta</v>
      </c>
      <c r="E34" s="28" t="s">
        <v>66</v>
      </c>
      <c r="F34" s="21" t="s">
        <v>67</v>
      </c>
    </row>
    <row r="35" spans="2:13" ht="18" customHeight="1" x14ac:dyDescent="0.25">
      <c r="B35" s="21" t="s">
        <v>62</v>
      </c>
      <c r="C35" s="25" t="str">
        <f>"Minimum Power dissipation of AL58263_ " &amp; D19</f>
        <v>Minimum Power dissipation of AL58263_ TSSOP24</v>
      </c>
      <c r="D35" s="26">
        <f>(0.01*D11)+(13.45*Q15/D24)*(1.5)*16</f>
        <v>0.29011905641025637</v>
      </c>
      <c r="E35" s="27" t="s">
        <v>34</v>
      </c>
      <c r="F35" s="21" t="s">
        <v>64</v>
      </c>
    </row>
    <row r="36" spans="2:13" ht="18" customHeight="1" x14ac:dyDescent="0.25">
      <c r="B36" s="21" t="s">
        <v>68</v>
      </c>
      <c r="C36" s="25" t="str">
        <f>"Minimum Tj of AL58263_ " &amp; D19</f>
        <v>Minimum Tj of AL58263_ TSSOP24</v>
      </c>
      <c r="D36" s="28" t="str">
        <f>ROUND(D35*M19,0) &amp; "℃ + " &amp; "Ta"</f>
        <v>7℃ + Ta</v>
      </c>
      <c r="E36" s="28" t="s">
        <v>66</v>
      </c>
      <c r="F36" s="21" t="s">
        <v>67</v>
      </c>
    </row>
    <row r="37" spans="2:13" ht="18" customHeight="1" x14ac:dyDescent="0.25">
      <c r="B37" s="21" t="s">
        <v>40</v>
      </c>
      <c r="C37" s="25" t="s">
        <v>38</v>
      </c>
      <c r="D37" s="21">
        <f>ROUNDDOWN(1/L37,-1)</f>
        <v>150</v>
      </c>
      <c r="E37" s="27" t="s">
        <v>39</v>
      </c>
      <c r="F37" s="21"/>
      <c r="J37" s="6" t="str">
        <f>IF(D17="External GCK","1","0")</f>
        <v>1</v>
      </c>
      <c r="K37" s="6">
        <f>IF(J37="1",D18*2,1.5)</f>
        <v>10</v>
      </c>
      <c r="L37" s="6">
        <f>65536*(10^-6/K37)</f>
        <v>6.5535999999999997E-3</v>
      </c>
      <c r="M37" s="6">
        <f>(16*18)*(10^-6/D16)</f>
        <v>5.7599999999999997E-5</v>
      </c>
    </row>
    <row r="38" spans="2:13" ht="18" customHeight="1" x14ac:dyDescent="0.25">
      <c r="B38" s="29" t="s">
        <v>42</v>
      </c>
      <c r="C38" s="25" t="s">
        <v>83</v>
      </c>
      <c r="D38" s="21">
        <f>ROUNDDOWN((1/D37)/M37,-1)</f>
        <v>110</v>
      </c>
      <c r="E38" s="27" t="s">
        <v>41</v>
      </c>
      <c r="F38" s="21" t="s">
        <v>59</v>
      </c>
    </row>
    <row r="39" spans="2:13" ht="18" customHeight="1" x14ac:dyDescent="0.25">
      <c r="B39" s="29" t="s">
        <v>43</v>
      </c>
      <c r="C39" s="25" t="s">
        <v>83</v>
      </c>
      <c r="D39" s="21">
        <f>ROUNDDOWN((1/60)/M37,-1)</f>
        <v>280</v>
      </c>
      <c r="E39" s="27" t="s">
        <v>41</v>
      </c>
      <c r="F39" s="21" t="s">
        <v>60</v>
      </c>
    </row>
    <row r="40" spans="2:13" ht="18" customHeight="1" x14ac:dyDescent="0.25">
      <c r="B40" s="21" t="s">
        <v>47</v>
      </c>
      <c r="C40" s="25" t="s">
        <v>45</v>
      </c>
      <c r="D40" s="21">
        <f>ROUNDDOWN(64/((1/K37*10^-6)*65536),-2)</f>
        <v>9700</v>
      </c>
      <c r="E40" s="27" t="s">
        <v>39</v>
      </c>
      <c r="F40" s="21" t="s">
        <v>49</v>
      </c>
    </row>
    <row r="41" spans="2:13" ht="18" customHeight="1" x14ac:dyDescent="0.25">
      <c r="B41" s="21" t="s">
        <v>47</v>
      </c>
      <c r="C41" s="25" t="s">
        <v>46</v>
      </c>
      <c r="D41" s="21">
        <f>ROUNDDOWN(128/((1/K37*10^-6)*65536),-2)</f>
        <v>19500</v>
      </c>
      <c r="E41" s="27" t="s">
        <v>39</v>
      </c>
      <c r="F41" s="21" t="s">
        <v>48</v>
      </c>
    </row>
    <row r="42" spans="2:13" ht="15" customHeight="1" x14ac:dyDescent="0.25"/>
    <row r="43" spans="2:13" ht="15" customHeight="1" x14ac:dyDescent="0.25"/>
    <row r="44" spans="2:13" ht="15" customHeight="1" x14ac:dyDescent="0.25"/>
    <row r="45" spans="2:13" ht="15" customHeight="1" x14ac:dyDescent="0.25"/>
    <row r="46" spans="2:13" ht="15" customHeight="1" x14ac:dyDescent="0.25"/>
    <row r="47" spans="2:13" ht="15" customHeight="1" x14ac:dyDescent="0.25"/>
    <row r="48" spans="2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heetProtection algorithmName="SHA-512" hashValue="xvxGcJcCHLOML70Ubj1KlOBcUEpOoHrzp/49zASRHVr6N+CFhjyfPiRwRrmB6A52VGQJL/SP+huuSUp6/I5xuw==" saltValue="I2NWjMUycgY6PCudcPuYxQ==" spinCount="100000" sheet="1" objects="1" scenarios="1" selectLockedCells="1"/>
  <dataConsolidate/>
  <mergeCells count="4">
    <mergeCell ref="B1:F1"/>
    <mergeCell ref="B21:F21"/>
    <mergeCell ref="B4:F4"/>
    <mergeCell ref="B9:F9"/>
  </mergeCells>
  <phoneticPr fontId="1" type="noConversion"/>
  <conditionalFormatting sqref="D26">
    <cfRule type="containsText" dxfId="0" priority="1" operator="containsText" text="Negative,Check again">
      <formula>NOT(ISERROR(SEARCH("Negative,Check again",D26)))</formula>
    </cfRule>
  </conditionalFormatting>
  <dataValidations count="12">
    <dataValidation type="list" allowBlank="1" showInputMessage="1" showErrorMessage="1" promptTitle="Select gray scale counter type" prompt="1)External GCK：_x000a_The GCK signal stems from an external source_x000a_Double edge clock_x000a__x000a_2)Internal GCK：_x000a_The GCK signal stems from an internal oscillator, 1.5MHz._x000a_Single edge clock" sqref="D17" xr:uid="{A9C266B6-1B0B-44B4-9DE5-BE577F6441D3}">
      <formula1>$J$17:$K$17</formula1>
    </dataValidation>
    <dataValidation type="decimal" allowBlank="1" showInputMessage="1" showErrorMessage="1" errorTitle="Exceeds maximum value" error="Maximum DCK = 25MHz.  Please modify this value." sqref="D16 D30" xr:uid="{BB5F1560-974E-40D5-BD63-8AB1E9D4EBCE}">
      <formula1>0.1</formula1>
      <formula2>25</formula2>
    </dataValidation>
    <dataValidation type="decimal" allowBlank="1" showInputMessage="1" showErrorMessage="1" errorTitle="Exceeds maximum value" error="Maximum GCK = 16MHz.  Please modify this value." sqref="D32 D18" xr:uid="{E1DAB8A9-8D8E-4E37-80C8-982AE49C3B48}">
      <formula1>0.1</formula1>
      <formula2>16</formula2>
    </dataValidation>
    <dataValidation type="textLength" operator="equal" allowBlank="1" showInputMessage="1" showErrorMessage="1" errorTitle="CMD[9:4] = GCC" error="Enter 6 bit binary GCC value. Default value = 101011_x000a_" promptTitle="Default value = 10_1011" prompt=" " sqref="D15" xr:uid="{7D25DF3E-A205-41C0-B1CB-E95C45CF8D5B}">
      <formula1>6</formula1>
    </dataValidation>
    <dataValidation operator="equal" allowBlank="1" showInputMessage="1" errorTitle="CMD[9:4] = GCC" error="Enter 6 bit binary GCC value. Default value = 101011_x000a_" sqref="D28" xr:uid="{3BC30971-844B-4BBD-A30F-3B7F9F2BDEFE}"/>
    <dataValidation allowBlank="1" promptTitle="Select gray scale counter type" prompt="1)External GCK：_x000a_The GCK signal stems from an external source_x000a_Double edge clock_x000a__x000a_2)Internal GCK：_x000a_The GCK signal stems from an internal oscillator, 1.5MHz._x000a_Single edge clock" sqref="D31" xr:uid="{4971ED74-F37E-4A67-8FE7-8CE00108042E}"/>
    <dataValidation type="decimal" allowBlank="1" showInputMessage="1" showErrorMessage="1" error="Operating Supply Voltage 3.0V~5.5V" sqref="D11" xr:uid="{5838686A-64F8-4B79-8B78-903F92D99D38}">
      <formula1>3</formula1>
      <formula2>5.5</formula2>
    </dataValidation>
    <dataValidation type="decimal" allowBlank="1" showInputMessage="1" showErrorMessage="1" error="Maximum =15V" sqref="D12" xr:uid="{D200EF4D-9212-4A72-A64A-E0659D4EB2FE}">
      <formula1>0</formula1>
      <formula2>15</formula2>
    </dataValidation>
    <dataValidation type="decimal" allowBlank="1" showInputMessage="1" showErrorMessage="1" errorTitle="Maximum Vo = 15V" error="Maximum LED total forward voltage in string must be less than or equal to Maximum Vo - knee voltage._x000a__x000a_Recommend knee voltage=1V_x000a_" sqref="D13" xr:uid="{548E4302-BC3E-4633-B1B9-7F08F2F9A8AF}">
      <formula1>0</formula1>
      <formula2>14</formula2>
    </dataValidation>
    <dataValidation type="decimal" allowBlank="1" showInputMessage="1" showErrorMessage="1" sqref="D14" xr:uid="{44502420-D9C8-42A1-9D31-C00B935DB99C}">
      <formula1>2</formula1>
      <formula2>55</formula2>
    </dataValidation>
    <dataValidation errorStyle="warning" operator="greaterThan" allowBlank="1" showInputMessage="1" showErrorMessage="1" sqref="D26" xr:uid="{24B51322-186D-4DC8-B7CD-440E246DAC79}"/>
    <dataValidation type="list" allowBlank="1" showInputMessage="1" showErrorMessage="1" promptTitle="Select package type" sqref="D19" xr:uid="{51DCACC1-9CC6-4708-B69B-0A3ECD4FBC85}">
      <formula1>$J$19:$K$19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F681-B017-4E7C-AE4A-F27CF7C809CC}">
  <dimension ref="B2:E20"/>
  <sheetViews>
    <sheetView workbookViewId="0"/>
  </sheetViews>
  <sheetFormatPr defaultColWidth="12.625" defaultRowHeight="15" x14ac:dyDescent="0.25"/>
  <cols>
    <col min="1" max="2" width="12.625" style="2"/>
    <col min="3" max="3" width="24.625" style="2" customWidth="1"/>
    <col min="4" max="4" width="48.625" style="2" customWidth="1"/>
    <col min="5" max="5" width="24.625" style="2" customWidth="1"/>
    <col min="6" max="16384" width="12.625" style="2"/>
  </cols>
  <sheetData>
    <row r="2" spans="2:5" ht="15.75" thickBot="1" x14ac:dyDescent="0.3">
      <c r="B2" s="2" t="s">
        <v>82</v>
      </c>
    </row>
    <row r="3" spans="2:5" x14ac:dyDescent="0.25">
      <c r="B3" s="9" t="s">
        <v>69</v>
      </c>
      <c r="C3" s="10" t="s">
        <v>70</v>
      </c>
      <c r="D3" s="10" t="s">
        <v>75</v>
      </c>
      <c r="E3" s="11" t="s">
        <v>71</v>
      </c>
    </row>
    <row r="4" spans="2:5" x14ac:dyDescent="0.25">
      <c r="B4" s="12" t="s">
        <v>72</v>
      </c>
      <c r="C4" s="13">
        <v>45379</v>
      </c>
      <c r="D4" s="1" t="s">
        <v>80</v>
      </c>
      <c r="E4" s="14"/>
    </row>
    <row r="5" spans="2:5" x14ac:dyDescent="0.25">
      <c r="B5" s="12" t="s">
        <v>76</v>
      </c>
      <c r="C5" s="13">
        <v>45499</v>
      </c>
      <c r="D5" s="1" t="s">
        <v>78</v>
      </c>
      <c r="E5" s="14"/>
    </row>
    <row r="6" spans="2:5" x14ac:dyDescent="0.25">
      <c r="B6" s="12"/>
      <c r="C6" s="13"/>
      <c r="D6" s="1" t="s">
        <v>79</v>
      </c>
      <c r="E6" s="14"/>
    </row>
    <row r="7" spans="2:5" x14ac:dyDescent="0.25">
      <c r="B7" s="12" t="s">
        <v>86</v>
      </c>
      <c r="C7" s="13">
        <v>45525</v>
      </c>
      <c r="D7" s="2" t="s">
        <v>95</v>
      </c>
      <c r="E7" s="14"/>
    </row>
    <row r="8" spans="2:5" x14ac:dyDescent="0.25">
      <c r="B8" s="12"/>
      <c r="C8" s="13"/>
      <c r="D8" s="1" t="s">
        <v>88</v>
      </c>
      <c r="E8" s="14"/>
    </row>
    <row r="9" spans="2:5" x14ac:dyDescent="0.25">
      <c r="B9" s="12"/>
      <c r="C9" s="13"/>
      <c r="D9" s="1" t="s">
        <v>87</v>
      </c>
      <c r="E9" s="14"/>
    </row>
    <row r="10" spans="2:5" x14ac:dyDescent="0.25">
      <c r="B10" s="12"/>
      <c r="C10" s="13"/>
      <c r="D10" s="1"/>
      <c r="E10" s="14"/>
    </row>
    <row r="11" spans="2:5" x14ac:dyDescent="0.25">
      <c r="B11" s="12"/>
      <c r="C11" s="13"/>
      <c r="D11" s="1"/>
      <c r="E11" s="14"/>
    </row>
    <row r="12" spans="2:5" x14ac:dyDescent="0.25">
      <c r="B12" s="12"/>
      <c r="C12" s="13"/>
      <c r="D12" s="1"/>
      <c r="E12" s="14"/>
    </row>
    <row r="13" spans="2:5" x14ac:dyDescent="0.25">
      <c r="B13" s="12"/>
      <c r="C13" s="13"/>
      <c r="D13" s="1"/>
      <c r="E13" s="14"/>
    </row>
    <row r="14" spans="2:5" x14ac:dyDescent="0.25">
      <c r="B14" s="12"/>
      <c r="C14" s="13"/>
      <c r="D14" s="1"/>
      <c r="E14" s="14"/>
    </row>
    <row r="15" spans="2:5" x14ac:dyDescent="0.25">
      <c r="B15" s="12"/>
      <c r="C15" s="13"/>
      <c r="D15" s="1"/>
      <c r="E15" s="14"/>
    </row>
    <row r="16" spans="2:5" x14ac:dyDescent="0.25">
      <c r="B16" s="12"/>
      <c r="C16" s="13"/>
      <c r="D16" s="1"/>
      <c r="E16" s="14"/>
    </row>
    <row r="17" spans="2:5" x14ac:dyDescent="0.25">
      <c r="B17" s="12"/>
      <c r="C17" s="13"/>
      <c r="D17" s="1"/>
      <c r="E17" s="14"/>
    </row>
    <row r="18" spans="2:5" x14ac:dyDescent="0.25">
      <c r="B18" s="12"/>
      <c r="C18" s="13"/>
      <c r="D18" s="1"/>
      <c r="E18" s="14"/>
    </row>
    <row r="19" spans="2:5" x14ac:dyDescent="0.25">
      <c r="B19" s="12"/>
      <c r="C19" s="13"/>
      <c r="D19" s="1"/>
      <c r="E19" s="14"/>
    </row>
    <row r="20" spans="2:5" ht="15.75" thickBot="1" x14ac:dyDescent="0.3">
      <c r="B20" s="15"/>
      <c r="C20" s="16"/>
      <c r="D20" s="17"/>
      <c r="E20" s="18"/>
    </row>
  </sheetData>
  <sheetProtection selectLockedCells="1"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B1F04-0DA4-4FE7-8243-854BD554100C}"/>
</file>

<file path=customXml/itemProps2.xml><?xml version="1.0" encoding="utf-8"?>
<ds:datastoreItem xmlns:ds="http://schemas.openxmlformats.org/officeDocument/2006/customXml" ds:itemID="{7EADB11F-6CCE-42F0-BA36-819AA7FDCFB8}"/>
</file>

<file path=customXml/itemProps3.xml><?xml version="1.0" encoding="utf-8"?>
<ds:datastoreItem xmlns:ds="http://schemas.openxmlformats.org/officeDocument/2006/customXml" ds:itemID="{609AB45A-63BA-4101-B524-F7BBF99018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AL58263 Design Calculator</vt:lpstr>
      <vt:lpstr>Revision 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2024-03-19T02:08:02Z</dcterms:created>
  <dcterms:modified xsi:type="dcterms:W3CDTF">2024-08-21T08:42:48Z</dcterms:modified>
</cp:coreProperties>
</file>